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lisesJ.000\Documents\desafio data\documentacion\Alimentación y nutrición\"/>
    </mc:Choice>
  </mc:AlternateContent>
  <bookViews>
    <workbookView xWindow="-120" yWindow="-120" windowWidth="29040" windowHeight="15840" tabRatio="587"/>
  </bookViews>
  <sheets>
    <sheet name="Dashboard" sheetId="10" r:id="rId1"/>
    <sheet name="Integración" sheetId="8" r:id="rId2"/>
    <sheet name="Miguel Hidalgo, Hidalgo" sheetId="6" r:id="rId3"/>
    <sheet name="Emiliano Zapata, Naucalpan" sheetId="7" r:id="rId4"/>
    <sheet name="17Abril1869, Alpuyeca" sheetId="2" r:id="rId5"/>
    <sheet name="JDTBujalance, Miravalle" sheetId="1" r:id="rId6"/>
    <sheet name="Eufemio Z., Ajuchitlán" sheetId="4" r:id="rId7"/>
  </sheets>
  <definedNames>
    <definedName name="_xlnm._FilterDatabase" localSheetId="4" hidden="1">'17Abril1869, Alpuyeca'!$A$3:$AG$143</definedName>
    <definedName name="_xlnm._FilterDatabase" localSheetId="3" hidden="1">'Emiliano Zapata, Naucalpan'!$A$3:$Z$287</definedName>
    <definedName name="_xlnm._FilterDatabase" localSheetId="6" hidden="1">'Eufemio Z., Ajuchitlán'!$A$2:$AG$21</definedName>
    <definedName name="_xlnm._FilterDatabase" localSheetId="1" hidden="1">Integración!$A$1:$M$1</definedName>
    <definedName name="_xlnm._FilterDatabase" localSheetId="5" hidden="1">'JDTBujalance, Miravalle'!$A$3:$AG$71</definedName>
    <definedName name="_xlnm._FilterDatabase" localSheetId="2" hidden="1">'Miguel Hidalgo, Hidalgo'!$A$3:$AA$267</definedName>
    <definedName name="SegmentaciónDeDatos_Escuela">#N/A</definedName>
    <definedName name="SegmentaciónDeDatos_Escuela1">#N/A</definedName>
    <definedName name="SegmentaciónDeDatos_Escuela2">#N/A</definedName>
  </definedNames>
  <calcPr calcId="181029"/>
  <pivotCaches>
    <pivotCache cacheId="0" r:id="rId8"/>
    <pivotCache cacheId="1" r:id="rId9"/>
    <pivotCache cacheId="2" r:id="rId10"/>
    <pivotCache cacheId="3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1" l="1"/>
  <c r="X9" i="1"/>
  <c r="AA9" i="1"/>
  <c r="U10" i="1"/>
  <c r="X10" i="1"/>
  <c r="AA10" i="1"/>
  <c r="U11" i="1"/>
  <c r="X11" i="1"/>
  <c r="AA11" i="1"/>
  <c r="U12" i="1"/>
  <c r="X12" i="1"/>
  <c r="AA12" i="1"/>
  <c r="U13" i="1"/>
  <c r="X13" i="1"/>
  <c r="AA13" i="1"/>
  <c r="U14" i="1"/>
  <c r="X14" i="1"/>
  <c r="AA14" i="1"/>
  <c r="U15" i="1"/>
  <c r="X15" i="1"/>
  <c r="AA15" i="1"/>
  <c r="U16" i="1"/>
  <c r="X16" i="1"/>
  <c r="AA16" i="1"/>
  <c r="U17" i="1"/>
  <c r="X17" i="1"/>
  <c r="AA17" i="1"/>
  <c r="U18" i="1"/>
  <c r="X18" i="1"/>
  <c r="AA18" i="1"/>
  <c r="U19" i="1"/>
  <c r="X19" i="1"/>
  <c r="AA19" i="1"/>
  <c r="U20" i="1"/>
  <c r="X20" i="1"/>
  <c r="AA20" i="1"/>
  <c r="U21" i="1"/>
  <c r="X21" i="1"/>
  <c r="AA21" i="1"/>
  <c r="U22" i="1"/>
  <c r="X22" i="1"/>
  <c r="AA22" i="1"/>
  <c r="U23" i="1"/>
  <c r="X23" i="1"/>
  <c r="AA23" i="1"/>
  <c r="U24" i="1"/>
  <c r="X24" i="1"/>
  <c r="AA24" i="1"/>
  <c r="U25" i="1"/>
  <c r="X25" i="1"/>
  <c r="AA25" i="1"/>
  <c r="U26" i="1"/>
  <c r="X26" i="1"/>
  <c r="AA26" i="1"/>
  <c r="U27" i="1"/>
  <c r="X27" i="1"/>
  <c r="AA27" i="1"/>
  <c r="U28" i="1"/>
  <c r="X28" i="1"/>
  <c r="AA28" i="1"/>
  <c r="U29" i="1"/>
  <c r="X29" i="1"/>
  <c r="AA29" i="1"/>
  <c r="U30" i="1"/>
  <c r="X30" i="1"/>
  <c r="AA30" i="1"/>
  <c r="U31" i="1"/>
  <c r="X31" i="1"/>
  <c r="AA31" i="1"/>
  <c r="U32" i="1"/>
  <c r="X32" i="1"/>
  <c r="AA32" i="1"/>
  <c r="U33" i="1"/>
  <c r="X33" i="1"/>
  <c r="AA33" i="1"/>
  <c r="U34" i="1"/>
  <c r="X34" i="1"/>
  <c r="AA34" i="1"/>
  <c r="U35" i="1"/>
  <c r="X35" i="1"/>
  <c r="AA35" i="1"/>
  <c r="U36" i="1"/>
  <c r="X36" i="1"/>
  <c r="AA36" i="1"/>
  <c r="U37" i="1"/>
  <c r="X37" i="1"/>
  <c r="AA37" i="1"/>
  <c r="U38" i="1"/>
  <c r="X38" i="1"/>
  <c r="AA38" i="1"/>
  <c r="U39" i="1"/>
  <c r="X39" i="1"/>
  <c r="AA39" i="1"/>
  <c r="U40" i="1"/>
  <c r="X40" i="1"/>
  <c r="AA40" i="1"/>
  <c r="U41" i="1"/>
  <c r="X41" i="1"/>
  <c r="AA41" i="1"/>
  <c r="U42" i="1"/>
  <c r="X42" i="1"/>
  <c r="AA42" i="1"/>
  <c r="U43" i="1"/>
  <c r="X43" i="1"/>
  <c r="AA43" i="1"/>
  <c r="U44" i="1"/>
  <c r="X44" i="1"/>
  <c r="AA44" i="1"/>
  <c r="U45" i="1"/>
  <c r="X45" i="1"/>
  <c r="AA45" i="1"/>
  <c r="U46" i="1"/>
  <c r="X46" i="1"/>
  <c r="AA46" i="1"/>
  <c r="U47" i="1"/>
  <c r="X47" i="1"/>
  <c r="AA47" i="1"/>
  <c r="U48" i="1"/>
  <c r="X48" i="1"/>
  <c r="AA48" i="1"/>
  <c r="U49" i="1"/>
  <c r="X49" i="1"/>
  <c r="AA49" i="1"/>
  <c r="U50" i="1"/>
  <c r="X50" i="1"/>
  <c r="AA50" i="1"/>
  <c r="U51" i="1"/>
  <c r="X51" i="1"/>
  <c r="AA51" i="1"/>
  <c r="U52" i="1"/>
  <c r="X52" i="1"/>
  <c r="AA52" i="1"/>
  <c r="U53" i="1"/>
  <c r="X53" i="1"/>
  <c r="AA53" i="1"/>
  <c r="U54" i="1"/>
  <c r="X54" i="1"/>
  <c r="AA54" i="1"/>
  <c r="U55" i="1"/>
  <c r="X55" i="1"/>
  <c r="AA55" i="1"/>
  <c r="U56" i="1"/>
  <c r="X56" i="1"/>
  <c r="AA56" i="1"/>
  <c r="U57" i="1"/>
  <c r="X57" i="1"/>
  <c r="AA57" i="1"/>
  <c r="U58" i="1"/>
  <c r="X58" i="1"/>
  <c r="AA58" i="1"/>
  <c r="U59" i="1"/>
  <c r="X59" i="1"/>
  <c r="AA59" i="1"/>
  <c r="U60" i="1"/>
  <c r="X60" i="1"/>
  <c r="AA60" i="1"/>
  <c r="U61" i="1"/>
  <c r="X61" i="1"/>
  <c r="AA61" i="1"/>
  <c r="U62" i="1"/>
  <c r="X62" i="1"/>
  <c r="AA62" i="1"/>
  <c r="U63" i="1"/>
  <c r="X63" i="1"/>
  <c r="AA63" i="1"/>
  <c r="U64" i="1"/>
  <c r="X64" i="1"/>
  <c r="AA64" i="1"/>
  <c r="U65" i="1"/>
  <c r="X65" i="1"/>
  <c r="AA65" i="1"/>
  <c r="U66" i="1"/>
  <c r="X66" i="1"/>
  <c r="AA66" i="1"/>
  <c r="U67" i="1"/>
  <c r="X67" i="1"/>
  <c r="AA67" i="1"/>
  <c r="U68" i="1"/>
  <c r="X68" i="1"/>
  <c r="AA68" i="1"/>
  <c r="U69" i="1"/>
  <c r="X69" i="1"/>
  <c r="AA69" i="1"/>
  <c r="AM8" i="4"/>
  <c r="AM7" i="4"/>
  <c r="AA4" i="1" l="1"/>
  <c r="AA5" i="2"/>
  <c r="AA4" i="2"/>
  <c r="Z273" i="7" l="1"/>
  <c r="X78" i="2"/>
  <c r="X79" i="2"/>
  <c r="X80" i="2"/>
  <c r="X81" i="2"/>
  <c r="U77" i="2"/>
  <c r="U78" i="2"/>
  <c r="U79" i="2"/>
  <c r="U80" i="2"/>
  <c r="AA73" i="2"/>
  <c r="AA74" i="2"/>
  <c r="AA75" i="2"/>
  <c r="AA76" i="2"/>
  <c r="AA77" i="2"/>
  <c r="AA78" i="2"/>
  <c r="AA79" i="2"/>
  <c r="AA80" i="2"/>
  <c r="T87" i="7" l="1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2" i="7"/>
  <c r="W283" i="7"/>
  <c r="W284" i="7"/>
  <c r="W285" i="7"/>
  <c r="W286" i="7"/>
  <c r="W287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J59" i="7"/>
  <c r="J60" i="7"/>
  <c r="J61" i="7"/>
  <c r="I60" i="7"/>
  <c r="J261" i="7" l="1"/>
  <c r="J262" i="7"/>
  <c r="J263" i="7"/>
  <c r="J264" i="7"/>
  <c r="J265" i="7"/>
  <c r="J266" i="7"/>
  <c r="J267" i="7"/>
  <c r="J268" i="7"/>
  <c r="J269" i="7"/>
  <c r="I87" i="7"/>
  <c r="N195" i="7" l="1"/>
  <c r="N196" i="7"/>
  <c r="N197" i="7"/>
  <c r="J188" i="7"/>
  <c r="J189" i="7"/>
  <c r="J190" i="7"/>
  <c r="J191" i="7"/>
  <c r="J192" i="7"/>
  <c r="J193" i="7"/>
  <c r="J194" i="7"/>
  <c r="J195" i="7"/>
  <c r="J196" i="7"/>
  <c r="J197" i="7"/>
  <c r="M196" i="7"/>
  <c r="P196" i="7"/>
  <c r="M195" i="7"/>
  <c r="O195" i="7" s="1"/>
  <c r="P195" i="7"/>
  <c r="N194" i="7"/>
  <c r="M194" i="7"/>
  <c r="O194" i="7" s="1"/>
  <c r="P194" i="7"/>
  <c r="N193" i="7"/>
  <c r="M193" i="7"/>
  <c r="P193" i="7"/>
  <c r="N192" i="7"/>
  <c r="M192" i="7"/>
  <c r="P192" i="7"/>
  <c r="N191" i="7"/>
  <c r="M191" i="7"/>
  <c r="P191" i="7"/>
  <c r="N190" i="7"/>
  <c r="M190" i="7"/>
  <c r="P190" i="7"/>
  <c r="N189" i="7"/>
  <c r="M189" i="7"/>
  <c r="O189" i="7" s="1"/>
  <c r="P189" i="7"/>
  <c r="N188" i="7"/>
  <c r="M188" i="7"/>
  <c r="P188" i="7"/>
  <c r="O193" i="7" l="1"/>
  <c r="O188" i="7"/>
  <c r="O196" i="7"/>
  <c r="O192" i="7"/>
  <c r="O190" i="7"/>
  <c r="O191" i="7"/>
  <c r="U77" i="6"/>
  <c r="AA77" i="6"/>
  <c r="AA78" i="6"/>
  <c r="AA79" i="6"/>
  <c r="X77" i="6"/>
  <c r="X78" i="6"/>
  <c r="X7" i="6" l="1"/>
  <c r="X8" i="6"/>
  <c r="X9" i="6"/>
  <c r="X10" i="6"/>
  <c r="X11" i="6"/>
  <c r="X12" i="6"/>
  <c r="X13" i="6"/>
  <c r="X14" i="6"/>
  <c r="X15" i="6"/>
  <c r="X16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5" i="1"/>
  <c r="U6" i="1"/>
  <c r="U7" i="1"/>
  <c r="U8" i="1"/>
  <c r="AA87" i="6" l="1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5" i="1"/>
  <c r="AA6" i="1"/>
  <c r="AA7" i="1"/>
  <c r="AA8" i="1"/>
  <c r="X5" i="1"/>
  <c r="X6" i="1"/>
  <c r="X7" i="1"/>
  <c r="X8" i="1"/>
  <c r="B116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87" i="7"/>
  <c r="W88" i="7"/>
  <c r="W89" i="7"/>
  <c r="W90" i="7"/>
  <c r="W91" i="7"/>
  <c r="W92" i="7"/>
  <c r="W93" i="7"/>
  <c r="W94" i="7"/>
  <c r="W95" i="7"/>
  <c r="W96" i="7"/>
  <c r="W97" i="7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71" i="6"/>
  <c r="X72" i="6"/>
  <c r="X73" i="6"/>
  <c r="X74" i="6"/>
  <c r="X75" i="6"/>
  <c r="X76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H31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N287" i="7" l="1"/>
  <c r="N286" i="7"/>
  <c r="N285" i="7"/>
  <c r="N284" i="7"/>
  <c r="N283" i="7"/>
  <c r="N282" i="7"/>
  <c r="N281" i="7"/>
  <c r="N280" i="7"/>
  <c r="N279" i="7"/>
  <c r="N278" i="7"/>
  <c r="N277" i="7"/>
  <c r="N276" i="7"/>
  <c r="N275" i="7"/>
  <c r="N274" i="7"/>
  <c r="N273" i="7"/>
  <c r="N272" i="7"/>
  <c r="N271" i="7"/>
  <c r="N270" i="7"/>
  <c r="N269" i="7"/>
  <c r="N268" i="7"/>
  <c r="N267" i="7"/>
  <c r="N266" i="7"/>
  <c r="N265" i="7"/>
  <c r="N264" i="7"/>
  <c r="N263" i="7"/>
  <c r="N262" i="7"/>
  <c r="N261" i="7"/>
  <c r="N260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M260" i="7"/>
  <c r="M261" i="7"/>
  <c r="M262" i="7"/>
  <c r="O262" i="7" s="1"/>
  <c r="M263" i="7"/>
  <c r="M264" i="7"/>
  <c r="O264" i="7" s="1"/>
  <c r="M265" i="7"/>
  <c r="M266" i="7"/>
  <c r="M267" i="7"/>
  <c r="M268" i="7"/>
  <c r="O268" i="7" s="1"/>
  <c r="M269" i="7"/>
  <c r="M270" i="7"/>
  <c r="O270" i="7" s="1"/>
  <c r="M271" i="7"/>
  <c r="O271" i="7" s="1"/>
  <c r="M272" i="7"/>
  <c r="M273" i="7"/>
  <c r="M274" i="7"/>
  <c r="M275" i="7"/>
  <c r="O275" i="7" s="1"/>
  <c r="M276" i="7"/>
  <c r="M277" i="7"/>
  <c r="M278" i="7"/>
  <c r="M279" i="7"/>
  <c r="M280" i="7"/>
  <c r="M281" i="7"/>
  <c r="M282" i="7"/>
  <c r="O282" i="7" s="1"/>
  <c r="M283" i="7"/>
  <c r="O283" i="7" s="1"/>
  <c r="M284" i="7"/>
  <c r="O284" i="7" s="1"/>
  <c r="M285" i="7"/>
  <c r="M286" i="7"/>
  <c r="O286" i="7" s="1"/>
  <c r="M287" i="7"/>
  <c r="J260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I282" i="7"/>
  <c r="I283" i="7"/>
  <c r="I284" i="7"/>
  <c r="I285" i="7"/>
  <c r="I286" i="7"/>
  <c r="I287" i="7"/>
  <c r="N259" i="7"/>
  <c r="N258" i="7"/>
  <c r="N257" i="7"/>
  <c r="N256" i="7"/>
  <c r="N255" i="7"/>
  <c r="N254" i="7"/>
  <c r="N253" i="7"/>
  <c r="N252" i="7"/>
  <c r="N251" i="7"/>
  <c r="N250" i="7"/>
  <c r="N249" i="7"/>
  <c r="N248" i="7"/>
  <c r="N247" i="7"/>
  <c r="N246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N245" i="7"/>
  <c r="M245" i="7"/>
  <c r="N244" i="7"/>
  <c r="N243" i="7"/>
  <c r="N242" i="7"/>
  <c r="N241" i="7"/>
  <c r="N240" i="7"/>
  <c r="N239" i="7"/>
  <c r="N238" i="7"/>
  <c r="N237" i="7"/>
  <c r="N236" i="7"/>
  <c r="N235" i="7"/>
  <c r="N234" i="7"/>
  <c r="N233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P241" i="7"/>
  <c r="P242" i="7"/>
  <c r="P243" i="7"/>
  <c r="P244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N232" i="7"/>
  <c r="N231" i="7"/>
  <c r="N230" i="7"/>
  <c r="N229" i="7"/>
  <c r="N228" i="7"/>
  <c r="N227" i="7"/>
  <c r="N226" i="7"/>
  <c r="N225" i="7"/>
  <c r="N224" i="7"/>
  <c r="N223" i="7"/>
  <c r="N222" i="7"/>
  <c r="N221" i="7"/>
  <c r="N220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N219" i="7"/>
  <c r="M219" i="7"/>
  <c r="N218" i="7"/>
  <c r="M218" i="7"/>
  <c r="J218" i="7"/>
  <c r="N217" i="7"/>
  <c r="M217" i="7"/>
  <c r="J217" i="7"/>
  <c r="N216" i="7"/>
  <c r="M216" i="7"/>
  <c r="J216" i="7"/>
  <c r="N215" i="7"/>
  <c r="M215" i="7"/>
  <c r="J215" i="7"/>
  <c r="N214" i="7"/>
  <c r="M214" i="7"/>
  <c r="J214" i="7"/>
  <c r="N213" i="7"/>
  <c r="M213" i="7"/>
  <c r="J213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N212" i="7"/>
  <c r="M212" i="7"/>
  <c r="J212" i="7"/>
  <c r="N211" i="7"/>
  <c r="N210" i="7"/>
  <c r="N209" i="7"/>
  <c r="P209" i="7"/>
  <c r="N208" i="7"/>
  <c r="P208" i="7"/>
  <c r="N207" i="7"/>
  <c r="P207" i="7"/>
  <c r="N206" i="7"/>
  <c r="P206" i="7"/>
  <c r="N205" i="7"/>
  <c r="N204" i="7"/>
  <c r="N203" i="7"/>
  <c r="N202" i="7"/>
  <c r="N201" i="7"/>
  <c r="N200" i="7"/>
  <c r="N199" i="7"/>
  <c r="N198" i="7"/>
  <c r="N187" i="7"/>
  <c r="N186" i="7"/>
  <c r="N185" i="7"/>
  <c r="N184" i="7"/>
  <c r="N183" i="7"/>
  <c r="N182" i="7"/>
  <c r="N181" i="7"/>
  <c r="N180" i="7"/>
  <c r="N179" i="7"/>
  <c r="N178" i="7"/>
  <c r="N177" i="7"/>
  <c r="N176" i="7"/>
  <c r="N175" i="7"/>
  <c r="N174" i="7"/>
  <c r="N173" i="7"/>
  <c r="J182" i="7"/>
  <c r="J183" i="7"/>
  <c r="J184" i="7"/>
  <c r="J185" i="7"/>
  <c r="J186" i="7"/>
  <c r="J18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M181" i="7"/>
  <c r="M182" i="7"/>
  <c r="M183" i="7"/>
  <c r="M184" i="7"/>
  <c r="M185" i="7"/>
  <c r="M186" i="7"/>
  <c r="M187" i="7"/>
  <c r="M197" i="7"/>
  <c r="O197" i="7" s="1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97" i="7"/>
  <c r="P198" i="7"/>
  <c r="P199" i="7"/>
  <c r="P200" i="7"/>
  <c r="P201" i="7"/>
  <c r="P202" i="7"/>
  <c r="P203" i="7"/>
  <c r="P204" i="7"/>
  <c r="P205" i="7"/>
  <c r="M174" i="7"/>
  <c r="M175" i="7"/>
  <c r="M176" i="7"/>
  <c r="M177" i="7"/>
  <c r="M178" i="7"/>
  <c r="M179" i="7"/>
  <c r="M180" i="7"/>
  <c r="I174" i="7"/>
  <c r="I175" i="7"/>
  <c r="N172" i="7"/>
  <c r="N171" i="7"/>
  <c r="N170" i="7"/>
  <c r="M168" i="7"/>
  <c r="M169" i="7"/>
  <c r="M170" i="7"/>
  <c r="M171" i="7"/>
  <c r="M172" i="7"/>
  <c r="M173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N98" i="7"/>
  <c r="N97" i="7"/>
  <c r="N96" i="7"/>
  <c r="I78" i="7"/>
  <c r="I79" i="7"/>
  <c r="I80" i="7"/>
  <c r="I81" i="7"/>
  <c r="I82" i="7"/>
  <c r="I83" i="7"/>
  <c r="I84" i="7"/>
  <c r="I85" i="7"/>
  <c r="I86" i="7"/>
  <c r="I88" i="7"/>
  <c r="I89" i="7"/>
  <c r="I90" i="7"/>
  <c r="I91" i="7"/>
  <c r="I92" i="7"/>
  <c r="I93" i="7"/>
  <c r="I94" i="7"/>
  <c r="I95" i="7"/>
  <c r="N95" i="7"/>
  <c r="N94" i="7"/>
  <c r="N93" i="7"/>
  <c r="N92" i="7"/>
  <c r="N91" i="7"/>
  <c r="N90" i="7"/>
  <c r="N89" i="7"/>
  <c r="N88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M88" i="7"/>
  <c r="M89" i="7"/>
  <c r="M90" i="7"/>
  <c r="M91" i="7"/>
  <c r="M92" i="7"/>
  <c r="M93" i="7"/>
  <c r="M94" i="7"/>
  <c r="M95" i="7"/>
  <c r="M96" i="7"/>
  <c r="M97" i="7"/>
  <c r="M98" i="7"/>
  <c r="O98" i="7" s="1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O119" i="7" s="1"/>
  <c r="M120" i="7"/>
  <c r="M121" i="7"/>
  <c r="M122" i="7"/>
  <c r="M123" i="7"/>
  <c r="M124" i="7"/>
  <c r="M125" i="7"/>
  <c r="M126" i="7"/>
  <c r="M127" i="7"/>
  <c r="M128" i="7"/>
  <c r="M129" i="7"/>
  <c r="M130" i="7"/>
  <c r="M131" i="7"/>
  <c r="O131" i="7" s="1"/>
  <c r="M132" i="7"/>
  <c r="M133" i="7"/>
  <c r="M134" i="7"/>
  <c r="M135" i="7"/>
  <c r="M136" i="7"/>
  <c r="M137" i="7"/>
  <c r="M138" i="7"/>
  <c r="M139" i="7"/>
  <c r="O139" i="7" s="1"/>
  <c r="M140" i="7"/>
  <c r="M141" i="7"/>
  <c r="M142" i="7"/>
  <c r="M143" i="7"/>
  <c r="M144" i="7"/>
  <c r="M145" i="7"/>
  <c r="M146" i="7"/>
  <c r="M147" i="7"/>
  <c r="O147" i="7" s="1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O163" i="7" s="1"/>
  <c r="M164" i="7"/>
  <c r="M165" i="7"/>
  <c r="M166" i="7"/>
  <c r="M16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M87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I72" i="7"/>
  <c r="N71" i="7"/>
  <c r="N70" i="7"/>
  <c r="N69" i="7"/>
  <c r="N68" i="7"/>
  <c r="N67" i="7"/>
  <c r="N66" i="7"/>
  <c r="N65" i="7"/>
  <c r="N64" i="7"/>
  <c r="N63" i="7"/>
  <c r="N62" i="7"/>
  <c r="N61" i="7"/>
  <c r="N60" i="7"/>
  <c r="L60" i="7"/>
  <c r="N59" i="7"/>
  <c r="N58" i="7"/>
  <c r="N57" i="7"/>
  <c r="M267" i="6"/>
  <c r="M266" i="6"/>
  <c r="M265" i="6"/>
  <c r="H262" i="6"/>
  <c r="H263" i="6"/>
  <c r="H264" i="6"/>
  <c r="H265" i="6"/>
  <c r="H266" i="6"/>
  <c r="H267" i="6"/>
  <c r="M264" i="6"/>
  <c r="M263" i="6"/>
  <c r="M262" i="6"/>
  <c r="M261" i="6"/>
  <c r="H261" i="6"/>
  <c r="M260" i="6"/>
  <c r="H260" i="6"/>
  <c r="M258" i="6"/>
  <c r="L258" i="6"/>
  <c r="L259" i="6"/>
  <c r="L260" i="6"/>
  <c r="L261" i="6"/>
  <c r="N261" i="6" s="1"/>
  <c r="L262" i="6"/>
  <c r="L263" i="6"/>
  <c r="N263" i="6" s="1"/>
  <c r="L264" i="6"/>
  <c r="L265" i="6"/>
  <c r="L266" i="6"/>
  <c r="N266" i="6" s="1"/>
  <c r="L267" i="6"/>
  <c r="M259" i="6"/>
  <c r="H259" i="6"/>
  <c r="H258" i="6"/>
  <c r="M257" i="6"/>
  <c r="L257" i="6"/>
  <c r="M256" i="6"/>
  <c r="L256" i="6"/>
  <c r="N256" i="6" s="1"/>
  <c r="M255" i="6"/>
  <c r="L255" i="6"/>
  <c r="M254" i="6"/>
  <c r="L254" i="6"/>
  <c r="M253" i="6"/>
  <c r="L253" i="6"/>
  <c r="M252" i="6"/>
  <c r="L252" i="6"/>
  <c r="N252" i="6" s="1"/>
  <c r="M251" i="6"/>
  <c r="L251" i="6"/>
  <c r="M250" i="6"/>
  <c r="L250" i="6"/>
  <c r="N250" i="6" s="1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N242" i="6" s="1"/>
  <c r="M241" i="6"/>
  <c r="L241" i="6"/>
  <c r="M239" i="6"/>
  <c r="M240" i="6"/>
  <c r="L240" i="6"/>
  <c r="L239" i="6"/>
  <c r="M238" i="6"/>
  <c r="L238" i="6"/>
  <c r="N238" i="6" s="1"/>
  <c r="M237" i="6"/>
  <c r="L237" i="6"/>
  <c r="M236" i="6"/>
  <c r="L236" i="6"/>
  <c r="M235" i="6"/>
  <c r="L235" i="6"/>
  <c r="M234" i="6"/>
  <c r="L234" i="6"/>
  <c r="N234" i="6" s="1"/>
  <c r="M233" i="6"/>
  <c r="L233" i="6"/>
  <c r="M232" i="6"/>
  <c r="L232" i="6"/>
  <c r="M231" i="6"/>
  <c r="L231" i="6"/>
  <c r="M230" i="6"/>
  <c r="L230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M229" i="6"/>
  <c r="L229" i="6"/>
  <c r="M228" i="6"/>
  <c r="L228" i="6"/>
  <c r="M227" i="6"/>
  <c r="L227" i="6"/>
  <c r="H227" i="6"/>
  <c r="I227" i="6"/>
  <c r="M226" i="6"/>
  <c r="L226" i="6"/>
  <c r="H226" i="6"/>
  <c r="I226" i="6"/>
  <c r="M225" i="6"/>
  <c r="L225" i="6"/>
  <c r="H225" i="6"/>
  <c r="I225" i="6"/>
  <c r="M224" i="6"/>
  <c r="L224" i="6"/>
  <c r="H224" i="6"/>
  <c r="I224" i="6"/>
  <c r="M223" i="6"/>
  <c r="H223" i="6"/>
  <c r="M222" i="6"/>
  <c r="H222" i="6"/>
  <c r="M221" i="6"/>
  <c r="H221" i="6"/>
  <c r="M220" i="6"/>
  <c r="H220" i="6"/>
  <c r="M219" i="6"/>
  <c r="H219" i="6"/>
  <c r="M218" i="6"/>
  <c r="M217" i="6"/>
  <c r="M216" i="6"/>
  <c r="M215" i="6"/>
  <c r="M214" i="6"/>
  <c r="M213" i="6"/>
  <c r="M212" i="6"/>
  <c r="M211" i="6"/>
  <c r="M210" i="6"/>
  <c r="M209" i="6"/>
  <c r="M208" i="6"/>
  <c r="K208" i="6"/>
  <c r="L208" i="6" s="1"/>
  <c r="M207" i="6"/>
  <c r="A204" i="6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M206" i="6"/>
  <c r="M205" i="6"/>
  <c r="M204" i="6"/>
  <c r="M203" i="6"/>
  <c r="M201" i="6"/>
  <c r="M202" i="6"/>
  <c r="M200" i="6"/>
  <c r="M199" i="6"/>
  <c r="M198" i="6"/>
  <c r="M197" i="6"/>
  <c r="M196" i="6"/>
  <c r="M195" i="6"/>
  <c r="M194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9" i="6"/>
  <c r="N209" i="6" s="1"/>
  <c r="L210" i="6"/>
  <c r="L211" i="6"/>
  <c r="L212" i="6"/>
  <c r="L213" i="6"/>
  <c r="N213" i="6" s="1"/>
  <c r="L214" i="6"/>
  <c r="L215" i="6"/>
  <c r="L216" i="6"/>
  <c r="L217" i="6"/>
  <c r="N217" i="6" s="1"/>
  <c r="L218" i="6"/>
  <c r="L219" i="6"/>
  <c r="L220" i="6"/>
  <c r="N220" i="6" s="1"/>
  <c r="L221" i="6"/>
  <c r="L222" i="6"/>
  <c r="L223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M193" i="6"/>
  <c r="M192" i="6"/>
  <c r="M191" i="6"/>
  <c r="M190" i="6"/>
  <c r="M189" i="6"/>
  <c r="M188" i="6"/>
  <c r="M187" i="6"/>
  <c r="M186" i="6"/>
  <c r="M185" i="6"/>
  <c r="M184" i="6"/>
  <c r="I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L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O159" i="7" l="1"/>
  <c r="O151" i="7"/>
  <c r="N235" i="6"/>
  <c r="N207" i="6"/>
  <c r="O276" i="7"/>
  <c r="N196" i="6"/>
  <c r="N228" i="6"/>
  <c r="N233" i="6"/>
  <c r="N253" i="6"/>
  <c r="N257" i="6"/>
  <c r="O274" i="7"/>
  <c r="N195" i="6"/>
  <c r="N264" i="6"/>
  <c r="N222" i="6"/>
  <c r="N218" i="6"/>
  <c r="N214" i="6"/>
  <c r="N197" i="6"/>
  <c r="N259" i="6"/>
  <c r="O113" i="7"/>
  <c r="O109" i="7"/>
  <c r="O172" i="7"/>
  <c r="O160" i="7"/>
  <c r="O148" i="7"/>
  <c r="O140" i="7"/>
  <c r="O132" i="7"/>
  <c r="O124" i="7"/>
  <c r="O242" i="7"/>
  <c r="O238" i="7"/>
  <c r="O168" i="7"/>
  <c r="O120" i="7"/>
  <c r="O116" i="7"/>
  <c r="O112" i="7"/>
  <c r="O100" i="7"/>
  <c r="O171" i="7"/>
  <c r="O244" i="7"/>
  <c r="O240" i="7"/>
  <c r="O236" i="7"/>
  <c r="O187" i="7"/>
  <c r="O219" i="7"/>
  <c r="N240" i="6"/>
  <c r="N239" i="6"/>
  <c r="N226" i="6"/>
  <c r="N229" i="6"/>
  <c r="N230" i="6"/>
  <c r="N262" i="6"/>
  <c r="N199" i="6"/>
  <c r="N227" i="6"/>
  <c r="N224" i="6"/>
  <c r="N237" i="6"/>
  <c r="N243" i="6"/>
  <c r="N245" i="6"/>
  <c r="N255" i="6"/>
  <c r="O103" i="7"/>
  <c r="O154" i="7"/>
  <c r="O179" i="7"/>
  <c r="O175" i="7"/>
  <c r="O201" i="7"/>
  <c r="O229" i="7"/>
  <c r="O221" i="7"/>
  <c r="O253" i="7"/>
  <c r="O249" i="7"/>
  <c r="O280" i="7"/>
  <c r="O97" i="7"/>
  <c r="O200" i="7"/>
  <c r="O183" i="7"/>
  <c r="O285" i="7"/>
  <c r="O91" i="7"/>
  <c r="O185" i="7"/>
  <c r="O181" i="7"/>
  <c r="O213" i="7"/>
  <c r="O214" i="7"/>
  <c r="O216" i="7"/>
  <c r="O199" i="7"/>
  <c r="O232" i="7"/>
  <c r="O224" i="7"/>
  <c r="O235" i="7"/>
  <c r="O233" i="7"/>
  <c r="O237" i="7"/>
  <c r="O245" i="7"/>
  <c r="O248" i="7"/>
  <c r="O157" i="7"/>
  <c r="O149" i="7"/>
  <c r="O141" i="7"/>
  <c r="O129" i="7"/>
  <c r="O125" i="7"/>
  <c r="O117" i="7"/>
  <c r="O93" i="7"/>
  <c r="O89" i="7"/>
  <c r="O207" i="7"/>
  <c r="O180" i="7"/>
  <c r="O210" i="7"/>
  <c r="O202" i="7"/>
  <c r="O198" i="7"/>
  <c r="O281" i="7"/>
  <c r="O277" i="7"/>
  <c r="O273" i="7"/>
  <c r="O269" i="7"/>
  <c r="O265" i="7"/>
  <c r="O261" i="7"/>
  <c r="O174" i="7"/>
  <c r="O231" i="7"/>
  <c r="O95" i="7"/>
  <c r="O104" i="7"/>
  <c r="O108" i="7"/>
  <c r="O123" i="7"/>
  <c r="O127" i="7"/>
  <c r="O135" i="7"/>
  <c r="O143" i="7"/>
  <c r="O155" i="7"/>
  <c r="O167" i="7"/>
  <c r="O211" i="7"/>
  <c r="O230" i="7"/>
  <c r="O246" i="7"/>
  <c r="O178" i="7"/>
  <c r="O227" i="7"/>
  <c r="O259" i="7"/>
  <c r="O166" i="7"/>
  <c r="O158" i="7"/>
  <c r="O150" i="7"/>
  <c r="O142" i="7"/>
  <c r="O134" i="7"/>
  <c r="O130" i="7"/>
  <c r="O122" i="7"/>
  <c r="O118" i="7"/>
  <c r="O110" i="7"/>
  <c r="O106" i="7"/>
  <c r="O102" i="7"/>
  <c r="O94" i="7"/>
  <c r="O90" i="7"/>
  <c r="O212" i="7"/>
  <c r="N212" i="6"/>
  <c r="N203" i="6"/>
  <c r="N200" i="6"/>
  <c r="N204" i="6"/>
  <c r="N244" i="6"/>
  <c r="N219" i="6"/>
  <c r="N211" i="6"/>
  <c r="N202" i="6"/>
  <c r="N267" i="6"/>
  <c r="O255" i="7"/>
  <c r="O176" i="7"/>
  <c r="O251" i="7"/>
  <c r="O169" i="7"/>
  <c r="O146" i="7"/>
  <c r="O162" i="7"/>
  <c r="O170" i="7"/>
  <c r="O182" i="7"/>
  <c r="O203" i="7"/>
  <c r="O206" i="7"/>
  <c r="O208" i="7"/>
  <c r="O257" i="7"/>
  <c r="O204" i="7"/>
  <c r="O220" i="7"/>
  <c r="O215" i="7"/>
  <c r="O234" i="7"/>
  <c r="O88" i="7"/>
  <c r="O92" i="7"/>
  <c r="O101" i="7"/>
  <c r="O228" i="7"/>
  <c r="O256" i="7"/>
  <c r="O152" i="7"/>
  <c r="O164" i="7"/>
  <c r="O99" i="7"/>
  <c r="O107" i="7"/>
  <c r="O111" i="7"/>
  <c r="O115" i="7"/>
  <c r="O133" i="7"/>
  <c r="O137" i="7"/>
  <c r="O161" i="7"/>
  <c r="O165" i="7"/>
  <c r="O173" i="7"/>
  <c r="O177" i="7"/>
  <c r="O222" i="7"/>
  <c r="O287" i="7"/>
  <c r="O279" i="7"/>
  <c r="O278" i="7"/>
  <c r="O272" i="7"/>
  <c r="O267" i="7"/>
  <c r="O266" i="7"/>
  <c r="O263" i="7"/>
  <c r="O260" i="7"/>
  <c r="O258" i="7"/>
  <c r="O254" i="7"/>
  <c r="O252" i="7"/>
  <c r="O250" i="7"/>
  <c r="O247" i="7"/>
  <c r="O243" i="7"/>
  <c r="O241" i="7"/>
  <c r="O239" i="7"/>
  <c r="O226" i="7"/>
  <c r="O225" i="7"/>
  <c r="O223" i="7"/>
  <c r="O218" i="7"/>
  <c r="O217" i="7"/>
  <c r="O209" i="7"/>
  <c r="O205" i="7"/>
  <c r="O186" i="7"/>
  <c r="O184" i="7"/>
  <c r="O156" i="7"/>
  <c r="O153" i="7"/>
  <c r="O145" i="7"/>
  <c r="O144" i="7"/>
  <c r="O138" i="7"/>
  <c r="O136" i="7"/>
  <c r="O128" i="7"/>
  <c r="O126" i="7"/>
  <c r="O121" i="7"/>
  <c r="O114" i="7"/>
  <c r="O105" i="7"/>
  <c r="O96" i="7"/>
  <c r="N265" i="6"/>
  <c r="N260" i="6"/>
  <c r="N258" i="6"/>
  <c r="N254" i="6"/>
  <c r="N251" i="6"/>
  <c r="N249" i="6"/>
  <c r="N248" i="6"/>
  <c r="N247" i="6"/>
  <c r="N246" i="6"/>
  <c r="N241" i="6"/>
  <c r="N236" i="6"/>
  <c r="N232" i="6"/>
  <c r="N231" i="6"/>
  <c r="N225" i="6"/>
  <c r="N223" i="6"/>
  <c r="N221" i="6"/>
  <c r="N216" i="6"/>
  <c r="N215" i="6"/>
  <c r="N210" i="6"/>
  <c r="N208" i="6"/>
  <c r="Q208" i="6"/>
  <c r="N206" i="6"/>
  <c r="N205" i="6"/>
  <c r="N201" i="6"/>
  <c r="N198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I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5" i="6"/>
  <c r="I186" i="6"/>
  <c r="I187" i="6"/>
  <c r="I188" i="6"/>
  <c r="I189" i="6"/>
  <c r="I190" i="6"/>
  <c r="I191" i="6"/>
  <c r="I192" i="6"/>
  <c r="I193" i="6"/>
  <c r="I194" i="6"/>
  <c r="L103" i="6"/>
  <c r="L104" i="6"/>
  <c r="N104" i="6" s="1"/>
  <c r="L105" i="6"/>
  <c r="N105" i="6" s="1"/>
  <c r="L106" i="6"/>
  <c r="L107" i="6"/>
  <c r="L108" i="6"/>
  <c r="L109" i="6"/>
  <c r="N109" i="6" s="1"/>
  <c r="L110" i="6"/>
  <c r="L111" i="6"/>
  <c r="L112" i="6"/>
  <c r="N112" i="6" s="1"/>
  <c r="L113" i="6"/>
  <c r="L114" i="6"/>
  <c r="N114" i="6" s="1"/>
  <c r="L115" i="6"/>
  <c r="L116" i="6"/>
  <c r="L117" i="6"/>
  <c r="L118" i="6"/>
  <c r="L119" i="6"/>
  <c r="L120" i="6"/>
  <c r="L121" i="6"/>
  <c r="L122" i="6"/>
  <c r="L123" i="6"/>
  <c r="L124" i="6"/>
  <c r="L125" i="6"/>
  <c r="N125" i="6" s="1"/>
  <c r="L126" i="6"/>
  <c r="L127" i="6"/>
  <c r="L128" i="6"/>
  <c r="L129" i="6"/>
  <c r="N129" i="6" s="1"/>
  <c r="L130" i="6"/>
  <c r="L131" i="6"/>
  <c r="L132" i="6"/>
  <c r="L133" i="6"/>
  <c r="L134" i="6"/>
  <c r="L135" i="6"/>
  <c r="L136" i="6"/>
  <c r="L137" i="6"/>
  <c r="L138" i="6"/>
  <c r="L139" i="6"/>
  <c r="L140" i="6"/>
  <c r="L141" i="6"/>
  <c r="N141" i="6" s="1"/>
  <c r="L142" i="6"/>
  <c r="L143" i="6"/>
  <c r="L144" i="6"/>
  <c r="N144" i="6" s="1"/>
  <c r="L145" i="6"/>
  <c r="N145" i="6" s="1"/>
  <c r="L146" i="6"/>
  <c r="N146" i="6" s="1"/>
  <c r="L147" i="6"/>
  <c r="N147" i="6" s="1"/>
  <c r="L148" i="6"/>
  <c r="N148" i="6" s="1"/>
  <c r="L149" i="6"/>
  <c r="N149" i="6" s="1"/>
  <c r="L150" i="6"/>
  <c r="N150" i="6" s="1"/>
  <c r="L151" i="6"/>
  <c r="N151" i="6" s="1"/>
  <c r="L152" i="6"/>
  <c r="N152" i="6" s="1"/>
  <c r="L153" i="6"/>
  <c r="N153" i="6" s="1"/>
  <c r="L154" i="6"/>
  <c r="N154" i="6" s="1"/>
  <c r="L155" i="6"/>
  <c r="N155" i="6" s="1"/>
  <c r="L156" i="6"/>
  <c r="N156" i="6" s="1"/>
  <c r="N157" i="6"/>
  <c r="L158" i="6"/>
  <c r="N158" i="6" s="1"/>
  <c r="L159" i="6"/>
  <c r="N159" i="6" s="1"/>
  <c r="L160" i="6"/>
  <c r="N160" i="6" s="1"/>
  <c r="L161" i="6"/>
  <c r="N161" i="6" s="1"/>
  <c r="L162" i="6"/>
  <c r="N162" i="6" s="1"/>
  <c r="L163" i="6"/>
  <c r="N163" i="6" s="1"/>
  <c r="L164" i="6"/>
  <c r="N164" i="6" s="1"/>
  <c r="L165" i="6"/>
  <c r="N165" i="6" s="1"/>
  <c r="L166" i="6"/>
  <c r="N166" i="6" s="1"/>
  <c r="L167" i="6"/>
  <c r="N167" i="6" s="1"/>
  <c r="L168" i="6"/>
  <c r="N168" i="6" s="1"/>
  <c r="L169" i="6"/>
  <c r="N169" i="6" s="1"/>
  <c r="L170" i="6"/>
  <c r="N170" i="6" s="1"/>
  <c r="L171" i="6"/>
  <c r="N171" i="6" s="1"/>
  <c r="L172" i="6"/>
  <c r="N172" i="6" s="1"/>
  <c r="L173" i="6"/>
  <c r="N173" i="6" s="1"/>
  <c r="L174" i="6"/>
  <c r="N174" i="6" s="1"/>
  <c r="L175" i="6"/>
  <c r="N175" i="6" s="1"/>
  <c r="L176" i="6"/>
  <c r="N176" i="6" s="1"/>
  <c r="L177" i="6"/>
  <c r="N177" i="6" s="1"/>
  <c r="L178" i="6"/>
  <c r="N178" i="6" s="1"/>
  <c r="L179" i="6"/>
  <c r="N179" i="6" s="1"/>
  <c r="L180" i="6"/>
  <c r="N180" i="6" s="1"/>
  <c r="L181" i="6"/>
  <c r="N181" i="6" s="1"/>
  <c r="L182" i="6"/>
  <c r="N182" i="6" s="1"/>
  <c r="L183" i="6"/>
  <c r="N183" i="6" s="1"/>
  <c r="L184" i="6"/>
  <c r="N184" i="6" s="1"/>
  <c r="L185" i="6"/>
  <c r="N185" i="6" s="1"/>
  <c r="L186" i="6"/>
  <c r="N186" i="6" s="1"/>
  <c r="L187" i="6"/>
  <c r="N187" i="6" s="1"/>
  <c r="L188" i="6"/>
  <c r="N188" i="6" s="1"/>
  <c r="L189" i="6"/>
  <c r="N189" i="6" s="1"/>
  <c r="L190" i="6"/>
  <c r="N190" i="6" s="1"/>
  <c r="L191" i="6"/>
  <c r="N191" i="6" s="1"/>
  <c r="L192" i="6"/>
  <c r="N192" i="6" s="1"/>
  <c r="L193" i="6"/>
  <c r="N193" i="6" s="1"/>
  <c r="L194" i="6"/>
  <c r="N194" i="6" s="1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M102" i="6"/>
  <c r="L102" i="6"/>
  <c r="M101" i="6"/>
  <c r="L101" i="6"/>
  <c r="M100" i="6"/>
  <c r="L100" i="6"/>
  <c r="M99" i="6"/>
  <c r="L99" i="6"/>
  <c r="M98" i="6"/>
  <c r="L98" i="6"/>
  <c r="M97" i="6"/>
  <c r="L97" i="6"/>
  <c r="N97" i="6" s="1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M88" i="6"/>
  <c r="L88" i="6"/>
  <c r="Q88" i="6"/>
  <c r="M87" i="6"/>
  <c r="M86" i="6"/>
  <c r="M85" i="6"/>
  <c r="M84" i="6"/>
  <c r="M83" i="6"/>
  <c r="M82" i="6"/>
  <c r="M81" i="6"/>
  <c r="M80" i="6"/>
  <c r="M79" i="6"/>
  <c r="M78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H41" i="6"/>
  <c r="H42" i="6"/>
  <c r="H43" i="6"/>
  <c r="H44" i="6"/>
  <c r="H45" i="6"/>
  <c r="H46" i="6"/>
  <c r="H47" i="6"/>
  <c r="H48" i="6"/>
  <c r="H49" i="6"/>
  <c r="H50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K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N90" i="6" l="1"/>
  <c r="N94" i="6"/>
  <c r="N102" i="6"/>
  <c r="N116" i="6"/>
  <c r="N92" i="6"/>
  <c r="N96" i="6"/>
  <c r="N100" i="6"/>
  <c r="N139" i="6"/>
  <c r="N140" i="6"/>
  <c r="N136" i="6"/>
  <c r="N132" i="6"/>
  <c r="N128" i="6"/>
  <c r="N88" i="6"/>
  <c r="N91" i="6"/>
  <c r="N93" i="6"/>
  <c r="N89" i="6"/>
  <c r="N99" i="6"/>
  <c r="N142" i="6"/>
  <c r="N138" i="6"/>
  <c r="N134" i="6"/>
  <c r="N130" i="6"/>
  <c r="N126" i="6"/>
  <c r="N118" i="6"/>
  <c r="N108" i="6"/>
  <c r="N98" i="6"/>
  <c r="N113" i="6"/>
  <c r="N120" i="6"/>
  <c r="N117" i="6"/>
  <c r="N121" i="6"/>
  <c r="N143" i="6"/>
  <c r="N137" i="6"/>
  <c r="N135" i="6"/>
  <c r="N133" i="6"/>
  <c r="N131" i="6"/>
  <c r="N127" i="6"/>
  <c r="N124" i="6"/>
  <c r="N123" i="6"/>
  <c r="N122" i="6"/>
  <c r="N119" i="6"/>
  <c r="N115" i="6"/>
  <c r="N111" i="6"/>
  <c r="N110" i="6"/>
  <c r="N107" i="6"/>
  <c r="N106" i="6"/>
  <c r="N103" i="6"/>
  <c r="N101" i="6"/>
  <c r="N95" i="6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M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P87" i="7"/>
  <c r="O87" i="7"/>
  <c r="J87" i="7"/>
  <c r="Z86" i="7"/>
  <c r="W86" i="7"/>
  <c r="T86" i="7"/>
  <c r="P86" i="7"/>
  <c r="M86" i="7"/>
  <c r="O86" i="7" s="1"/>
  <c r="J86" i="7"/>
  <c r="Z85" i="7"/>
  <c r="W85" i="7"/>
  <c r="T85" i="7"/>
  <c r="P85" i="7"/>
  <c r="M85" i="7"/>
  <c r="O85" i="7" s="1"/>
  <c r="J85" i="7"/>
  <c r="Z84" i="7"/>
  <c r="W84" i="7"/>
  <c r="T84" i="7"/>
  <c r="P84" i="7"/>
  <c r="M84" i="7"/>
  <c r="O84" i="7" s="1"/>
  <c r="J84" i="7"/>
  <c r="Z83" i="7"/>
  <c r="W83" i="7"/>
  <c r="T83" i="7"/>
  <c r="P83" i="7"/>
  <c r="M83" i="7"/>
  <c r="O83" i="7" s="1"/>
  <c r="J83" i="7"/>
  <c r="Z82" i="7"/>
  <c r="W82" i="7"/>
  <c r="T82" i="7"/>
  <c r="P82" i="7"/>
  <c r="M82" i="7"/>
  <c r="O82" i="7" s="1"/>
  <c r="J82" i="7"/>
  <c r="Z81" i="7"/>
  <c r="W81" i="7"/>
  <c r="T81" i="7"/>
  <c r="P81" i="7"/>
  <c r="M81" i="7"/>
  <c r="O81" i="7" s="1"/>
  <c r="J81" i="7"/>
  <c r="Z80" i="7"/>
  <c r="W80" i="7"/>
  <c r="T80" i="7"/>
  <c r="P80" i="7"/>
  <c r="M80" i="7"/>
  <c r="O80" i="7" s="1"/>
  <c r="J80" i="7"/>
  <c r="Z79" i="7"/>
  <c r="W79" i="7"/>
  <c r="T79" i="7"/>
  <c r="P79" i="7"/>
  <c r="M79" i="7"/>
  <c r="O79" i="7" s="1"/>
  <c r="J79" i="7"/>
  <c r="Z78" i="7"/>
  <c r="W78" i="7"/>
  <c r="T78" i="7"/>
  <c r="P78" i="7"/>
  <c r="M78" i="7"/>
  <c r="O78" i="7" s="1"/>
  <c r="J78" i="7"/>
  <c r="Z77" i="7"/>
  <c r="W77" i="7"/>
  <c r="T77" i="7"/>
  <c r="P77" i="7"/>
  <c r="M77" i="7"/>
  <c r="O77" i="7" s="1"/>
  <c r="J77" i="7"/>
  <c r="I77" i="7"/>
  <c r="Z76" i="7"/>
  <c r="W76" i="7"/>
  <c r="T76" i="7"/>
  <c r="P76" i="7"/>
  <c r="M76" i="7"/>
  <c r="O76" i="7" s="1"/>
  <c r="J76" i="7"/>
  <c r="I76" i="7"/>
  <c r="Z75" i="7"/>
  <c r="W75" i="7"/>
  <c r="T75" i="7"/>
  <c r="P75" i="7"/>
  <c r="M75" i="7"/>
  <c r="O75" i="7" s="1"/>
  <c r="J75" i="7"/>
  <c r="I75" i="7"/>
  <c r="Z74" i="7"/>
  <c r="W74" i="7"/>
  <c r="T74" i="7"/>
  <c r="P74" i="7"/>
  <c r="M74" i="7"/>
  <c r="O74" i="7" s="1"/>
  <c r="J74" i="7"/>
  <c r="I74" i="7"/>
  <c r="Z73" i="7"/>
  <c r="W73" i="7"/>
  <c r="T73" i="7"/>
  <c r="P73" i="7"/>
  <c r="M73" i="7"/>
  <c r="O73" i="7" s="1"/>
  <c r="J73" i="7"/>
  <c r="I73" i="7"/>
  <c r="Z72" i="7"/>
  <c r="W72" i="7"/>
  <c r="T72" i="7"/>
  <c r="P72" i="7"/>
  <c r="M72" i="7"/>
  <c r="O72" i="7" s="1"/>
  <c r="J72" i="7"/>
  <c r="Z71" i="7"/>
  <c r="W71" i="7"/>
  <c r="T71" i="7"/>
  <c r="P71" i="7"/>
  <c r="M71" i="7"/>
  <c r="O71" i="7" s="1"/>
  <c r="J71" i="7"/>
  <c r="I71" i="7"/>
  <c r="Z70" i="7"/>
  <c r="W70" i="7"/>
  <c r="T70" i="7"/>
  <c r="P70" i="7"/>
  <c r="M70" i="7"/>
  <c r="O70" i="7" s="1"/>
  <c r="J70" i="7"/>
  <c r="I70" i="7"/>
  <c r="Z69" i="7"/>
  <c r="W69" i="7"/>
  <c r="T69" i="7"/>
  <c r="P69" i="7"/>
  <c r="M69" i="7"/>
  <c r="O69" i="7" s="1"/>
  <c r="J69" i="7"/>
  <c r="I69" i="7"/>
  <c r="Z68" i="7"/>
  <c r="W68" i="7"/>
  <c r="T68" i="7"/>
  <c r="P68" i="7"/>
  <c r="M68" i="7"/>
  <c r="O68" i="7" s="1"/>
  <c r="J68" i="7"/>
  <c r="I68" i="7"/>
  <c r="Z67" i="7"/>
  <c r="W67" i="7"/>
  <c r="T67" i="7"/>
  <c r="P67" i="7"/>
  <c r="M67" i="7"/>
  <c r="O67" i="7" s="1"/>
  <c r="J67" i="7"/>
  <c r="I67" i="7"/>
  <c r="Z66" i="7"/>
  <c r="W66" i="7"/>
  <c r="T66" i="7"/>
  <c r="P66" i="7"/>
  <c r="M66" i="7"/>
  <c r="O66" i="7" s="1"/>
  <c r="J66" i="7"/>
  <c r="I66" i="7"/>
  <c r="Z65" i="7"/>
  <c r="W65" i="7"/>
  <c r="T65" i="7"/>
  <c r="P65" i="7"/>
  <c r="M65" i="7"/>
  <c r="O65" i="7" s="1"/>
  <c r="J65" i="7"/>
  <c r="I65" i="7"/>
  <c r="Z64" i="7"/>
  <c r="W64" i="7"/>
  <c r="T64" i="7"/>
  <c r="P64" i="7"/>
  <c r="M64" i="7"/>
  <c r="O64" i="7" s="1"/>
  <c r="J64" i="7"/>
  <c r="I64" i="7"/>
  <c r="Z63" i="7"/>
  <c r="W63" i="7"/>
  <c r="T63" i="7"/>
  <c r="P63" i="7"/>
  <c r="M63" i="7"/>
  <c r="O63" i="7" s="1"/>
  <c r="J63" i="7"/>
  <c r="I63" i="7"/>
  <c r="Z62" i="7"/>
  <c r="W62" i="7"/>
  <c r="T62" i="7"/>
  <c r="P62" i="7"/>
  <c r="M62" i="7"/>
  <c r="O62" i="7" s="1"/>
  <c r="J62" i="7"/>
  <c r="I62" i="7"/>
  <c r="Z61" i="7"/>
  <c r="W61" i="7"/>
  <c r="T61" i="7"/>
  <c r="P61" i="7"/>
  <c r="M61" i="7"/>
  <c r="O61" i="7" s="1"/>
  <c r="I61" i="7"/>
  <c r="Z60" i="7"/>
  <c r="W60" i="7"/>
  <c r="T60" i="7"/>
  <c r="P60" i="7"/>
  <c r="M60" i="7"/>
  <c r="O60" i="7" s="1"/>
  <c r="Z59" i="7"/>
  <c r="W59" i="7"/>
  <c r="T59" i="7"/>
  <c r="P59" i="7"/>
  <c r="M59" i="7"/>
  <c r="O59" i="7" s="1"/>
  <c r="I59" i="7"/>
  <c r="Z58" i="7"/>
  <c r="W58" i="7"/>
  <c r="T58" i="7"/>
  <c r="P58" i="7"/>
  <c r="M58" i="7"/>
  <c r="O58" i="7" s="1"/>
  <c r="J58" i="7"/>
  <c r="I58" i="7"/>
  <c r="Z57" i="7"/>
  <c r="W57" i="7"/>
  <c r="T57" i="7"/>
  <c r="P57" i="7"/>
  <c r="M57" i="7"/>
  <c r="O57" i="7" s="1"/>
  <c r="J57" i="7"/>
  <c r="I57" i="7"/>
  <c r="Z56" i="7"/>
  <c r="W56" i="7"/>
  <c r="T56" i="7"/>
  <c r="P56" i="7"/>
  <c r="M56" i="7"/>
  <c r="J56" i="7"/>
  <c r="I56" i="7"/>
  <c r="Z55" i="7"/>
  <c r="W55" i="7"/>
  <c r="T55" i="7"/>
  <c r="P55" i="7"/>
  <c r="M55" i="7"/>
  <c r="J55" i="7"/>
  <c r="I55" i="7"/>
  <c r="Z54" i="7"/>
  <c r="W54" i="7"/>
  <c r="T54" i="7"/>
  <c r="P54" i="7"/>
  <c r="M54" i="7"/>
  <c r="O54" i="7" s="1"/>
  <c r="J54" i="7"/>
  <c r="I54" i="7"/>
  <c r="Z53" i="7"/>
  <c r="W53" i="7"/>
  <c r="T53" i="7"/>
  <c r="P53" i="7"/>
  <c r="M53" i="7"/>
  <c r="J53" i="7"/>
  <c r="I53" i="7"/>
  <c r="Z52" i="7"/>
  <c r="W52" i="7"/>
  <c r="T52" i="7"/>
  <c r="P52" i="7"/>
  <c r="M52" i="7"/>
  <c r="J52" i="7"/>
  <c r="I52" i="7"/>
  <c r="Z51" i="7"/>
  <c r="W51" i="7"/>
  <c r="T51" i="7"/>
  <c r="P51" i="7"/>
  <c r="M51" i="7"/>
  <c r="J51" i="7"/>
  <c r="I51" i="7"/>
  <c r="Z50" i="7"/>
  <c r="W50" i="7"/>
  <c r="T50" i="7"/>
  <c r="P50" i="7"/>
  <c r="M50" i="7"/>
  <c r="O50" i="7" s="1"/>
  <c r="J50" i="7"/>
  <c r="I50" i="7"/>
  <c r="Z49" i="7"/>
  <c r="W49" i="7"/>
  <c r="T49" i="7"/>
  <c r="P49" i="7"/>
  <c r="M49" i="7"/>
  <c r="J49" i="7"/>
  <c r="I49" i="7"/>
  <c r="Z48" i="7"/>
  <c r="W48" i="7"/>
  <c r="T48" i="7"/>
  <c r="P48" i="7"/>
  <c r="M48" i="7"/>
  <c r="J48" i="7"/>
  <c r="I48" i="7"/>
  <c r="Z47" i="7"/>
  <c r="W47" i="7"/>
  <c r="T47" i="7"/>
  <c r="P47" i="7"/>
  <c r="M47" i="7"/>
  <c r="J47" i="7"/>
  <c r="I47" i="7"/>
  <c r="Z46" i="7"/>
  <c r="W46" i="7"/>
  <c r="T46" i="7"/>
  <c r="P46" i="7"/>
  <c r="M46" i="7"/>
  <c r="O46" i="7" s="1"/>
  <c r="J46" i="7"/>
  <c r="I46" i="7"/>
  <c r="Z45" i="7"/>
  <c r="W45" i="7"/>
  <c r="T45" i="7"/>
  <c r="P45" i="7"/>
  <c r="M45" i="7"/>
  <c r="J45" i="7"/>
  <c r="I45" i="7"/>
  <c r="Z44" i="7"/>
  <c r="W44" i="7"/>
  <c r="T44" i="7"/>
  <c r="P44" i="7"/>
  <c r="M44" i="7"/>
  <c r="J44" i="7"/>
  <c r="I44" i="7"/>
  <c r="Z43" i="7"/>
  <c r="W43" i="7"/>
  <c r="T43" i="7"/>
  <c r="P43" i="7"/>
  <c r="M43" i="7"/>
  <c r="J43" i="7"/>
  <c r="I43" i="7"/>
  <c r="Z42" i="7"/>
  <c r="W42" i="7"/>
  <c r="T42" i="7"/>
  <c r="P42" i="7"/>
  <c r="M42" i="7"/>
  <c r="O42" i="7" s="1"/>
  <c r="J42" i="7"/>
  <c r="I42" i="7"/>
  <c r="Z41" i="7"/>
  <c r="W41" i="7"/>
  <c r="T41" i="7"/>
  <c r="P41" i="7"/>
  <c r="M41" i="7"/>
  <c r="J41" i="7"/>
  <c r="I41" i="7"/>
  <c r="Z40" i="7"/>
  <c r="W40" i="7"/>
  <c r="T40" i="7"/>
  <c r="P40" i="7"/>
  <c r="M40" i="7"/>
  <c r="J40" i="7"/>
  <c r="I40" i="7"/>
  <c r="Z39" i="7"/>
  <c r="W39" i="7"/>
  <c r="T39" i="7"/>
  <c r="P39" i="7"/>
  <c r="M39" i="7"/>
  <c r="J39" i="7"/>
  <c r="I39" i="7"/>
  <c r="Z38" i="7"/>
  <c r="W38" i="7"/>
  <c r="T38" i="7"/>
  <c r="P38" i="7"/>
  <c r="M38" i="7"/>
  <c r="O38" i="7" s="1"/>
  <c r="J38" i="7"/>
  <c r="I38" i="7"/>
  <c r="Z37" i="7"/>
  <c r="W37" i="7"/>
  <c r="T37" i="7"/>
  <c r="P37" i="7"/>
  <c r="M37" i="7"/>
  <c r="J37" i="7"/>
  <c r="I37" i="7"/>
  <c r="Z36" i="7"/>
  <c r="W36" i="7"/>
  <c r="T36" i="7"/>
  <c r="P36" i="7"/>
  <c r="M36" i="7"/>
  <c r="J36" i="7"/>
  <c r="I36" i="7"/>
  <c r="Z35" i="7"/>
  <c r="W35" i="7"/>
  <c r="T35" i="7"/>
  <c r="P35" i="7"/>
  <c r="M35" i="7"/>
  <c r="J35" i="7"/>
  <c r="I35" i="7"/>
  <c r="Z34" i="7"/>
  <c r="W34" i="7"/>
  <c r="T34" i="7"/>
  <c r="P34" i="7"/>
  <c r="M34" i="7"/>
  <c r="J34" i="7"/>
  <c r="I34" i="7"/>
  <c r="Z33" i="7"/>
  <c r="W33" i="7"/>
  <c r="T33" i="7"/>
  <c r="P33" i="7"/>
  <c r="M33" i="7"/>
  <c r="J33" i="7"/>
  <c r="I33" i="7"/>
  <c r="Z32" i="7"/>
  <c r="W32" i="7"/>
  <c r="T32" i="7"/>
  <c r="P32" i="7"/>
  <c r="M32" i="7"/>
  <c r="J32" i="7"/>
  <c r="I32" i="7"/>
  <c r="Z31" i="7"/>
  <c r="W31" i="7"/>
  <c r="T31" i="7"/>
  <c r="P31" i="7"/>
  <c r="J31" i="7"/>
  <c r="I31" i="7"/>
  <c r="Z30" i="7"/>
  <c r="W30" i="7"/>
  <c r="T30" i="7"/>
  <c r="P30" i="7"/>
  <c r="M30" i="7"/>
  <c r="J30" i="7"/>
  <c r="I30" i="7"/>
  <c r="Z29" i="7"/>
  <c r="W29" i="7"/>
  <c r="T29" i="7"/>
  <c r="P29" i="7"/>
  <c r="M29" i="7"/>
  <c r="J29" i="7"/>
  <c r="I29" i="7"/>
  <c r="Z28" i="7"/>
  <c r="W28" i="7"/>
  <c r="T28" i="7"/>
  <c r="P28" i="7"/>
  <c r="M28" i="7"/>
  <c r="J28" i="7"/>
  <c r="I28" i="7"/>
  <c r="Z27" i="7"/>
  <c r="W27" i="7"/>
  <c r="T27" i="7"/>
  <c r="P27" i="7"/>
  <c r="M27" i="7"/>
  <c r="O27" i="7" s="1"/>
  <c r="J27" i="7"/>
  <c r="I27" i="7"/>
  <c r="Z26" i="7"/>
  <c r="W26" i="7"/>
  <c r="T26" i="7"/>
  <c r="P26" i="7"/>
  <c r="M26" i="7"/>
  <c r="J26" i="7"/>
  <c r="I26" i="7"/>
  <c r="Z25" i="7"/>
  <c r="W25" i="7"/>
  <c r="T25" i="7"/>
  <c r="P25" i="7"/>
  <c r="M25" i="7"/>
  <c r="J25" i="7"/>
  <c r="I25" i="7"/>
  <c r="Z24" i="7"/>
  <c r="W24" i="7"/>
  <c r="T24" i="7"/>
  <c r="P24" i="7"/>
  <c r="M24" i="7"/>
  <c r="J24" i="7"/>
  <c r="I24" i="7"/>
  <c r="Z23" i="7"/>
  <c r="W23" i="7"/>
  <c r="T23" i="7"/>
  <c r="P23" i="7"/>
  <c r="M23" i="7"/>
  <c r="O23" i="7" s="1"/>
  <c r="J23" i="7"/>
  <c r="I23" i="7"/>
  <c r="Z22" i="7"/>
  <c r="W22" i="7"/>
  <c r="T22" i="7"/>
  <c r="P22" i="7"/>
  <c r="M22" i="7"/>
  <c r="O22" i="7" s="1"/>
  <c r="J22" i="7"/>
  <c r="I22" i="7"/>
  <c r="Z21" i="7"/>
  <c r="W21" i="7"/>
  <c r="T21" i="7"/>
  <c r="P21" i="7"/>
  <c r="M21" i="7"/>
  <c r="J21" i="7"/>
  <c r="I21" i="7"/>
  <c r="Z20" i="7"/>
  <c r="W20" i="7"/>
  <c r="T20" i="7"/>
  <c r="P20" i="7"/>
  <c r="M20" i="7"/>
  <c r="J20" i="7"/>
  <c r="I20" i="7"/>
  <c r="Z19" i="7"/>
  <c r="W19" i="7"/>
  <c r="T19" i="7"/>
  <c r="P19" i="7"/>
  <c r="M19" i="7"/>
  <c r="O19" i="7" s="1"/>
  <c r="J19" i="7"/>
  <c r="I19" i="7"/>
  <c r="Z18" i="7"/>
  <c r="W18" i="7"/>
  <c r="T18" i="7"/>
  <c r="P18" i="7"/>
  <c r="M18" i="7"/>
  <c r="J18" i="7"/>
  <c r="I18" i="7"/>
  <c r="Z17" i="7"/>
  <c r="W17" i="7"/>
  <c r="T17" i="7"/>
  <c r="P17" i="7"/>
  <c r="M17" i="7"/>
  <c r="J17" i="7"/>
  <c r="I17" i="7"/>
  <c r="Z16" i="7"/>
  <c r="W16" i="7"/>
  <c r="T16" i="7"/>
  <c r="P16" i="7"/>
  <c r="M16" i="7"/>
  <c r="J16" i="7"/>
  <c r="I16" i="7"/>
  <c r="Z15" i="7"/>
  <c r="W15" i="7"/>
  <c r="T15" i="7"/>
  <c r="P15" i="7"/>
  <c r="M15" i="7"/>
  <c r="O15" i="7" s="1"/>
  <c r="J15" i="7"/>
  <c r="I15" i="7"/>
  <c r="Z14" i="7"/>
  <c r="W14" i="7"/>
  <c r="T14" i="7"/>
  <c r="P14" i="7"/>
  <c r="M14" i="7"/>
  <c r="J14" i="7"/>
  <c r="I14" i="7"/>
  <c r="Z13" i="7"/>
  <c r="W13" i="7"/>
  <c r="T13" i="7"/>
  <c r="P13" i="7"/>
  <c r="M13" i="7"/>
  <c r="J13" i="7"/>
  <c r="I13" i="7"/>
  <c r="Z12" i="7"/>
  <c r="W12" i="7"/>
  <c r="T12" i="7"/>
  <c r="P12" i="7"/>
  <c r="M12" i="7"/>
  <c r="J12" i="7"/>
  <c r="I12" i="7"/>
  <c r="Z11" i="7"/>
  <c r="W11" i="7"/>
  <c r="T11" i="7"/>
  <c r="P11" i="7"/>
  <c r="M11" i="7"/>
  <c r="O11" i="7" s="1"/>
  <c r="J11" i="7"/>
  <c r="I11" i="7"/>
  <c r="Z10" i="7"/>
  <c r="W10" i="7"/>
  <c r="T10" i="7"/>
  <c r="P10" i="7"/>
  <c r="M10" i="7"/>
  <c r="J10" i="7"/>
  <c r="I10" i="7"/>
  <c r="Z9" i="7"/>
  <c r="W9" i="7"/>
  <c r="T9" i="7"/>
  <c r="P9" i="7"/>
  <c r="M9" i="7"/>
  <c r="J9" i="7"/>
  <c r="I9" i="7"/>
  <c r="Z8" i="7"/>
  <c r="W8" i="7"/>
  <c r="T8" i="7"/>
  <c r="P8" i="7"/>
  <c r="M8" i="7"/>
  <c r="J8" i="7"/>
  <c r="I8" i="7"/>
  <c r="Z7" i="7"/>
  <c r="W7" i="7"/>
  <c r="T7" i="7"/>
  <c r="P7" i="7"/>
  <c r="M7" i="7"/>
  <c r="J7" i="7"/>
  <c r="I7" i="7"/>
  <c r="Z6" i="7"/>
  <c r="W6" i="7"/>
  <c r="T6" i="7"/>
  <c r="P6" i="7"/>
  <c r="M6" i="7"/>
  <c r="O6" i="7" s="1"/>
  <c r="J6" i="7"/>
  <c r="I6" i="7"/>
  <c r="Z5" i="7"/>
  <c r="W5" i="7"/>
  <c r="T5" i="7"/>
  <c r="P5" i="7"/>
  <c r="M5" i="7"/>
  <c r="J5" i="7"/>
  <c r="I5" i="7"/>
  <c r="Z4" i="7"/>
  <c r="W4" i="7"/>
  <c r="T4" i="7"/>
  <c r="P4" i="7"/>
  <c r="M4" i="7"/>
  <c r="J4" i="7"/>
  <c r="I4" i="7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L5" i="6"/>
  <c r="N5" i="6" s="1"/>
  <c r="L6" i="6"/>
  <c r="N6" i="6" s="1"/>
  <c r="L7" i="6"/>
  <c r="N7" i="6" s="1"/>
  <c r="L8" i="6"/>
  <c r="N8" i="6" s="1"/>
  <c r="L9" i="6"/>
  <c r="N9" i="6" s="1"/>
  <c r="L10" i="6"/>
  <c r="N10" i="6" s="1"/>
  <c r="L11" i="6"/>
  <c r="N11" i="6" s="1"/>
  <c r="L12" i="6"/>
  <c r="N12" i="6" s="1"/>
  <c r="L13" i="6"/>
  <c r="N13" i="6" s="1"/>
  <c r="L14" i="6"/>
  <c r="N14" i="6" s="1"/>
  <c r="L15" i="6"/>
  <c r="N15" i="6" s="1"/>
  <c r="L16" i="6"/>
  <c r="N16" i="6" s="1"/>
  <c r="L17" i="6"/>
  <c r="N17" i="6" s="1"/>
  <c r="L18" i="6"/>
  <c r="N18" i="6" s="1"/>
  <c r="L19" i="6"/>
  <c r="N19" i="6" s="1"/>
  <c r="L20" i="6"/>
  <c r="N20" i="6" s="1"/>
  <c r="L21" i="6"/>
  <c r="N21" i="6" s="1"/>
  <c r="L22" i="6"/>
  <c r="N22" i="6" s="1"/>
  <c r="L23" i="6"/>
  <c r="N23" i="6" s="1"/>
  <c r="L24" i="6"/>
  <c r="N24" i="6" s="1"/>
  <c r="L25" i="6"/>
  <c r="N25" i="6" s="1"/>
  <c r="L26" i="6"/>
  <c r="N26" i="6" s="1"/>
  <c r="L27" i="6"/>
  <c r="N27" i="6" s="1"/>
  <c r="L28" i="6"/>
  <c r="N28" i="6" s="1"/>
  <c r="L29" i="6"/>
  <c r="N29" i="6" s="1"/>
  <c r="L30" i="6"/>
  <c r="N30" i="6" s="1"/>
  <c r="L31" i="6"/>
  <c r="N31" i="6" s="1"/>
  <c r="L32" i="6"/>
  <c r="N32" i="6" s="1"/>
  <c r="L33" i="6"/>
  <c r="N33" i="6" s="1"/>
  <c r="L34" i="6"/>
  <c r="N34" i="6" s="1"/>
  <c r="L35" i="6"/>
  <c r="N35" i="6" s="1"/>
  <c r="L36" i="6"/>
  <c r="N36" i="6" s="1"/>
  <c r="L37" i="6"/>
  <c r="N37" i="6" s="1"/>
  <c r="L38" i="6"/>
  <c r="N38" i="6" s="1"/>
  <c r="L39" i="6"/>
  <c r="N39" i="6" s="1"/>
  <c r="L40" i="6"/>
  <c r="N40" i="6" s="1"/>
  <c r="L41" i="6"/>
  <c r="N41" i="6" s="1"/>
  <c r="L42" i="6"/>
  <c r="N42" i="6" s="1"/>
  <c r="L43" i="6"/>
  <c r="N43" i="6" s="1"/>
  <c r="L44" i="6"/>
  <c r="N44" i="6" s="1"/>
  <c r="L45" i="6"/>
  <c r="N45" i="6" s="1"/>
  <c r="L46" i="6"/>
  <c r="N46" i="6" s="1"/>
  <c r="L47" i="6"/>
  <c r="N47" i="6" s="1"/>
  <c r="L48" i="6"/>
  <c r="N48" i="6" s="1"/>
  <c r="L49" i="6"/>
  <c r="N49" i="6" s="1"/>
  <c r="L50" i="6"/>
  <c r="N50" i="6" s="1"/>
  <c r="L51" i="6"/>
  <c r="N51" i="6" s="1"/>
  <c r="L52" i="6"/>
  <c r="N52" i="6" s="1"/>
  <c r="L53" i="6"/>
  <c r="N53" i="6" s="1"/>
  <c r="L54" i="6"/>
  <c r="N54" i="6" s="1"/>
  <c r="L55" i="6"/>
  <c r="N55" i="6" s="1"/>
  <c r="L56" i="6"/>
  <c r="N56" i="6" s="1"/>
  <c r="L57" i="6"/>
  <c r="N57" i="6" s="1"/>
  <c r="L58" i="6"/>
  <c r="N58" i="6" s="1"/>
  <c r="L59" i="6"/>
  <c r="N59" i="6" s="1"/>
  <c r="L60" i="6"/>
  <c r="N60" i="6" s="1"/>
  <c r="L61" i="6"/>
  <c r="N61" i="6" s="1"/>
  <c r="L62" i="6"/>
  <c r="N62" i="6" s="1"/>
  <c r="L63" i="6"/>
  <c r="N63" i="6" s="1"/>
  <c r="L64" i="6"/>
  <c r="N64" i="6" s="1"/>
  <c r="L65" i="6"/>
  <c r="N65" i="6" s="1"/>
  <c r="L66" i="6"/>
  <c r="N66" i="6" s="1"/>
  <c r="L67" i="6"/>
  <c r="N67" i="6" s="1"/>
  <c r="L68" i="6"/>
  <c r="N68" i="6" s="1"/>
  <c r="L69" i="6"/>
  <c r="N69" i="6" s="1"/>
  <c r="L70" i="6"/>
  <c r="N70" i="6" s="1"/>
  <c r="L71" i="6"/>
  <c r="N71" i="6" s="1"/>
  <c r="L72" i="6"/>
  <c r="N72" i="6" s="1"/>
  <c r="L73" i="6"/>
  <c r="N73" i="6" s="1"/>
  <c r="L74" i="6"/>
  <c r="N74" i="6" s="1"/>
  <c r="L75" i="6"/>
  <c r="N75" i="6" s="1"/>
  <c r="L76" i="6"/>
  <c r="N76" i="6" s="1"/>
  <c r="L77" i="6"/>
  <c r="N77" i="6" s="1"/>
  <c r="L78" i="6"/>
  <c r="N78" i="6" s="1"/>
  <c r="L79" i="6"/>
  <c r="N79" i="6" s="1"/>
  <c r="L80" i="6"/>
  <c r="N80" i="6" s="1"/>
  <c r="L81" i="6"/>
  <c r="N81" i="6" s="1"/>
  <c r="L82" i="6"/>
  <c r="N82" i="6" s="1"/>
  <c r="L83" i="6"/>
  <c r="N83" i="6" s="1"/>
  <c r="L84" i="6"/>
  <c r="N84" i="6" s="1"/>
  <c r="L85" i="6"/>
  <c r="N85" i="6" s="1"/>
  <c r="L86" i="6"/>
  <c r="N86" i="6" s="1"/>
  <c r="L87" i="6"/>
  <c r="N87" i="6" s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AA86" i="6"/>
  <c r="AA85" i="6"/>
  <c r="AA84" i="6"/>
  <c r="AA83" i="6"/>
  <c r="AA82" i="6"/>
  <c r="AA81" i="6"/>
  <c r="AA80" i="6"/>
  <c r="U79" i="6"/>
  <c r="U78" i="6"/>
  <c r="AA76" i="6"/>
  <c r="U76" i="6"/>
  <c r="AA75" i="6"/>
  <c r="U75" i="6"/>
  <c r="AA74" i="6"/>
  <c r="U74" i="6"/>
  <c r="AA73" i="6"/>
  <c r="U73" i="6"/>
  <c r="AA72" i="6"/>
  <c r="U72" i="6"/>
  <c r="AA71" i="6"/>
  <c r="U71" i="6"/>
  <c r="AA70" i="6"/>
  <c r="X70" i="6"/>
  <c r="U70" i="6"/>
  <c r="AA69" i="6"/>
  <c r="X69" i="6"/>
  <c r="U69" i="6"/>
  <c r="AA68" i="6"/>
  <c r="X68" i="6"/>
  <c r="U68" i="6"/>
  <c r="AA67" i="6"/>
  <c r="X67" i="6"/>
  <c r="U67" i="6"/>
  <c r="AA66" i="6"/>
  <c r="X66" i="6"/>
  <c r="U66" i="6"/>
  <c r="AA65" i="6"/>
  <c r="X65" i="6"/>
  <c r="U65" i="6"/>
  <c r="AA64" i="6"/>
  <c r="X64" i="6"/>
  <c r="U64" i="6"/>
  <c r="AA63" i="6"/>
  <c r="X63" i="6"/>
  <c r="U63" i="6"/>
  <c r="AA62" i="6"/>
  <c r="X62" i="6"/>
  <c r="U62" i="6"/>
  <c r="AA61" i="6"/>
  <c r="X61" i="6"/>
  <c r="U61" i="6"/>
  <c r="AA60" i="6"/>
  <c r="X60" i="6"/>
  <c r="U60" i="6"/>
  <c r="AA59" i="6"/>
  <c r="X59" i="6"/>
  <c r="U59" i="6"/>
  <c r="AA58" i="6"/>
  <c r="X58" i="6"/>
  <c r="U58" i="6"/>
  <c r="AA57" i="6"/>
  <c r="X57" i="6"/>
  <c r="U57" i="6"/>
  <c r="AA56" i="6"/>
  <c r="X56" i="6"/>
  <c r="U56" i="6"/>
  <c r="AA55" i="6"/>
  <c r="X55" i="6"/>
  <c r="U55" i="6"/>
  <c r="AA54" i="6"/>
  <c r="X54" i="6"/>
  <c r="U54" i="6"/>
  <c r="AA53" i="6"/>
  <c r="X53" i="6"/>
  <c r="U53" i="6"/>
  <c r="AA52" i="6"/>
  <c r="X52" i="6"/>
  <c r="U52" i="6"/>
  <c r="AA51" i="6"/>
  <c r="X51" i="6"/>
  <c r="U51" i="6"/>
  <c r="AA50" i="6"/>
  <c r="X50" i="6"/>
  <c r="U50" i="6"/>
  <c r="AA49" i="6"/>
  <c r="X49" i="6"/>
  <c r="U49" i="6"/>
  <c r="AA48" i="6"/>
  <c r="X48" i="6"/>
  <c r="U48" i="6"/>
  <c r="AA47" i="6"/>
  <c r="X47" i="6"/>
  <c r="U47" i="6"/>
  <c r="AA46" i="6"/>
  <c r="X46" i="6"/>
  <c r="U46" i="6"/>
  <c r="AA45" i="6"/>
  <c r="X45" i="6"/>
  <c r="U45" i="6"/>
  <c r="AA44" i="6"/>
  <c r="X44" i="6"/>
  <c r="U44" i="6"/>
  <c r="AA43" i="6"/>
  <c r="X43" i="6"/>
  <c r="U43" i="6"/>
  <c r="AA42" i="6"/>
  <c r="X42" i="6"/>
  <c r="U42" i="6"/>
  <c r="AA41" i="6"/>
  <c r="X41" i="6"/>
  <c r="U41" i="6"/>
  <c r="AA40" i="6"/>
  <c r="X40" i="6"/>
  <c r="U40" i="6"/>
  <c r="AA39" i="6"/>
  <c r="X39" i="6"/>
  <c r="U39" i="6"/>
  <c r="AA38" i="6"/>
  <c r="X38" i="6"/>
  <c r="U38" i="6"/>
  <c r="AA37" i="6"/>
  <c r="X37" i="6"/>
  <c r="U37" i="6"/>
  <c r="AA36" i="6"/>
  <c r="X36" i="6"/>
  <c r="U36" i="6"/>
  <c r="AA35" i="6"/>
  <c r="X35" i="6"/>
  <c r="U35" i="6"/>
  <c r="AA34" i="6"/>
  <c r="X34" i="6"/>
  <c r="U34" i="6"/>
  <c r="AA33" i="6"/>
  <c r="X33" i="6"/>
  <c r="U33" i="6"/>
  <c r="AA32" i="6"/>
  <c r="X32" i="6"/>
  <c r="U32" i="6"/>
  <c r="AA31" i="6"/>
  <c r="X31" i="6"/>
  <c r="U31" i="6"/>
  <c r="AA30" i="6"/>
  <c r="X30" i="6"/>
  <c r="U30" i="6"/>
  <c r="AA29" i="6"/>
  <c r="X29" i="6"/>
  <c r="U29" i="6"/>
  <c r="AA28" i="6"/>
  <c r="X28" i="6"/>
  <c r="U28" i="6"/>
  <c r="AA27" i="6"/>
  <c r="X27" i="6"/>
  <c r="U27" i="6"/>
  <c r="AA26" i="6"/>
  <c r="X26" i="6"/>
  <c r="U26" i="6"/>
  <c r="AA25" i="6"/>
  <c r="X25" i="6"/>
  <c r="U25" i="6"/>
  <c r="AA24" i="6"/>
  <c r="X24" i="6"/>
  <c r="U24" i="6"/>
  <c r="AA23" i="6"/>
  <c r="X23" i="6"/>
  <c r="U23" i="6"/>
  <c r="AA22" i="6"/>
  <c r="X22" i="6"/>
  <c r="U22" i="6"/>
  <c r="AA21" i="6"/>
  <c r="X21" i="6"/>
  <c r="U21" i="6"/>
  <c r="AA20" i="6"/>
  <c r="X20" i="6"/>
  <c r="U20" i="6"/>
  <c r="AA19" i="6"/>
  <c r="X19" i="6"/>
  <c r="U19" i="6"/>
  <c r="AA18" i="6"/>
  <c r="X18" i="6"/>
  <c r="U18" i="6"/>
  <c r="AA17" i="6"/>
  <c r="X17" i="6"/>
  <c r="U17" i="6"/>
  <c r="AA16" i="6"/>
  <c r="U16" i="6"/>
  <c r="AA15" i="6"/>
  <c r="U15" i="6"/>
  <c r="AA14" i="6"/>
  <c r="U14" i="6"/>
  <c r="AA13" i="6"/>
  <c r="U13" i="6"/>
  <c r="AA12" i="6"/>
  <c r="U12" i="6"/>
  <c r="AA11" i="6"/>
  <c r="U11" i="6"/>
  <c r="AA10" i="6"/>
  <c r="U10" i="6"/>
  <c r="AA9" i="6"/>
  <c r="U9" i="6"/>
  <c r="AA8" i="6"/>
  <c r="U8" i="6"/>
  <c r="AA7" i="6"/>
  <c r="U7" i="6"/>
  <c r="AA6" i="6"/>
  <c r="X6" i="6"/>
  <c r="U6" i="6"/>
  <c r="AA5" i="6"/>
  <c r="X5" i="6"/>
  <c r="U5" i="6"/>
  <c r="AA4" i="6"/>
  <c r="X4" i="6"/>
  <c r="U4" i="6"/>
  <c r="Q4" i="6"/>
  <c r="L4" i="6"/>
  <c r="N4" i="6" s="1"/>
  <c r="I4" i="6"/>
  <c r="H4" i="6"/>
  <c r="M143" i="2"/>
  <c r="M142" i="2"/>
  <c r="M141" i="2"/>
  <c r="M140" i="2"/>
  <c r="L140" i="2"/>
  <c r="M139" i="2"/>
  <c r="M138" i="2"/>
  <c r="M137" i="2"/>
  <c r="M136" i="2"/>
  <c r="M135" i="2"/>
  <c r="M134" i="2"/>
  <c r="M133" i="2"/>
  <c r="H133" i="2"/>
  <c r="H134" i="2"/>
  <c r="H135" i="2"/>
  <c r="H136" i="2"/>
  <c r="H137" i="2"/>
  <c r="H138" i="2"/>
  <c r="H139" i="2"/>
  <c r="H140" i="2"/>
  <c r="H141" i="2"/>
  <c r="H142" i="2"/>
  <c r="H143" i="2"/>
  <c r="I133" i="2"/>
  <c r="I134" i="2"/>
  <c r="I135" i="2"/>
  <c r="I136" i="2"/>
  <c r="I137" i="2"/>
  <c r="I138" i="2"/>
  <c r="I139" i="2"/>
  <c r="I140" i="2"/>
  <c r="I141" i="2"/>
  <c r="I142" i="2"/>
  <c r="I143" i="2"/>
  <c r="L133" i="2"/>
  <c r="L134" i="2"/>
  <c r="L135" i="2"/>
  <c r="L136" i="2"/>
  <c r="L137" i="2"/>
  <c r="L138" i="2"/>
  <c r="L139" i="2"/>
  <c r="N139" i="2" s="1"/>
  <c r="L141" i="2"/>
  <c r="L142" i="2"/>
  <c r="L143" i="2"/>
  <c r="N143" i="2" s="1"/>
  <c r="Q133" i="2"/>
  <c r="Q134" i="2"/>
  <c r="Q135" i="2"/>
  <c r="Q136" i="2"/>
  <c r="Q137" i="2"/>
  <c r="Q138" i="2"/>
  <c r="Q139" i="2"/>
  <c r="Q140" i="2"/>
  <c r="Q141" i="2"/>
  <c r="Q142" i="2"/>
  <c r="Q143" i="2"/>
  <c r="Q128" i="2"/>
  <c r="Q129" i="2"/>
  <c r="Q130" i="2"/>
  <c r="Q131" i="2"/>
  <c r="Q132" i="2"/>
  <c r="M132" i="2"/>
  <c r="M131" i="2"/>
  <c r="L131" i="2"/>
  <c r="N131" i="2" s="1"/>
  <c r="M130" i="2"/>
  <c r="M129" i="2"/>
  <c r="M128" i="2"/>
  <c r="Q118" i="2"/>
  <c r="Q119" i="2"/>
  <c r="Q120" i="2"/>
  <c r="Q121" i="2"/>
  <c r="Q122" i="2"/>
  <c r="Q123" i="2"/>
  <c r="Q124" i="2"/>
  <c r="Q125" i="2"/>
  <c r="Q126" i="2"/>
  <c r="Q127" i="2"/>
  <c r="H128" i="2"/>
  <c r="H129" i="2"/>
  <c r="H130" i="2"/>
  <c r="H131" i="2"/>
  <c r="H132" i="2"/>
  <c r="I128" i="2"/>
  <c r="I129" i="2"/>
  <c r="I130" i="2"/>
  <c r="I131" i="2"/>
  <c r="I132" i="2"/>
  <c r="L128" i="2"/>
  <c r="L129" i="2"/>
  <c r="N129" i="2" s="1"/>
  <c r="L130" i="2"/>
  <c r="L132" i="2"/>
  <c r="M127" i="2"/>
  <c r="M126" i="2"/>
  <c r="M125" i="2"/>
  <c r="M124" i="2"/>
  <c r="M123" i="2"/>
  <c r="M122" i="2"/>
  <c r="M121" i="2"/>
  <c r="M120" i="2"/>
  <c r="M119" i="2"/>
  <c r="M118" i="2"/>
  <c r="H118" i="2"/>
  <c r="H119" i="2"/>
  <c r="H120" i="2"/>
  <c r="H121" i="2"/>
  <c r="H122" i="2"/>
  <c r="H123" i="2"/>
  <c r="H124" i="2"/>
  <c r="H125" i="2"/>
  <c r="H126" i="2"/>
  <c r="H127" i="2"/>
  <c r="I118" i="2"/>
  <c r="I119" i="2"/>
  <c r="I120" i="2"/>
  <c r="I121" i="2"/>
  <c r="I122" i="2"/>
  <c r="I123" i="2"/>
  <c r="I124" i="2"/>
  <c r="I125" i="2"/>
  <c r="I126" i="2"/>
  <c r="I127" i="2"/>
  <c r="L118" i="2"/>
  <c r="L119" i="2"/>
  <c r="L120" i="2"/>
  <c r="N120" i="2" s="1"/>
  <c r="L121" i="2"/>
  <c r="L122" i="2"/>
  <c r="L123" i="2"/>
  <c r="L124" i="2"/>
  <c r="N124" i="2" s="1"/>
  <c r="L125" i="2"/>
  <c r="L126" i="2"/>
  <c r="L127" i="2"/>
  <c r="Q115" i="2"/>
  <c r="Q116" i="2"/>
  <c r="Q117" i="2"/>
  <c r="M117" i="2"/>
  <c r="M116" i="2"/>
  <c r="M115" i="2"/>
  <c r="M114" i="2"/>
  <c r="M113" i="2"/>
  <c r="K113" i="2"/>
  <c r="Q113" i="2" s="1"/>
  <c r="M112" i="2"/>
  <c r="M111" i="2"/>
  <c r="M110" i="2"/>
  <c r="M109" i="2"/>
  <c r="M108" i="2"/>
  <c r="M107" i="2"/>
  <c r="M106" i="2"/>
  <c r="Q106" i="2"/>
  <c r="Q107" i="2"/>
  <c r="Q108" i="2"/>
  <c r="Q109" i="2"/>
  <c r="Q110" i="2"/>
  <c r="Q111" i="2"/>
  <c r="Q112" i="2"/>
  <c r="Q114" i="2"/>
  <c r="M105" i="2"/>
  <c r="Q105" i="2"/>
  <c r="L105" i="2"/>
  <c r="L106" i="2"/>
  <c r="L107" i="2"/>
  <c r="N107" i="2" s="1"/>
  <c r="L108" i="2"/>
  <c r="L109" i="2"/>
  <c r="L110" i="2"/>
  <c r="L111" i="2"/>
  <c r="N111" i="2" s="1"/>
  <c r="L112" i="2"/>
  <c r="L114" i="2"/>
  <c r="L115" i="2"/>
  <c r="L116" i="2"/>
  <c r="N116" i="2" s="1"/>
  <c r="L117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O37" i="7" l="1"/>
  <c r="O53" i="7"/>
  <c r="N114" i="2"/>
  <c r="N122" i="2"/>
  <c r="N134" i="2"/>
  <c r="N137" i="2"/>
  <c r="O26" i="7"/>
  <c r="O33" i="7"/>
  <c r="O41" i="7"/>
  <c r="O49" i="7"/>
  <c r="N126" i="2"/>
  <c r="N118" i="2"/>
  <c r="O5" i="7"/>
  <c r="O9" i="7"/>
  <c r="O17" i="7"/>
  <c r="O21" i="7"/>
  <c r="O25" i="7"/>
  <c r="O32" i="7"/>
  <c r="O36" i="7"/>
  <c r="N117" i="2"/>
  <c r="N127" i="2"/>
  <c r="N123" i="2"/>
  <c r="N119" i="2"/>
  <c r="O40" i="7"/>
  <c r="O44" i="7"/>
  <c r="O48" i="7"/>
  <c r="O52" i="7"/>
  <c r="O56" i="7"/>
  <c r="N136" i="2"/>
  <c r="N109" i="2"/>
  <c r="N132" i="2"/>
  <c r="N133" i="2"/>
  <c r="N140" i="2"/>
  <c r="N112" i="2"/>
  <c r="N130" i="2"/>
  <c r="N142" i="2"/>
  <c r="O8" i="7"/>
  <c r="O16" i="7"/>
  <c r="O20" i="7"/>
  <c r="O28" i="7"/>
  <c r="O43" i="7"/>
  <c r="O47" i="7"/>
  <c r="O51" i="7"/>
  <c r="O55" i="7"/>
  <c r="O45" i="7"/>
  <c r="O39" i="7"/>
  <c r="O35" i="7"/>
  <c r="O34" i="7"/>
  <c r="O31" i="7"/>
  <c r="O30" i="7"/>
  <c r="O29" i="7"/>
  <c r="O24" i="7"/>
  <c r="O18" i="7"/>
  <c r="O14" i="7"/>
  <c r="O13" i="7"/>
  <c r="O12" i="7"/>
  <c r="O10" i="7"/>
  <c r="O7" i="7"/>
  <c r="O4" i="7"/>
  <c r="N141" i="2"/>
  <c r="N138" i="2"/>
  <c r="N135" i="2"/>
  <c r="N128" i="2"/>
  <c r="N125" i="2"/>
  <c r="N121" i="2"/>
  <c r="N115" i="2"/>
  <c r="L113" i="2"/>
  <c r="N113" i="2" s="1"/>
  <c r="N110" i="2"/>
  <c r="N108" i="2"/>
  <c r="N106" i="2"/>
  <c r="N105" i="2"/>
  <c r="M19" i="1"/>
  <c r="M22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M69" i="1"/>
  <c r="L69" i="1"/>
  <c r="Q69" i="1"/>
  <c r="H69" i="1"/>
  <c r="M68" i="1"/>
  <c r="L68" i="1"/>
  <c r="Q68" i="1"/>
  <c r="H68" i="1"/>
  <c r="I68" i="1"/>
  <c r="I69" i="1"/>
  <c r="M67" i="1"/>
  <c r="L67" i="1"/>
  <c r="N67" i="1" s="1"/>
  <c r="Q67" i="1"/>
  <c r="M66" i="1"/>
  <c r="M65" i="1"/>
  <c r="M64" i="1"/>
  <c r="M63" i="1"/>
  <c r="M62" i="1"/>
  <c r="M61" i="1"/>
  <c r="I61" i="1"/>
  <c r="I62" i="1"/>
  <c r="I63" i="1"/>
  <c r="I64" i="1"/>
  <c r="I65" i="1"/>
  <c r="I66" i="1"/>
  <c r="I67" i="1"/>
  <c r="H61" i="1"/>
  <c r="H62" i="1"/>
  <c r="H63" i="1"/>
  <c r="H64" i="1"/>
  <c r="H65" i="1"/>
  <c r="H66" i="1"/>
  <c r="H67" i="1"/>
  <c r="M60" i="1"/>
  <c r="H60" i="1"/>
  <c r="I60" i="1"/>
  <c r="M59" i="1"/>
  <c r="H59" i="1"/>
  <c r="I59" i="1"/>
  <c r="M58" i="1"/>
  <c r="H58" i="1"/>
  <c r="I58" i="1"/>
  <c r="L58" i="1"/>
  <c r="L59" i="1"/>
  <c r="L60" i="1"/>
  <c r="L61" i="1"/>
  <c r="L62" i="1"/>
  <c r="L63" i="1"/>
  <c r="L64" i="1"/>
  <c r="L65" i="1"/>
  <c r="L66" i="1"/>
  <c r="Q58" i="1"/>
  <c r="Q59" i="1"/>
  <c r="Q60" i="1"/>
  <c r="Q61" i="1"/>
  <c r="Q62" i="1"/>
  <c r="Q63" i="1"/>
  <c r="Q64" i="1"/>
  <c r="Q65" i="1"/>
  <c r="Q66" i="1"/>
  <c r="M57" i="1"/>
  <c r="H57" i="1"/>
  <c r="I57" i="1"/>
  <c r="M56" i="1"/>
  <c r="M55" i="1"/>
  <c r="M54" i="1"/>
  <c r="M53" i="1"/>
  <c r="M52" i="1"/>
  <c r="M51" i="1"/>
  <c r="M50" i="1"/>
  <c r="M49" i="1"/>
  <c r="M48" i="1"/>
  <c r="L48" i="1"/>
  <c r="L49" i="1"/>
  <c r="L50" i="1"/>
  <c r="L51" i="1"/>
  <c r="L52" i="1"/>
  <c r="L53" i="1"/>
  <c r="L54" i="1"/>
  <c r="L55" i="1"/>
  <c r="L56" i="1"/>
  <c r="L57" i="1"/>
  <c r="I48" i="1"/>
  <c r="I49" i="1"/>
  <c r="I50" i="1"/>
  <c r="I51" i="1"/>
  <c r="I52" i="1"/>
  <c r="I53" i="1"/>
  <c r="I54" i="1"/>
  <c r="I55" i="1"/>
  <c r="I56" i="1"/>
  <c r="H48" i="1"/>
  <c r="H49" i="1"/>
  <c r="H50" i="1"/>
  <c r="H51" i="1"/>
  <c r="H52" i="1"/>
  <c r="H53" i="1"/>
  <c r="H54" i="1"/>
  <c r="H55" i="1"/>
  <c r="H56" i="1"/>
  <c r="M47" i="1"/>
  <c r="L47" i="1"/>
  <c r="H47" i="1"/>
  <c r="I47" i="1"/>
  <c r="M46" i="1"/>
  <c r="L46" i="1"/>
  <c r="H46" i="1"/>
  <c r="I46" i="1"/>
  <c r="M45" i="1"/>
  <c r="L45" i="1"/>
  <c r="H45" i="1"/>
  <c r="I45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M44" i="1"/>
  <c r="L44" i="1"/>
  <c r="H44" i="1"/>
  <c r="I44" i="1"/>
  <c r="M43" i="1"/>
  <c r="L43" i="1"/>
  <c r="H43" i="1"/>
  <c r="I43" i="1"/>
  <c r="M42" i="1"/>
  <c r="L42" i="1"/>
  <c r="H42" i="1"/>
  <c r="I42" i="1"/>
  <c r="M41" i="1"/>
  <c r="L41" i="1"/>
  <c r="H41" i="1"/>
  <c r="I41" i="1"/>
  <c r="M40" i="1"/>
  <c r="L40" i="1"/>
  <c r="H40" i="1"/>
  <c r="I40" i="1"/>
  <c r="M39" i="1"/>
  <c r="L39" i="1"/>
  <c r="H39" i="1"/>
  <c r="I39" i="1"/>
  <c r="M38" i="1"/>
  <c r="L38" i="1"/>
  <c r="H38" i="1"/>
  <c r="I38" i="1"/>
  <c r="M37" i="1"/>
  <c r="H37" i="1"/>
  <c r="I37" i="1"/>
  <c r="M36" i="1"/>
  <c r="H36" i="1"/>
  <c r="I36" i="1"/>
  <c r="M35" i="1"/>
  <c r="H35" i="1"/>
  <c r="I35" i="1"/>
  <c r="Q34" i="1"/>
  <c r="Q35" i="1"/>
  <c r="Q36" i="1"/>
  <c r="Q37" i="1"/>
  <c r="Q38" i="1"/>
  <c r="Q39" i="1"/>
  <c r="Q40" i="1"/>
  <c r="Q41" i="1"/>
  <c r="Q42" i="1"/>
  <c r="Q43" i="1"/>
  <c r="Q44" i="1"/>
  <c r="M34" i="1"/>
  <c r="H34" i="1"/>
  <c r="I34" i="1"/>
  <c r="M33" i="1"/>
  <c r="Q33" i="1"/>
  <c r="H33" i="1"/>
  <c r="I33" i="1"/>
  <c r="M32" i="1"/>
  <c r="Q32" i="1"/>
  <c r="H32" i="1"/>
  <c r="I32" i="1"/>
  <c r="M31" i="1"/>
  <c r="Q31" i="1"/>
  <c r="I31" i="1"/>
  <c r="M30" i="1"/>
  <c r="Q30" i="1"/>
  <c r="H30" i="1"/>
  <c r="I30" i="1"/>
  <c r="M29" i="1"/>
  <c r="L28" i="1"/>
  <c r="L29" i="1"/>
  <c r="L30" i="1"/>
  <c r="L31" i="1"/>
  <c r="L32" i="1"/>
  <c r="N32" i="1" s="1"/>
  <c r="L33" i="1"/>
  <c r="L34" i="1"/>
  <c r="L35" i="1"/>
  <c r="L36" i="1"/>
  <c r="L37" i="1"/>
  <c r="Q29" i="1"/>
  <c r="H29" i="1"/>
  <c r="I29" i="1"/>
  <c r="Q28" i="1"/>
  <c r="M28" i="1"/>
  <c r="H28" i="1"/>
  <c r="I28" i="1"/>
  <c r="N36" i="1" l="1"/>
  <c r="N31" i="1"/>
  <c r="N51" i="1"/>
  <c r="N59" i="1"/>
  <c r="N63" i="1"/>
  <c r="N57" i="1"/>
  <c r="N54" i="1"/>
  <c r="N68" i="1"/>
  <c r="N56" i="1"/>
  <c r="N48" i="1"/>
  <c r="N43" i="1"/>
  <c r="N45" i="1"/>
  <c r="N46" i="1"/>
  <c r="N47" i="1"/>
  <c r="N53" i="1"/>
  <c r="N65" i="1"/>
  <c r="N61" i="1"/>
  <c r="N28" i="1"/>
  <c r="N37" i="1"/>
  <c r="N29" i="1"/>
  <c r="N38" i="1"/>
  <c r="N40" i="1"/>
  <c r="N41" i="1"/>
  <c r="N42" i="1"/>
  <c r="N52" i="1"/>
  <c r="N44" i="1"/>
  <c r="N69" i="1"/>
  <c r="N50" i="1"/>
  <c r="N66" i="1"/>
  <c r="N55" i="1"/>
  <c r="N64" i="1"/>
  <c r="N62" i="1"/>
  <c r="N60" i="1"/>
  <c r="N58" i="1"/>
  <c r="N49" i="1"/>
  <c r="N39" i="1"/>
  <c r="N35" i="1"/>
  <c r="N34" i="1"/>
  <c r="N33" i="1"/>
  <c r="N30" i="1"/>
  <c r="AD21" i="4" l="1"/>
  <c r="AA21" i="4"/>
  <c r="X21" i="4"/>
  <c r="U21" i="4"/>
  <c r="L21" i="4"/>
  <c r="N21" i="4" s="1"/>
  <c r="AD20" i="4"/>
  <c r="AA20" i="4"/>
  <c r="X20" i="4"/>
  <c r="U20" i="4"/>
  <c r="L20" i="4"/>
  <c r="N20" i="4" s="1"/>
  <c r="AG19" i="4"/>
  <c r="AD19" i="4"/>
  <c r="AA19" i="4"/>
  <c r="X19" i="4"/>
  <c r="U19" i="4"/>
  <c r="L19" i="4"/>
  <c r="N19" i="4" s="1"/>
  <c r="AD18" i="4"/>
  <c r="AA18" i="4"/>
  <c r="X18" i="4"/>
  <c r="U18" i="4"/>
  <c r="L18" i="4"/>
  <c r="N18" i="4" s="1"/>
  <c r="AD17" i="4"/>
  <c r="AA17" i="4"/>
  <c r="X17" i="4"/>
  <c r="U17" i="4"/>
  <c r="L17" i="4"/>
  <c r="N17" i="4" s="1"/>
  <c r="AD16" i="4"/>
  <c r="AA16" i="4"/>
  <c r="X16" i="4"/>
  <c r="U16" i="4"/>
  <c r="L16" i="4"/>
  <c r="N16" i="4" s="1"/>
  <c r="AG15" i="4"/>
  <c r="AD15" i="4"/>
  <c r="AA15" i="4"/>
  <c r="X15" i="4"/>
  <c r="U15" i="4"/>
  <c r="L15" i="4"/>
  <c r="N15" i="4" s="1"/>
  <c r="AD14" i="4"/>
  <c r="AA14" i="4"/>
  <c r="X14" i="4"/>
  <c r="U14" i="4"/>
  <c r="L14" i="4"/>
  <c r="N14" i="4" s="1"/>
  <c r="AD13" i="4"/>
  <c r="AA13" i="4"/>
  <c r="X13" i="4"/>
  <c r="U13" i="4"/>
  <c r="L13" i="4"/>
  <c r="N13" i="4" s="1"/>
  <c r="AD12" i="4"/>
  <c r="AA12" i="4"/>
  <c r="X12" i="4"/>
  <c r="U12" i="4"/>
  <c r="L12" i="4"/>
  <c r="N12" i="4" s="1"/>
  <c r="AD11" i="4"/>
  <c r="AA11" i="4"/>
  <c r="X11" i="4"/>
  <c r="U11" i="4"/>
  <c r="L11" i="4"/>
  <c r="N11" i="4" s="1"/>
  <c r="AD10" i="4"/>
  <c r="AA10" i="4"/>
  <c r="X10" i="4"/>
  <c r="U10" i="4"/>
  <c r="L10" i="4"/>
  <c r="N10" i="4" s="1"/>
  <c r="AD9" i="4"/>
  <c r="AA9" i="4"/>
  <c r="X9" i="4"/>
  <c r="U9" i="4"/>
  <c r="L9" i="4"/>
  <c r="N9" i="4" s="1"/>
  <c r="AD8" i="4"/>
  <c r="AA8" i="4"/>
  <c r="X8" i="4"/>
  <c r="U8" i="4"/>
  <c r="L8" i="4"/>
  <c r="N8" i="4" s="1"/>
  <c r="AD7" i="4"/>
  <c r="AA7" i="4"/>
  <c r="X7" i="4"/>
  <c r="U7" i="4"/>
  <c r="L7" i="4"/>
  <c r="N7" i="4" s="1"/>
  <c r="AD6" i="4"/>
  <c r="X6" i="4"/>
  <c r="U6" i="4"/>
  <c r="L6" i="4"/>
  <c r="N6" i="4" s="1"/>
  <c r="AD5" i="4"/>
  <c r="AA5" i="4"/>
  <c r="X5" i="4"/>
  <c r="U5" i="4"/>
  <c r="L5" i="4"/>
  <c r="N5" i="4" s="1"/>
  <c r="AD4" i="4"/>
  <c r="X4" i="4"/>
  <c r="U4" i="4"/>
  <c r="L4" i="4"/>
  <c r="N4" i="4" s="1"/>
  <c r="AD3" i="4"/>
  <c r="AA3" i="4"/>
  <c r="X3" i="4"/>
  <c r="U3" i="4"/>
  <c r="L3" i="4"/>
  <c r="N3" i="4" s="1"/>
  <c r="AD104" i="2"/>
  <c r="X104" i="2"/>
  <c r="U104" i="2"/>
  <c r="Q104" i="2"/>
  <c r="L104" i="2"/>
  <c r="N104" i="2" s="1"/>
  <c r="I104" i="2"/>
  <c r="H104" i="2"/>
  <c r="AD103" i="2"/>
  <c r="X103" i="2"/>
  <c r="U103" i="2"/>
  <c r="Q103" i="2"/>
  <c r="L103" i="2"/>
  <c r="N103" i="2" s="1"/>
  <c r="I103" i="2"/>
  <c r="H103" i="2"/>
  <c r="AD102" i="2"/>
  <c r="X102" i="2"/>
  <c r="U102" i="2"/>
  <c r="Q102" i="2"/>
  <c r="L102" i="2"/>
  <c r="N102" i="2" s="1"/>
  <c r="I102" i="2"/>
  <c r="H102" i="2"/>
  <c r="AD101" i="2"/>
  <c r="X101" i="2"/>
  <c r="U101" i="2"/>
  <c r="Q101" i="2"/>
  <c r="L101" i="2"/>
  <c r="N101" i="2" s="1"/>
  <c r="I101" i="2"/>
  <c r="H101" i="2"/>
  <c r="AD100" i="2"/>
  <c r="X100" i="2"/>
  <c r="U100" i="2"/>
  <c r="Q100" i="2"/>
  <c r="L100" i="2"/>
  <c r="N100" i="2" s="1"/>
  <c r="I100" i="2"/>
  <c r="H100" i="2"/>
  <c r="AD99" i="2"/>
  <c r="X99" i="2"/>
  <c r="U99" i="2"/>
  <c r="Q99" i="2"/>
  <c r="L99" i="2"/>
  <c r="N99" i="2" s="1"/>
  <c r="I99" i="2"/>
  <c r="H99" i="2"/>
  <c r="AD98" i="2"/>
  <c r="X98" i="2"/>
  <c r="U98" i="2"/>
  <c r="Q98" i="2"/>
  <c r="L98" i="2"/>
  <c r="N98" i="2" s="1"/>
  <c r="I98" i="2"/>
  <c r="H98" i="2"/>
  <c r="AD97" i="2"/>
  <c r="X97" i="2"/>
  <c r="U97" i="2"/>
  <c r="Q97" i="2"/>
  <c r="L97" i="2"/>
  <c r="N97" i="2" s="1"/>
  <c r="I97" i="2"/>
  <c r="H97" i="2"/>
  <c r="AD96" i="2"/>
  <c r="X96" i="2"/>
  <c r="U96" i="2"/>
  <c r="Q96" i="2"/>
  <c r="L96" i="2"/>
  <c r="N96" i="2" s="1"/>
  <c r="I96" i="2"/>
  <c r="H96" i="2"/>
  <c r="AD95" i="2"/>
  <c r="X95" i="2"/>
  <c r="U95" i="2"/>
  <c r="Q95" i="2"/>
  <c r="L95" i="2"/>
  <c r="N95" i="2" s="1"/>
  <c r="I95" i="2"/>
  <c r="H95" i="2"/>
  <c r="AD94" i="2"/>
  <c r="X94" i="2"/>
  <c r="U94" i="2"/>
  <c r="Q94" i="2"/>
  <c r="L94" i="2"/>
  <c r="N94" i="2" s="1"/>
  <c r="I94" i="2"/>
  <c r="H94" i="2"/>
  <c r="AD93" i="2"/>
  <c r="X93" i="2"/>
  <c r="U93" i="2"/>
  <c r="Q93" i="2"/>
  <c r="M93" i="2"/>
  <c r="L93" i="2"/>
  <c r="I93" i="2"/>
  <c r="H93" i="2"/>
  <c r="AD92" i="2"/>
  <c r="X92" i="2"/>
  <c r="U92" i="2"/>
  <c r="Q92" i="2"/>
  <c r="M92" i="2"/>
  <c r="L92" i="2"/>
  <c r="I92" i="2"/>
  <c r="H92" i="2"/>
  <c r="AD91" i="2"/>
  <c r="X91" i="2"/>
  <c r="U91" i="2"/>
  <c r="Q91" i="2"/>
  <c r="M91" i="2"/>
  <c r="L91" i="2"/>
  <c r="I91" i="2"/>
  <c r="H91" i="2"/>
  <c r="AD90" i="2"/>
  <c r="X90" i="2"/>
  <c r="U90" i="2"/>
  <c r="Q90" i="2"/>
  <c r="M90" i="2"/>
  <c r="L90" i="2"/>
  <c r="I90" i="2"/>
  <c r="H90" i="2"/>
  <c r="AD89" i="2"/>
  <c r="X89" i="2"/>
  <c r="U89" i="2"/>
  <c r="Q89" i="2"/>
  <c r="M89" i="2"/>
  <c r="L89" i="2"/>
  <c r="I89" i="2"/>
  <c r="H89" i="2"/>
  <c r="AD88" i="2"/>
  <c r="X88" i="2"/>
  <c r="U88" i="2"/>
  <c r="Q88" i="2"/>
  <c r="M88" i="2"/>
  <c r="L88" i="2"/>
  <c r="I88" i="2"/>
  <c r="H88" i="2"/>
  <c r="AD87" i="2"/>
  <c r="X87" i="2"/>
  <c r="U87" i="2"/>
  <c r="Q87" i="2"/>
  <c r="M87" i="2"/>
  <c r="L87" i="2"/>
  <c r="I87" i="2"/>
  <c r="H87" i="2"/>
  <c r="AD86" i="2"/>
  <c r="X86" i="2"/>
  <c r="U86" i="2"/>
  <c r="Q86" i="2"/>
  <c r="M86" i="2"/>
  <c r="L86" i="2"/>
  <c r="I86" i="2"/>
  <c r="H86" i="2"/>
  <c r="AD85" i="2"/>
  <c r="X85" i="2"/>
  <c r="U85" i="2"/>
  <c r="Q85" i="2"/>
  <c r="L85" i="2"/>
  <c r="N85" i="2" s="1"/>
  <c r="I85" i="2"/>
  <c r="H85" i="2"/>
  <c r="AD84" i="2"/>
  <c r="X84" i="2"/>
  <c r="U84" i="2"/>
  <c r="Q84" i="2"/>
  <c r="L84" i="2"/>
  <c r="N84" i="2" s="1"/>
  <c r="I84" i="2"/>
  <c r="H84" i="2"/>
  <c r="AD83" i="2"/>
  <c r="X83" i="2"/>
  <c r="U83" i="2"/>
  <c r="Q83" i="2"/>
  <c r="L83" i="2"/>
  <c r="N83" i="2" s="1"/>
  <c r="I83" i="2"/>
  <c r="H83" i="2"/>
  <c r="AD82" i="2"/>
  <c r="X82" i="2"/>
  <c r="U82" i="2"/>
  <c r="Q82" i="2"/>
  <c r="L82" i="2"/>
  <c r="N82" i="2" s="1"/>
  <c r="I82" i="2"/>
  <c r="H82" i="2"/>
  <c r="AD81" i="2"/>
  <c r="U81" i="2"/>
  <c r="Q81" i="2"/>
  <c r="L81" i="2"/>
  <c r="N81" i="2" s="1"/>
  <c r="I81" i="2"/>
  <c r="H81" i="2"/>
  <c r="AD80" i="2"/>
  <c r="Q80" i="2"/>
  <c r="L80" i="2"/>
  <c r="N80" i="2" s="1"/>
  <c r="I80" i="2"/>
  <c r="H80" i="2"/>
  <c r="AD79" i="2"/>
  <c r="Q79" i="2"/>
  <c r="L79" i="2"/>
  <c r="N79" i="2" s="1"/>
  <c r="I79" i="2"/>
  <c r="H79" i="2"/>
  <c r="Q78" i="2"/>
  <c r="L78" i="2"/>
  <c r="N78" i="2" s="1"/>
  <c r="AD77" i="2"/>
  <c r="X77" i="2"/>
  <c r="Q77" i="2"/>
  <c r="L77" i="2"/>
  <c r="N77" i="2" s="1"/>
  <c r="I77" i="2"/>
  <c r="H77" i="2"/>
  <c r="AD76" i="2"/>
  <c r="X76" i="2"/>
  <c r="U76" i="2"/>
  <c r="Q76" i="2"/>
  <c r="L76" i="2"/>
  <c r="N76" i="2" s="1"/>
  <c r="I76" i="2"/>
  <c r="H76" i="2"/>
  <c r="AD75" i="2"/>
  <c r="X75" i="2"/>
  <c r="U75" i="2"/>
  <c r="Q75" i="2"/>
  <c r="L75" i="2"/>
  <c r="N75" i="2" s="1"/>
  <c r="I75" i="2"/>
  <c r="H75" i="2"/>
  <c r="AD74" i="2"/>
  <c r="X74" i="2"/>
  <c r="U74" i="2"/>
  <c r="Q74" i="2"/>
  <c r="L74" i="2"/>
  <c r="N74" i="2" s="1"/>
  <c r="I74" i="2"/>
  <c r="H74" i="2"/>
  <c r="AD73" i="2"/>
  <c r="X73" i="2"/>
  <c r="U73" i="2"/>
  <c r="Q73" i="2"/>
  <c r="M73" i="2"/>
  <c r="L73" i="2"/>
  <c r="I73" i="2"/>
  <c r="H73" i="2"/>
  <c r="AD72" i="2"/>
  <c r="X72" i="2"/>
  <c r="U72" i="2"/>
  <c r="Q72" i="2"/>
  <c r="M72" i="2"/>
  <c r="L72" i="2"/>
  <c r="I72" i="2"/>
  <c r="H72" i="2"/>
  <c r="AD71" i="2"/>
  <c r="X71" i="2"/>
  <c r="U71" i="2"/>
  <c r="Q71" i="2"/>
  <c r="L71" i="2"/>
  <c r="N71" i="2" s="1"/>
  <c r="I71" i="2"/>
  <c r="H71" i="2"/>
  <c r="AD70" i="2"/>
  <c r="X70" i="2"/>
  <c r="U70" i="2"/>
  <c r="Q70" i="2"/>
  <c r="M70" i="2"/>
  <c r="L70" i="2"/>
  <c r="I70" i="2"/>
  <c r="H70" i="2"/>
  <c r="AD69" i="2"/>
  <c r="X69" i="2"/>
  <c r="U69" i="2"/>
  <c r="Q69" i="2"/>
  <c r="L69" i="2"/>
  <c r="N69" i="2" s="1"/>
  <c r="I69" i="2"/>
  <c r="H69" i="2"/>
  <c r="AD68" i="2"/>
  <c r="X68" i="2"/>
  <c r="U68" i="2"/>
  <c r="Q68" i="2"/>
  <c r="M68" i="2"/>
  <c r="L68" i="2"/>
  <c r="I68" i="2"/>
  <c r="H68" i="2"/>
  <c r="AD67" i="2"/>
  <c r="X67" i="2"/>
  <c r="U67" i="2"/>
  <c r="Q67" i="2"/>
  <c r="L67" i="2"/>
  <c r="N67" i="2" s="1"/>
  <c r="I67" i="2"/>
  <c r="H67" i="2"/>
  <c r="AD66" i="2"/>
  <c r="X66" i="2"/>
  <c r="U66" i="2"/>
  <c r="Q66" i="2"/>
  <c r="L66" i="2"/>
  <c r="N66" i="2" s="1"/>
  <c r="I66" i="2"/>
  <c r="H66" i="2"/>
  <c r="AD65" i="2"/>
  <c r="X65" i="2"/>
  <c r="U65" i="2"/>
  <c r="Q65" i="2"/>
  <c r="L65" i="2"/>
  <c r="N65" i="2" s="1"/>
  <c r="I65" i="2"/>
  <c r="H65" i="2"/>
  <c r="AD64" i="2"/>
  <c r="X64" i="2"/>
  <c r="U64" i="2"/>
  <c r="Q64" i="2"/>
  <c r="M64" i="2"/>
  <c r="L64" i="2"/>
  <c r="I64" i="2"/>
  <c r="H64" i="2"/>
  <c r="AD63" i="2"/>
  <c r="X63" i="2"/>
  <c r="U63" i="2"/>
  <c r="Q63" i="2"/>
  <c r="L63" i="2"/>
  <c r="N63" i="2" s="1"/>
  <c r="I63" i="2"/>
  <c r="H63" i="2"/>
  <c r="AD62" i="2"/>
  <c r="X62" i="2"/>
  <c r="U62" i="2"/>
  <c r="Q62" i="2"/>
  <c r="L62" i="2"/>
  <c r="N62" i="2" s="1"/>
  <c r="I62" i="2"/>
  <c r="H62" i="2"/>
  <c r="AD61" i="2"/>
  <c r="X61" i="2"/>
  <c r="U61" i="2"/>
  <c r="Q61" i="2"/>
  <c r="L61" i="2"/>
  <c r="N61" i="2" s="1"/>
  <c r="I61" i="2"/>
  <c r="H61" i="2"/>
  <c r="AD60" i="2"/>
  <c r="X60" i="2"/>
  <c r="U60" i="2"/>
  <c r="Q60" i="2"/>
  <c r="L60" i="2"/>
  <c r="N60" i="2" s="1"/>
  <c r="I60" i="2"/>
  <c r="H60" i="2"/>
  <c r="AD59" i="2"/>
  <c r="X59" i="2"/>
  <c r="U59" i="2"/>
  <c r="Q59" i="2"/>
  <c r="L59" i="2"/>
  <c r="N59" i="2" s="1"/>
  <c r="I59" i="2"/>
  <c r="H59" i="2"/>
  <c r="AD58" i="2"/>
  <c r="X58" i="2"/>
  <c r="U58" i="2"/>
  <c r="Q58" i="2"/>
  <c r="L58" i="2"/>
  <c r="N58" i="2" s="1"/>
  <c r="I58" i="2"/>
  <c r="H58" i="2"/>
  <c r="AD57" i="2"/>
  <c r="X57" i="2"/>
  <c r="U57" i="2"/>
  <c r="Q57" i="2"/>
  <c r="L57" i="2"/>
  <c r="N57" i="2" s="1"/>
  <c r="I57" i="2"/>
  <c r="H57" i="2"/>
  <c r="AD56" i="2"/>
  <c r="X56" i="2"/>
  <c r="U56" i="2"/>
  <c r="Q56" i="2"/>
  <c r="L56" i="2"/>
  <c r="N56" i="2" s="1"/>
  <c r="I56" i="2"/>
  <c r="H56" i="2"/>
  <c r="AD55" i="2"/>
  <c r="X55" i="2"/>
  <c r="U55" i="2"/>
  <c r="Q55" i="2"/>
  <c r="M55" i="2"/>
  <c r="L55" i="2"/>
  <c r="I55" i="2"/>
  <c r="H55" i="2"/>
  <c r="AD54" i="2"/>
  <c r="X54" i="2"/>
  <c r="U54" i="2"/>
  <c r="Q54" i="2"/>
  <c r="L54" i="2"/>
  <c r="N54" i="2" s="1"/>
  <c r="I54" i="2"/>
  <c r="H54" i="2"/>
  <c r="AD53" i="2"/>
  <c r="X53" i="2"/>
  <c r="U53" i="2"/>
  <c r="Q53" i="2"/>
  <c r="L53" i="2"/>
  <c r="N53" i="2" s="1"/>
  <c r="I53" i="2"/>
  <c r="H53" i="2"/>
  <c r="AD52" i="2"/>
  <c r="X52" i="2"/>
  <c r="U52" i="2"/>
  <c r="Q52" i="2"/>
  <c r="L52" i="2"/>
  <c r="N52" i="2" s="1"/>
  <c r="I52" i="2"/>
  <c r="H52" i="2"/>
  <c r="AD51" i="2"/>
  <c r="X51" i="2"/>
  <c r="U51" i="2"/>
  <c r="Q51" i="2"/>
  <c r="M51" i="2"/>
  <c r="L51" i="2"/>
  <c r="I51" i="2"/>
  <c r="H51" i="2"/>
  <c r="AD50" i="2"/>
  <c r="X50" i="2"/>
  <c r="U50" i="2"/>
  <c r="Q50" i="2"/>
  <c r="L50" i="2"/>
  <c r="N50" i="2" s="1"/>
  <c r="I50" i="2"/>
  <c r="H50" i="2"/>
  <c r="AD49" i="2"/>
  <c r="X49" i="2"/>
  <c r="U49" i="2"/>
  <c r="Q49" i="2"/>
  <c r="L49" i="2"/>
  <c r="N49" i="2" s="1"/>
  <c r="I49" i="2"/>
  <c r="H49" i="2"/>
  <c r="AD48" i="2"/>
  <c r="X48" i="2"/>
  <c r="U48" i="2"/>
  <c r="Q48" i="2"/>
  <c r="L48" i="2"/>
  <c r="N48" i="2" s="1"/>
  <c r="I48" i="2"/>
  <c r="H48" i="2"/>
  <c r="AD47" i="2"/>
  <c r="X47" i="2"/>
  <c r="U47" i="2"/>
  <c r="Q47" i="2"/>
  <c r="L47" i="2"/>
  <c r="N47" i="2" s="1"/>
  <c r="I47" i="2"/>
  <c r="H47" i="2"/>
  <c r="AD46" i="2"/>
  <c r="X46" i="2"/>
  <c r="U46" i="2"/>
  <c r="Q46" i="2"/>
  <c r="L46" i="2"/>
  <c r="N46" i="2" s="1"/>
  <c r="I46" i="2"/>
  <c r="H46" i="2"/>
  <c r="AD45" i="2"/>
  <c r="X45" i="2"/>
  <c r="U45" i="2"/>
  <c r="Q45" i="2"/>
  <c r="L45" i="2"/>
  <c r="N45" i="2" s="1"/>
  <c r="I45" i="2"/>
  <c r="H45" i="2"/>
  <c r="AD44" i="2"/>
  <c r="X44" i="2"/>
  <c r="U44" i="2"/>
  <c r="Q44" i="2"/>
  <c r="L44" i="2"/>
  <c r="N44" i="2" s="1"/>
  <c r="I44" i="2"/>
  <c r="H44" i="2"/>
  <c r="AD43" i="2"/>
  <c r="X43" i="2"/>
  <c r="U43" i="2"/>
  <c r="Q43" i="2"/>
  <c r="L43" i="2"/>
  <c r="N43" i="2" s="1"/>
  <c r="I43" i="2"/>
  <c r="H43" i="2"/>
  <c r="AD42" i="2"/>
  <c r="X42" i="2"/>
  <c r="U42" i="2"/>
  <c r="Q42" i="2"/>
  <c r="L42" i="2"/>
  <c r="N42" i="2" s="1"/>
  <c r="I42" i="2"/>
  <c r="H42" i="2"/>
  <c r="AD41" i="2"/>
  <c r="X41" i="2"/>
  <c r="U41" i="2"/>
  <c r="Q41" i="2"/>
  <c r="L41" i="2"/>
  <c r="N41" i="2" s="1"/>
  <c r="I41" i="2"/>
  <c r="H41" i="2"/>
  <c r="AD40" i="2"/>
  <c r="X40" i="2"/>
  <c r="U40" i="2"/>
  <c r="Q40" i="2"/>
  <c r="M40" i="2"/>
  <c r="L40" i="2"/>
  <c r="I40" i="2"/>
  <c r="H40" i="2"/>
  <c r="AD39" i="2"/>
  <c r="X39" i="2"/>
  <c r="U39" i="2"/>
  <c r="Q39" i="2"/>
  <c r="L39" i="2"/>
  <c r="N39" i="2" s="1"/>
  <c r="I39" i="2"/>
  <c r="H39" i="2"/>
  <c r="AD38" i="2"/>
  <c r="X38" i="2"/>
  <c r="U38" i="2"/>
  <c r="Q38" i="2"/>
  <c r="L38" i="2"/>
  <c r="N38" i="2" s="1"/>
  <c r="I38" i="2"/>
  <c r="H38" i="2"/>
  <c r="AD37" i="2"/>
  <c r="X37" i="2"/>
  <c r="U37" i="2"/>
  <c r="Q37" i="2"/>
  <c r="L37" i="2"/>
  <c r="N37" i="2" s="1"/>
  <c r="I37" i="2"/>
  <c r="H37" i="2"/>
  <c r="AD36" i="2"/>
  <c r="X36" i="2"/>
  <c r="U36" i="2"/>
  <c r="Q36" i="2"/>
  <c r="M36" i="2"/>
  <c r="L36" i="2"/>
  <c r="I36" i="2"/>
  <c r="H36" i="2"/>
  <c r="AD35" i="2"/>
  <c r="X35" i="2"/>
  <c r="U35" i="2"/>
  <c r="Q35" i="2"/>
  <c r="M35" i="2"/>
  <c r="L35" i="2"/>
  <c r="I35" i="2"/>
  <c r="H35" i="2"/>
  <c r="AD34" i="2"/>
  <c r="X34" i="2"/>
  <c r="U34" i="2"/>
  <c r="Q34" i="2"/>
  <c r="M34" i="2"/>
  <c r="L34" i="2"/>
  <c r="I34" i="2"/>
  <c r="H34" i="2"/>
  <c r="AD33" i="2"/>
  <c r="X33" i="2"/>
  <c r="U33" i="2"/>
  <c r="Q33" i="2"/>
  <c r="M33" i="2"/>
  <c r="L33" i="2"/>
  <c r="I33" i="2"/>
  <c r="H33" i="2"/>
  <c r="AD32" i="2"/>
  <c r="X32" i="2"/>
  <c r="U32" i="2"/>
  <c r="Q32" i="2"/>
  <c r="M32" i="2"/>
  <c r="L32" i="2"/>
  <c r="I32" i="2"/>
  <c r="H32" i="2"/>
  <c r="AD31" i="2"/>
  <c r="X31" i="2"/>
  <c r="U31" i="2"/>
  <c r="Q31" i="2"/>
  <c r="M31" i="2"/>
  <c r="L31" i="2"/>
  <c r="I31" i="2"/>
  <c r="H31" i="2"/>
  <c r="AD30" i="2"/>
  <c r="X30" i="2"/>
  <c r="U30" i="2"/>
  <c r="Q30" i="2"/>
  <c r="L30" i="2"/>
  <c r="N30" i="2" s="1"/>
  <c r="I30" i="2"/>
  <c r="H30" i="2"/>
  <c r="AD29" i="2"/>
  <c r="X29" i="2"/>
  <c r="U29" i="2"/>
  <c r="Q29" i="2"/>
  <c r="L29" i="2"/>
  <c r="N29" i="2" s="1"/>
  <c r="I29" i="2"/>
  <c r="H29" i="2"/>
  <c r="AD28" i="2"/>
  <c r="X28" i="2"/>
  <c r="U28" i="2"/>
  <c r="Q28" i="2"/>
  <c r="L28" i="2"/>
  <c r="N28" i="2" s="1"/>
  <c r="I28" i="2"/>
  <c r="H28" i="2"/>
  <c r="AD27" i="2"/>
  <c r="X27" i="2"/>
  <c r="U27" i="2"/>
  <c r="Q27" i="2"/>
  <c r="L27" i="2"/>
  <c r="N27" i="2" s="1"/>
  <c r="I27" i="2"/>
  <c r="H27" i="2"/>
  <c r="AD26" i="2"/>
  <c r="X26" i="2"/>
  <c r="U26" i="2"/>
  <c r="Q26" i="2"/>
  <c r="L26" i="2"/>
  <c r="N26" i="2" s="1"/>
  <c r="I26" i="2"/>
  <c r="H26" i="2"/>
  <c r="AD25" i="2"/>
  <c r="X25" i="2"/>
  <c r="U25" i="2"/>
  <c r="Q25" i="2"/>
  <c r="L25" i="2"/>
  <c r="N25" i="2" s="1"/>
  <c r="I25" i="2"/>
  <c r="H25" i="2"/>
  <c r="AD24" i="2"/>
  <c r="X24" i="2"/>
  <c r="U24" i="2"/>
  <c r="Q24" i="2"/>
  <c r="L24" i="2"/>
  <c r="N24" i="2" s="1"/>
  <c r="I24" i="2"/>
  <c r="H24" i="2"/>
  <c r="AD23" i="2"/>
  <c r="X23" i="2"/>
  <c r="U23" i="2"/>
  <c r="Q23" i="2"/>
  <c r="L23" i="2"/>
  <c r="N23" i="2" s="1"/>
  <c r="I23" i="2"/>
  <c r="H23" i="2"/>
  <c r="AD22" i="2"/>
  <c r="X22" i="2"/>
  <c r="U22" i="2"/>
  <c r="Q22" i="2"/>
  <c r="L22" i="2"/>
  <c r="N22" i="2" s="1"/>
  <c r="I22" i="2"/>
  <c r="H22" i="2"/>
  <c r="AD21" i="2"/>
  <c r="X21" i="2"/>
  <c r="U21" i="2"/>
  <c r="Q21" i="2"/>
  <c r="L21" i="2"/>
  <c r="N21" i="2" s="1"/>
  <c r="I21" i="2"/>
  <c r="H21" i="2"/>
  <c r="AD20" i="2"/>
  <c r="X20" i="2"/>
  <c r="U20" i="2"/>
  <c r="Q20" i="2"/>
  <c r="L20" i="2"/>
  <c r="N20" i="2" s="1"/>
  <c r="I20" i="2"/>
  <c r="H20" i="2"/>
  <c r="AD19" i="2"/>
  <c r="X19" i="2"/>
  <c r="U19" i="2"/>
  <c r="Q19" i="2"/>
  <c r="L19" i="2"/>
  <c r="N19" i="2" s="1"/>
  <c r="I19" i="2"/>
  <c r="H19" i="2"/>
  <c r="AD18" i="2"/>
  <c r="X18" i="2"/>
  <c r="U18" i="2"/>
  <c r="Q18" i="2"/>
  <c r="L18" i="2"/>
  <c r="N18" i="2" s="1"/>
  <c r="I18" i="2"/>
  <c r="H18" i="2"/>
  <c r="AD17" i="2"/>
  <c r="X17" i="2"/>
  <c r="U17" i="2"/>
  <c r="Q17" i="2"/>
  <c r="L17" i="2"/>
  <c r="N17" i="2" s="1"/>
  <c r="I17" i="2"/>
  <c r="H17" i="2"/>
  <c r="AD16" i="2"/>
  <c r="X16" i="2"/>
  <c r="U16" i="2"/>
  <c r="Q16" i="2"/>
  <c r="L16" i="2"/>
  <c r="N16" i="2" s="1"/>
  <c r="I16" i="2"/>
  <c r="H16" i="2"/>
  <c r="AD15" i="2"/>
  <c r="X15" i="2"/>
  <c r="U15" i="2"/>
  <c r="Q15" i="2"/>
  <c r="L15" i="2"/>
  <c r="N15" i="2" s="1"/>
  <c r="I15" i="2"/>
  <c r="H15" i="2"/>
  <c r="AD14" i="2"/>
  <c r="X14" i="2"/>
  <c r="U14" i="2"/>
  <c r="Q14" i="2"/>
  <c r="L14" i="2"/>
  <c r="N14" i="2" s="1"/>
  <c r="I14" i="2"/>
  <c r="H14" i="2"/>
  <c r="AD13" i="2"/>
  <c r="X13" i="2"/>
  <c r="U13" i="2"/>
  <c r="Q13" i="2"/>
  <c r="L13" i="2"/>
  <c r="N13" i="2" s="1"/>
  <c r="I13" i="2"/>
  <c r="H13" i="2"/>
  <c r="AD12" i="2"/>
  <c r="X12" i="2"/>
  <c r="U12" i="2"/>
  <c r="Q12" i="2"/>
  <c r="L12" i="2"/>
  <c r="N12" i="2" s="1"/>
  <c r="I12" i="2"/>
  <c r="H12" i="2"/>
  <c r="AD11" i="2"/>
  <c r="X11" i="2"/>
  <c r="U11" i="2"/>
  <c r="Q11" i="2"/>
  <c r="L11" i="2"/>
  <c r="N11" i="2" s="1"/>
  <c r="I11" i="2"/>
  <c r="H11" i="2"/>
  <c r="AD10" i="2"/>
  <c r="X10" i="2"/>
  <c r="U10" i="2"/>
  <c r="Q10" i="2"/>
  <c r="L10" i="2"/>
  <c r="N10" i="2" s="1"/>
  <c r="I10" i="2"/>
  <c r="H10" i="2"/>
  <c r="AD9" i="2"/>
  <c r="X9" i="2"/>
  <c r="U9" i="2"/>
  <c r="Q9" i="2"/>
  <c r="L9" i="2"/>
  <c r="N9" i="2" s="1"/>
  <c r="I9" i="2"/>
  <c r="H9" i="2"/>
  <c r="AD8" i="2"/>
  <c r="X8" i="2"/>
  <c r="U8" i="2"/>
  <c r="Q8" i="2"/>
  <c r="L8" i="2"/>
  <c r="N8" i="2" s="1"/>
  <c r="I8" i="2"/>
  <c r="H8" i="2"/>
  <c r="AD7" i="2"/>
  <c r="X7" i="2"/>
  <c r="U7" i="2"/>
  <c r="Q7" i="2"/>
  <c r="L7" i="2"/>
  <c r="N7" i="2" s="1"/>
  <c r="I7" i="2"/>
  <c r="H7" i="2"/>
  <c r="AD6" i="2"/>
  <c r="X6" i="2"/>
  <c r="U6" i="2"/>
  <c r="Q6" i="2"/>
  <c r="L6" i="2"/>
  <c r="N6" i="2" s="1"/>
  <c r="I6" i="2"/>
  <c r="H6" i="2"/>
  <c r="AD5" i="2"/>
  <c r="X5" i="2"/>
  <c r="U5" i="2"/>
  <c r="Q5" i="2"/>
  <c r="L5" i="2"/>
  <c r="N5" i="2" s="1"/>
  <c r="I5" i="2"/>
  <c r="H5" i="2"/>
  <c r="AD4" i="2"/>
  <c r="X4" i="2"/>
  <c r="U4" i="2"/>
  <c r="Q4" i="2"/>
  <c r="L4" i="2"/>
  <c r="N4" i="2" s="1"/>
  <c r="I4" i="2"/>
  <c r="H4" i="2"/>
  <c r="AD27" i="1"/>
  <c r="Q27" i="1"/>
  <c r="L27" i="1"/>
  <c r="N27" i="1" s="1"/>
  <c r="I27" i="1"/>
  <c r="H27" i="1"/>
  <c r="AD26" i="1"/>
  <c r="Q26" i="1"/>
  <c r="L26" i="1"/>
  <c r="N26" i="1" s="1"/>
  <c r="I26" i="1"/>
  <c r="H26" i="1"/>
  <c r="AD25" i="1"/>
  <c r="Q25" i="1"/>
  <c r="L25" i="1"/>
  <c r="N25" i="1" s="1"/>
  <c r="I25" i="1"/>
  <c r="H25" i="1"/>
  <c r="AD24" i="1"/>
  <c r="Q24" i="1"/>
  <c r="L24" i="1"/>
  <c r="N24" i="1" s="1"/>
  <c r="I24" i="1"/>
  <c r="H24" i="1"/>
  <c r="AD23" i="1"/>
  <c r="Q23" i="1"/>
  <c r="L23" i="1"/>
  <c r="N23" i="1" s="1"/>
  <c r="I23" i="1"/>
  <c r="H23" i="1"/>
  <c r="AD22" i="1"/>
  <c r="Q22" i="1"/>
  <c r="L22" i="1"/>
  <c r="N22" i="1" s="1"/>
  <c r="I22" i="1"/>
  <c r="H22" i="1"/>
  <c r="AD21" i="1"/>
  <c r="Q21" i="1"/>
  <c r="L21" i="1"/>
  <c r="N21" i="1" s="1"/>
  <c r="I21" i="1"/>
  <c r="H21" i="1"/>
  <c r="AD20" i="1"/>
  <c r="Q20" i="1"/>
  <c r="L20" i="1"/>
  <c r="N20" i="1" s="1"/>
  <c r="I20" i="1"/>
  <c r="H20" i="1"/>
  <c r="AD19" i="1"/>
  <c r="Q19" i="1"/>
  <c r="L19" i="1"/>
  <c r="N19" i="1" s="1"/>
  <c r="I19" i="1"/>
  <c r="H19" i="1"/>
  <c r="AD18" i="1"/>
  <c r="Q18" i="1"/>
  <c r="L18" i="1"/>
  <c r="N18" i="1" s="1"/>
  <c r="I18" i="1"/>
  <c r="H18" i="1"/>
  <c r="AD17" i="1"/>
  <c r="Q17" i="1"/>
  <c r="L17" i="1"/>
  <c r="N17" i="1" s="1"/>
  <c r="I17" i="1"/>
  <c r="H17" i="1"/>
  <c r="AD16" i="1"/>
  <c r="Q16" i="1"/>
  <c r="L16" i="1"/>
  <c r="N16" i="1" s="1"/>
  <c r="I16" i="1"/>
  <c r="H16" i="1"/>
  <c r="AD15" i="1"/>
  <c r="Q15" i="1"/>
  <c r="L15" i="1"/>
  <c r="N15" i="1" s="1"/>
  <c r="I15" i="1"/>
  <c r="H15" i="1"/>
  <c r="AD14" i="1"/>
  <c r="Q14" i="1"/>
  <c r="L14" i="1"/>
  <c r="N14" i="1" s="1"/>
  <c r="I14" i="1"/>
  <c r="H14" i="1"/>
  <c r="AD13" i="1"/>
  <c r="Q13" i="1"/>
  <c r="L13" i="1"/>
  <c r="N13" i="1" s="1"/>
  <c r="I13" i="1"/>
  <c r="H13" i="1"/>
  <c r="AD12" i="1"/>
  <c r="Q12" i="1"/>
  <c r="L12" i="1"/>
  <c r="N12" i="1" s="1"/>
  <c r="I12" i="1"/>
  <c r="H12" i="1"/>
  <c r="AD11" i="1"/>
  <c r="Q11" i="1"/>
  <c r="L11" i="1"/>
  <c r="N11" i="1" s="1"/>
  <c r="I11" i="1"/>
  <c r="H11" i="1"/>
  <c r="AD10" i="1"/>
  <c r="Q10" i="1"/>
  <c r="L10" i="1"/>
  <c r="N10" i="1" s="1"/>
  <c r="I10" i="1"/>
  <c r="H10" i="1"/>
  <c r="AD9" i="1"/>
  <c r="Q9" i="1"/>
  <c r="L9" i="1"/>
  <c r="N9" i="1" s="1"/>
  <c r="I9" i="1"/>
  <c r="H9" i="1"/>
  <c r="AD8" i="1"/>
  <c r="Q8" i="1"/>
  <c r="N8" i="1"/>
  <c r="I8" i="1"/>
  <c r="H8" i="1"/>
  <c r="AD7" i="1"/>
  <c r="Q7" i="1"/>
  <c r="N7" i="1"/>
  <c r="I7" i="1"/>
  <c r="H7" i="1"/>
  <c r="AD6" i="1"/>
  <c r="Q6" i="1"/>
  <c r="L6" i="1"/>
  <c r="N6" i="1" s="1"/>
  <c r="I6" i="1"/>
  <c r="H6" i="1"/>
  <c r="AD5" i="1"/>
  <c r="Q5" i="1"/>
  <c r="L5" i="1"/>
  <c r="N5" i="1" s="1"/>
  <c r="I5" i="1"/>
  <c r="H5" i="1"/>
  <c r="AG4" i="1"/>
  <c r="AD4" i="1"/>
  <c r="X4" i="1"/>
  <c r="U4" i="1"/>
  <c r="Q4" i="1"/>
  <c r="L4" i="1"/>
  <c r="N4" i="1" s="1"/>
  <c r="I4" i="1"/>
  <c r="H4" i="1"/>
  <c r="N51" i="2" l="1"/>
  <c r="N87" i="2"/>
  <c r="N35" i="2"/>
  <c r="N36" i="2"/>
  <c r="N40" i="2"/>
  <c r="N70" i="2"/>
  <c r="N90" i="2"/>
  <c r="N31" i="2"/>
  <c r="N32" i="2"/>
  <c r="N68" i="2"/>
  <c r="N89" i="2"/>
  <c r="N55" i="2"/>
  <c r="N86" i="2"/>
  <c r="N88" i="2"/>
  <c r="N91" i="2"/>
  <c r="N92" i="2"/>
  <c r="N93" i="2"/>
  <c r="N64" i="2"/>
  <c r="N33" i="2"/>
  <c r="N34" i="2"/>
  <c r="N72" i="2"/>
  <c r="N73" i="2"/>
</calcChain>
</file>

<file path=xl/sharedStrings.xml><?xml version="1.0" encoding="utf-8"?>
<sst xmlns="http://schemas.openxmlformats.org/spreadsheetml/2006/main" count="6613" uniqueCount="836">
  <si>
    <t>Allison Renata Cruz Garcia</t>
  </si>
  <si>
    <t>NOMBRE</t>
  </si>
  <si>
    <t>FECHA DE NACIMIENTO</t>
  </si>
  <si>
    <t>EDAD (años)</t>
  </si>
  <si>
    <t>SEXO</t>
  </si>
  <si>
    <t>GRADO</t>
  </si>
  <si>
    <t>GRUPO</t>
  </si>
  <si>
    <t>A</t>
  </si>
  <si>
    <t>IMC</t>
  </si>
  <si>
    <t>Violeta Sinai Cortes Barrera</t>
  </si>
  <si>
    <t>Alexa Mishelle Garcia Garduño</t>
  </si>
  <si>
    <t>Rodrigo Camilo Pérez Calvario</t>
  </si>
  <si>
    <t>Diego Adán Ledesma Rico</t>
  </si>
  <si>
    <t>Uriel Alberto Gil Cruz</t>
  </si>
  <si>
    <t>Vanessa Carolina Martínez Silva</t>
  </si>
  <si>
    <t>Santiago Gibrán López López</t>
  </si>
  <si>
    <t>Nancy Cecilia Díaz Mundo</t>
  </si>
  <si>
    <t>Eduardo Dominguez Villagran</t>
  </si>
  <si>
    <t xml:space="preserve">Yatziri Aylin Ignacio Miguel </t>
  </si>
  <si>
    <t>Fernando Haziel Gregorio Jiménez</t>
  </si>
  <si>
    <t>Alan David Martínez Texcocano</t>
  </si>
  <si>
    <t>Regina Bello de Jesús</t>
  </si>
  <si>
    <t>Elsa Yamilet Arcipreste Puebla</t>
  </si>
  <si>
    <t>Leonardo Gabriel Rivas Pérez</t>
  </si>
  <si>
    <t>Vannya Nathalie Aparicio Hernández</t>
  </si>
  <si>
    <t>Kevin Gael Reyna Lazaro</t>
  </si>
  <si>
    <t>B</t>
  </si>
  <si>
    <t>Diana Paola Cortes</t>
  </si>
  <si>
    <t xml:space="preserve">Diego Fidelio Castro </t>
  </si>
  <si>
    <t>José Mauricio Ortiz Salgado</t>
  </si>
  <si>
    <t xml:space="preserve">Isaí Emmanuel López Castillo </t>
  </si>
  <si>
    <t>José Gonzálo Díaz Sánchez</t>
  </si>
  <si>
    <t>Axel Rodrigo Genis Gutiérrez</t>
  </si>
  <si>
    <t>PESO (kg)</t>
  </si>
  <si>
    <t>TALLA (m)</t>
  </si>
  <si>
    <t>TALLA SENTADO (cm)</t>
  </si>
  <si>
    <t>PERÍMETRO CEFÁLICO (cm)</t>
  </si>
  <si>
    <t>C. CINTURA (cm)</t>
  </si>
  <si>
    <t>Azul Abril Callago Mendoza</t>
  </si>
  <si>
    <t>Diana Katerin Barragan C.</t>
  </si>
  <si>
    <t>Noemí Melo Hernández</t>
  </si>
  <si>
    <t>Fernanda Yanet Castro González</t>
  </si>
  <si>
    <t>Mariana Sofía Castañeda López</t>
  </si>
  <si>
    <t>Ángel Yair Nájera García</t>
  </si>
  <si>
    <t>Estrella Alejandra Hernández Irineo</t>
  </si>
  <si>
    <t>Tadeo Araniegues Díaz</t>
  </si>
  <si>
    <t>Zoemi Natzumi Procopio García</t>
  </si>
  <si>
    <t>Josseline Samantha Flores Mejía</t>
  </si>
  <si>
    <t>José Flores Dorantes</t>
  </si>
  <si>
    <t>Ángel Gabriel Miranda G.</t>
  </si>
  <si>
    <t>Jan Emiliano Mondragón G.</t>
  </si>
  <si>
    <t>Milla Belén Rodríguez Mejía</t>
  </si>
  <si>
    <t>Valeria Nolasco Juárez</t>
  </si>
  <si>
    <t>Carlos Alfonso Arániega Menéz</t>
  </si>
  <si>
    <t>Alondra Pedroza Chávez</t>
  </si>
  <si>
    <t>Gamaliel San Juan Pelcastro</t>
  </si>
  <si>
    <t>Alan Alberto Escobar Villalobos</t>
  </si>
  <si>
    <t>Gian Carlo Carrillo Hernández</t>
  </si>
  <si>
    <t>Neftali Jadiel Hernández Aguirre</t>
  </si>
  <si>
    <t>Andrik Sebastián Ménez Gutiérrez</t>
  </si>
  <si>
    <t>Samira Yamilet Mejía C.</t>
  </si>
  <si>
    <t>Cristian Yahir Ávila Ramírez</t>
  </si>
  <si>
    <t xml:space="preserve">Isis Karina González P. </t>
  </si>
  <si>
    <t>Lucía  Huerto Gutiérrez</t>
  </si>
  <si>
    <t>Pedro Miguel Santos Carrillo</t>
  </si>
  <si>
    <t xml:space="preserve">David Juventino Hernámdez Pantitlán </t>
  </si>
  <si>
    <t>Evoleth Palma Dorantes</t>
  </si>
  <si>
    <t>Luz Elena Robledo Sánchez</t>
  </si>
  <si>
    <t>Itzel Darinca Santos García</t>
  </si>
  <si>
    <t>Kevin Geovani Pantitlán Aguilar</t>
  </si>
  <si>
    <t xml:space="preserve">Víctor Hugo Barragán Villafan </t>
  </si>
  <si>
    <t>Merary Zulema Nolasco C.</t>
  </si>
  <si>
    <t>Ámbar Mónica Rodriguez M.</t>
  </si>
  <si>
    <t>Andrea Modelino Acosta</t>
  </si>
  <si>
    <t>Andros Adán Arriaga Flores</t>
  </si>
  <si>
    <t>Mayathai Quiroz Iglesias</t>
  </si>
  <si>
    <t>José Mateo Aranieguis Cárdenas</t>
  </si>
  <si>
    <t xml:space="preserve">Alison Mariana Nolasco </t>
  </si>
  <si>
    <t>Alán Jesús Nolasco Ramírez</t>
  </si>
  <si>
    <t>Bryan Emanuel Hernández</t>
  </si>
  <si>
    <t>Alexander Perucho González</t>
  </si>
  <si>
    <t xml:space="preserve">Wilber Quevedo Eleoradio </t>
  </si>
  <si>
    <t>Adriana Jimena Flores Capistran</t>
  </si>
  <si>
    <t>Fernando Santos Carrillo</t>
  </si>
  <si>
    <t>Víctoria Jimena Escobar Rojas</t>
  </si>
  <si>
    <t>Nataly Julieta Palacios B.</t>
  </si>
  <si>
    <t xml:space="preserve">Melany Yamile Nolasco C. </t>
  </si>
  <si>
    <t>Dayla Rubí Rodriguez Hernádez</t>
  </si>
  <si>
    <t>Iker Ricardo Horacio Díaz</t>
  </si>
  <si>
    <t>Anyuli Yamile Rocha Torres</t>
  </si>
  <si>
    <t>Angélica Monserrat Pedrosa Chávez</t>
  </si>
  <si>
    <t>Rebeca Juárez Yesca</t>
  </si>
  <si>
    <t>Julieta Abdalá García</t>
  </si>
  <si>
    <t>Itai Díaz Hernández</t>
  </si>
  <si>
    <t>Eldan Martínez López</t>
  </si>
  <si>
    <t>Vanessa Yolet Mendoza Aguirre</t>
  </si>
  <si>
    <t>Emiliano Camacho Dorantes</t>
  </si>
  <si>
    <t>Eliezer Azaí Aguirre Davalos</t>
  </si>
  <si>
    <t>Emir Osvaldo Pantitlán Cosme</t>
  </si>
  <si>
    <t>Jairo Josef Cosme Hernández</t>
  </si>
  <si>
    <t>Kareny García Morure</t>
  </si>
  <si>
    <t>Janeth Mercedes Savedra Millan</t>
  </si>
  <si>
    <t>Jaziel Efraín Tapía Zallago</t>
  </si>
  <si>
    <t>Abigail Flores Dorantes</t>
  </si>
  <si>
    <t>Manuel Alejandro Escalona R.</t>
  </si>
  <si>
    <t>Yago David Modelino Acosta</t>
  </si>
  <si>
    <t>Regina Concha Guzmán</t>
  </si>
  <si>
    <t>Cristopher Arrizaga Flores</t>
  </si>
  <si>
    <t xml:space="preserve">Marialena Campos Salgado </t>
  </si>
  <si>
    <t>Dilan Haziel Escobar Díaz</t>
  </si>
  <si>
    <t>Dilan Daniel Salcedo Rojas</t>
  </si>
  <si>
    <t>Yaretzi Arcienega Menez</t>
  </si>
  <si>
    <t>Rodrigo Sandoval Peralta</t>
  </si>
  <si>
    <t>Alondra Daniela Mendoza Hernández</t>
  </si>
  <si>
    <t>Jonathan Enrique Campos Contreras</t>
  </si>
  <si>
    <t>José Luis Zamorano Guzmán</t>
  </si>
  <si>
    <t>Elías Guillermo Piña Guzmán</t>
  </si>
  <si>
    <t>Ximena Saraí Dorantes Guzmán</t>
  </si>
  <si>
    <t>Hanzel Misael Aguirre Flores</t>
  </si>
  <si>
    <t>Santiago Aldrete Vázquez</t>
  </si>
  <si>
    <t>Carlos Daniel Nava Barrera</t>
  </si>
  <si>
    <t>Jade Perucho Rebolledo</t>
  </si>
  <si>
    <t>Ulani Coral Pantitlán Melo</t>
  </si>
  <si>
    <t>Gabriela Yoselin Escobar Ocampo</t>
  </si>
  <si>
    <t>Maura Guadalupe Romero Pantitlán</t>
  </si>
  <si>
    <t>Emma Yazmín Peralta Díaz</t>
  </si>
  <si>
    <t>Sofía Camacho Díaz</t>
  </si>
  <si>
    <t>América Betzabe Camacho Millan</t>
  </si>
  <si>
    <t xml:space="preserve">Sebastian Rodrigo Gómez Dominguez </t>
  </si>
  <si>
    <t>Eymar Guadalupe Arciniega Menez</t>
  </si>
  <si>
    <t>Diego Alexander Nolasco Ramírez</t>
  </si>
  <si>
    <t>Yaqueline Rocha Torres</t>
  </si>
  <si>
    <t xml:space="preserve">Crits Ángel Vergara Orihuela </t>
  </si>
  <si>
    <t>Axel Brito Rodríguez</t>
  </si>
  <si>
    <t>Brayan Alejadro Aguilar González</t>
  </si>
  <si>
    <t>Luis Enrique Sandoval Peralta</t>
  </si>
  <si>
    <t>Juan Carlos Ocampo Hernández</t>
  </si>
  <si>
    <t>Lindsy Guadalupe Hernández Hernández</t>
  </si>
  <si>
    <t>Edwin Antonio Morán Sánchez</t>
  </si>
  <si>
    <t>Rene Quintero Dominguez</t>
  </si>
  <si>
    <t>Wendy Nayeli Sánchez Quintero</t>
  </si>
  <si>
    <t>Cristian Abundez Rodríguez</t>
  </si>
  <si>
    <t>Maximo Quintero Girón</t>
  </si>
  <si>
    <t>Sofia Quintero Anzúres</t>
  </si>
  <si>
    <t>Mateo Quintero Quintero</t>
  </si>
  <si>
    <t>Adelyn Isabella Osorio Rivera</t>
  </si>
  <si>
    <t>Eder Gael Quintero Martínez</t>
  </si>
  <si>
    <t>Brayan Rivera Quintero</t>
  </si>
  <si>
    <t>Alheli Girón Martínez</t>
  </si>
  <si>
    <t>Michelle Monserrat Cervantes Martínez</t>
  </si>
  <si>
    <t>Cynthia Keira Quintero Zúñiga</t>
  </si>
  <si>
    <t>Mariana Monserrat Quintero Herrera</t>
  </si>
  <si>
    <t>Mario Alejandro Cervantes Martínez</t>
  </si>
  <si>
    <t>Gonzálo Manuel Girón Martínez</t>
  </si>
  <si>
    <t>Giancarlo Tenango Quintero</t>
  </si>
  <si>
    <t>Camila Pelaez Escamilla</t>
  </si>
  <si>
    <t>Sebastian Gael Cervantes Martínez</t>
  </si>
  <si>
    <t>categoría</t>
  </si>
  <si>
    <t>Z</t>
  </si>
  <si>
    <t>percentil</t>
  </si>
  <si>
    <t xml:space="preserve">Z </t>
  </si>
  <si>
    <t>EDAD (meses)</t>
  </si>
  <si>
    <t>?</t>
  </si>
  <si>
    <t>TALLA (cm)</t>
  </si>
  <si>
    <t>LRP</t>
  </si>
  <si>
    <t>TALLA PARA LA EDAD</t>
  </si>
  <si>
    <t>LONGITUD RELATIVA DE PIERNA</t>
  </si>
  <si>
    <t>CIRCUNFERENCIA DE CINTURA</t>
  </si>
  <si>
    <t>PERÍMETRO CEFÁLICO</t>
  </si>
  <si>
    <t>CATEGORIA</t>
  </si>
  <si>
    <t xml:space="preserve">Diego Geovanni González S. </t>
  </si>
  <si>
    <t>Sobrepeso</t>
  </si>
  <si>
    <t>N/A</t>
  </si>
  <si>
    <t>C</t>
  </si>
  <si>
    <t>Hilary Fernández Cortéz</t>
  </si>
  <si>
    <t>Cristian Alexis Sierra Hernández</t>
  </si>
  <si>
    <t>Mía Romina Ramírez Carranza</t>
  </si>
  <si>
    <t>Steven Alonso Ramos</t>
  </si>
  <si>
    <t>Ailin Daniela González Ordaz</t>
  </si>
  <si>
    <t>Roberto Julian Pérez Rico</t>
  </si>
  <si>
    <t>Ián Emmanuel Lozano Sebastián</t>
  </si>
  <si>
    <t>Maisie Grace Palacios García</t>
  </si>
  <si>
    <t>Aitana Carolina García Alonso</t>
  </si>
  <si>
    <t>Julio Mauricio Velazquez García</t>
  </si>
  <si>
    <t>Eddie Reyes Viveros</t>
  </si>
  <si>
    <t>Sofia Alison García Pacheco</t>
  </si>
  <si>
    <t>Alison Julieta Herrera Guerrero</t>
  </si>
  <si>
    <t>Daniel Gasca López</t>
  </si>
  <si>
    <t>Bruno Leonardo Muñoz Sánchez</t>
  </si>
  <si>
    <t xml:space="preserve">Liseth Guadalupe Chavarria Sarmiento </t>
  </si>
  <si>
    <t>Agélica Rubí Baltazar Sánchez</t>
  </si>
  <si>
    <t>Alessa Fernanda Ramírez Yañez</t>
  </si>
  <si>
    <t>Hugo Isac Pecina Hernández</t>
  </si>
  <si>
    <t>Fernando Osorio De la Cruz</t>
  </si>
  <si>
    <t>Mariana Alejandra Soto Piñón</t>
  </si>
  <si>
    <t xml:space="preserve">Logan Santiago Cruz Medina </t>
  </si>
  <si>
    <t>Josué Azael Albarrán Florida</t>
  </si>
  <si>
    <t>José Emiliano Pérez Aguado</t>
  </si>
  <si>
    <t>Santiago Aarón Castañeda Hernández</t>
  </si>
  <si>
    <t>Dainela Olvera Bautista</t>
  </si>
  <si>
    <t>Citlali Jazmín Díaz Mundo</t>
  </si>
  <si>
    <t>Alisson Mariel Rodríguez Pérez</t>
  </si>
  <si>
    <t>Alice Alonso Ramos</t>
  </si>
  <si>
    <t>Harold Ronaldo Zaráte Benavides</t>
  </si>
  <si>
    <t>Zoemi Yaretzi Luna Estrada</t>
  </si>
  <si>
    <t>Jenny Fernanda González Gaona</t>
  </si>
  <si>
    <t>Renata Cabrera Guerrero</t>
  </si>
  <si>
    <t>Miguel Ángel Martínez Ponce</t>
  </si>
  <si>
    <t xml:space="preserve">Camilo Pérez Calvario </t>
  </si>
  <si>
    <t>Aranza Estefani Vilanueva Rodriguez</t>
  </si>
  <si>
    <t>Ián Montelongo Bocanegra</t>
  </si>
  <si>
    <t>Mateo Alexander Crisanto Hernández</t>
  </si>
  <si>
    <t>Hannia Ximena Martínez López</t>
  </si>
  <si>
    <t>Melani Yamilet Escudero Miguel</t>
  </si>
  <si>
    <t>Sindury Catalella Romero Gallegos</t>
  </si>
  <si>
    <t xml:space="preserve">Santiago Sebastian Dominguez Villasana </t>
  </si>
  <si>
    <t>Mayra Jiména Hernández Pantitlán</t>
  </si>
  <si>
    <t>Ximena Yiovanna Beltrán Natal</t>
  </si>
  <si>
    <t>Jimena Mendoza San Juan</t>
  </si>
  <si>
    <t>José Ronaldo Gómez Domínguez</t>
  </si>
  <si>
    <t>Leonardo Samir Escalona Rojas</t>
  </si>
  <si>
    <t>Roberto Saúl Ortega Torres</t>
  </si>
  <si>
    <t>Osvaldo López González</t>
  </si>
  <si>
    <t>Santiago García Román</t>
  </si>
  <si>
    <t>Karla Paola Martínez Domínguez</t>
  </si>
  <si>
    <t>Yoseline Gabriela Arrieta Campos</t>
  </si>
  <si>
    <t>Milagro Nicole Pantitlán Melo</t>
  </si>
  <si>
    <t>Stefanny Carrillo Sánchez</t>
  </si>
  <si>
    <t xml:space="preserve">Leonardo Ángel Rodriguez Aldrete </t>
  </si>
  <si>
    <t>Francisco Gael Palacios Betrán</t>
  </si>
  <si>
    <t>Samily Millin Alvarez Díaz</t>
  </si>
  <si>
    <t>Hanen Catalella</t>
  </si>
  <si>
    <t>Kler Frida Taboada Guzmán</t>
  </si>
  <si>
    <t xml:space="preserve">María José Yesca Marure </t>
  </si>
  <si>
    <t>Carlos David García Díaz</t>
  </si>
  <si>
    <t xml:space="preserve">Landy Yolidet Flores Sandoval </t>
  </si>
  <si>
    <t>Dayana Quetzali Salas Mendoza</t>
  </si>
  <si>
    <t xml:space="preserve">Nicole Díaz Pasencia </t>
  </si>
  <si>
    <t>Brayan Emmanuel Hernández González</t>
  </si>
  <si>
    <t>Iker Armando López Alcalá</t>
  </si>
  <si>
    <t>Mateo Sebastian Hernández Aguirre</t>
  </si>
  <si>
    <t>Karla Sofía Serrano Sánchez</t>
  </si>
  <si>
    <t>Citlali Marlen Benigno Chávez</t>
  </si>
  <si>
    <t>Paola Itzayana Carteras Chávez</t>
  </si>
  <si>
    <t>Renata Urostegui Díaz</t>
  </si>
  <si>
    <t>Samuel Rocha Cortés</t>
  </si>
  <si>
    <t>Elisa Yesca Marure</t>
  </si>
  <si>
    <t>Liam Jesús Sotelo Pantitlán</t>
  </si>
  <si>
    <t>Julieta Lagunas Ayala</t>
  </si>
  <si>
    <t>Wendy Yollet Vazquez Vazquez</t>
  </si>
  <si>
    <t>Josias Emanuel Gómez Aranieguez</t>
  </si>
  <si>
    <t>Ismael Rocha Cortés</t>
  </si>
  <si>
    <t xml:space="preserve">Javier Aarón López Alcalá </t>
  </si>
  <si>
    <t>Kareny Itzel Cruz Sánchez</t>
  </si>
  <si>
    <t>Yaneli Jaqueline Flores Sandoval</t>
  </si>
  <si>
    <t>Yareni Aylin Trinidad Cruz</t>
  </si>
  <si>
    <t>Mateo Medina Martínez</t>
  </si>
  <si>
    <t>Alfonso Gerardo Cano González</t>
  </si>
  <si>
    <t>Axel David Peralta Bautista</t>
  </si>
  <si>
    <t>Emily Amairany Iniestra Salazar</t>
  </si>
  <si>
    <t>Aislin Valentina Guerra Hernándes</t>
  </si>
  <si>
    <t>Mark Alexander Palafox</t>
  </si>
  <si>
    <t>Emily Zoé Santiago Cortés</t>
  </si>
  <si>
    <t>Sofía Olmedo Piza</t>
  </si>
  <si>
    <t>Francisco Javier Miguel Escalante</t>
  </si>
  <si>
    <t>Mariana Ruiz Sánchez</t>
  </si>
  <si>
    <t>Karla Yamilet Chávez Zapata</t>
  </si>
  <si>
    <t>Mateo Ramírez Aguilar</t>
  </si>
  <si>
    <t>Wendy Yamileth García Ramírez</t>
  </si>
  <si>
    <t>Alan Mateo Juárez González</t>
  </si>
  <si>
    <t>Sara Aviles Huerta</t>
  </si>
  <si>
    <t>Óscar Isaz de Loera Vargas</t>
  </si>
  <si>
    <t>Jazmín Ayanet González Ramírez</t>
  </si>
  <si>
    <t>Daniela Camacho Rodriguez</t>
  </si>
  <si>
    <t>Patricia Angélica Hernández Merino</t>
  </si>
  <si>
    <t>Karoline Julieth Hernández Mariano</t>
  </si>
  <si>
    <t>Vanessa Michel Cortés Santiago</t>
  </si>
  <si>
    <t>Aldo Hernández Vargas</t>
  </si>
  <si>
    <t>Moises González Luna</t>
  </si>
  <si>
    <t>Abraham González Luna</t>
  </si>
  <si>
    <t>Alonso Valentin Cerón Hernández</t>
  </si>
  <si>
    <t>Alexia Reyes Riveron</t>
  </si>
  <si>
    <t xml:space="preserve">Jetzaly Sarahi Pedroza Martínez </t>
  </si>
  <si>
    <t>Alonso Said Hernández Mendoza</t>
  </si>
  <si>
    <t>Farid Abimail Hernández González</t>
  </si>
  <si>
    <t>Edinson Karim Baltazar Estrella</t>
  </si>
  <si>
    <t>Luis Manuel Baltazar Hernández</t>
  </si>
  <si>
    <t>Estefani Martínez Garrido</t>
  </si>
  <si>
    <t>Nailin Estrada Bernal</t>
  </si>
  <si>
    <t>Rosa Zuleima González Rivas</t>
  </si>
  <si>
    <t>Marjory Esmeralda Cruz Castro</t>
  </si>
  <si>
    <t>Edwin Yahir Hernández Jiménez</t>
  </si>
  <si>
    <t>Oddys González Pérez</t>
  </si>
  <si>
    <t>Alison Sierra Baltazar</t>
  </si>
  <si>
    <t>Baruc Yael García Granados</t>
  </si>
  <si>
    <t>Mía Johanna Reyes Estrada</t>
  </si>
  <si>
    <t>Zoé Cristal Estrada Velazquez</t>
  </si>
  <si>
    <t>Irving Josué Antonio Sánchez</t>
  </si>
  <si>
    <t>Cristian Salvador Sánchez Estrada</t>
  </si>
  <si>
    <t xml:space="preserve">Evelyn Yareth Benitez Palma </t>
  </si>
  <si>
    <t>Hanny Yatzil Guerrero Estrada</t>
  </si>
  <si>
    <t>Brigitte Quiroz Prado</t>
  </si>
  <si>
    <t>Liam Aimar González Mendoza</t>
  </si>
  <si>
    <t>Santiago Neftali Pérez Uribe</t>
  </si>
  <si>
    <t xml:space="preserve">Teo Martín Mendoza Omaña </t>
  </si>
  <si>
    <t>Asly Regina Cerón Hernández</t>
  </si>
  <si>
    <t>Anthony Alain Quijano Estrada</t>
  </si>
  <si>
    <t>Camila Díaz Díaz</t>
  </si>
  <si>
    <t>Alexander Rivero Martínez</t>
  </si>
  <si>
    <t xml:space="preserve">Erick Daniel Gómez Santiago </t>
  </si>
  <si>
    <t xml:space="preserve">Cristopher Olaf Castillo Monterrubio </t>
  </si>
  <si>
    <t xml:space="preserve">Héctor Hernández Rivero </t>
  </si>
  <si>
    <t>Iker Eduardo Pérez Gómez</t>
  </si>
  <si>
    <t>Alfredo San Nicolás Villeda</t>
  </si>
  <si>
    <t xml:space="preserve">Cristal Pérez Hernández </t>
  </si>
  <si>
    <t xml:space="preserve">Axel Ariel Trejo Estrada </t>
  </si>
  <si>
    <t>María Alexandra Vazquez González</t>
  </si>
  <si>
    <t>Fernando Martínez Vázquez</t>
  </si>
  <si>
    <t>Marely Guadalupe Baltazar Reyes</t>
  </si>
  <si>
    <t>Manuel Alexander Cerón Pérez</t>
  </si>
  <si>
    <t>Alexa Ramírez López</t>
  </si>
  <si>
    <t>Carmen Berenice Martínez Alonso</t>
  </si>
  <si>
    <t>Alexa Nicole Patricio Díaz</t>
  </si>
  <si>
    <t>Juan Pablo García Sánchez</t>
  </si>
  <si>
    <t>Alison Reyes Manturano</t>
  </si>
  <si>
    <t xml:space="preserve">Karen Yatziri Rincón García </t>
  </si>
  <si>
    <t>Flor María López Maya</t>
  </si>
  <si>
    <t>Celeste Guadalupe Espitia Bravo</t>
  </si>
  <si>
    <t>Jimena Estrada Miguel</t>
  </si>
  <si>
    <t>Regina Sibel Sánchez González</t>
  </si>
  <si>
    <t>Erick David Pedraza Reyes</t>
  </si>
  <si>
    <t>Ignacio Gabriel Hernández Cervantes</t>
  </si>
  <si>
    <t>Héctor Estrada González</t>
  </si>
  <si>
    <t>Edwin Isaac Martínez Vazquez</t>
  </si>
  <si>
    <t>Leilani Estrada Castro</t>
  </si>
  <si>
    <t>Leslye Paola Jiménez Pérez</t>
  </si>
  <si>
    <t>Airam Regina Pérez Reyes</t>
  </si>
  <si>
    <t>Emily Guadalupe Pérez Cerón</t>
  </si>
  <si>
    <t>Camila Obregón Hernández</t>
  </si>
  <si>
    <t>Emmanuel Gómez Jiménez</t>
  </si>
  <si>
    <t>Diana González Corona</t>
  </si>
  <si>
    <t>Dayra Melchor Reyes</t>
  </si>
  <si>
    <t>Andrea Riverón Álvarez</t>
  </si>
  <si>
    <t>Ashly Madelein Cerón Fuentes</t>
  </si>
  <si>
    <t>Lian Zaid Pérez Castillo</t>
  </si>
  <si>
    <t>Ián García Sánchez</t>
  </si>
  <si>
    <t>Víctor Edmundo Sánchez Estrada</t>
  </si>
  <si>
    <t>Paola Guadalupe Uribe García</t>
  </si>
  <si>
    <t>Edsón Erny Reyes González</t>
  </si>
  <si>
    <t>Zoé Yamilet Conteras González</t>
  </si>
  <si>
    <t>Cristopher Eduardo Vazquez Estrada</t>
  </si>
  <si>
    <t>Leonel Reyes Hernández</t>
  </si>
  <si>
    <t>Alexa Hernández Ramírez</t>
  </si>
  <si>
    <t>Ayin López Becerril</t>
  </si>
  <si>
    <t>Cristian Yoltic Gómez Martínez</t>
  </si>
  <si>
    <t>José Luis Rivas López</t>
  </si>
  <si>
    <t>Cruz Sebastián Riverón Martínez</t>
  </si>
  <si>
    <t>Amy Sayuri Palma Martínez</t>
  </si>
  <si>
    <t xml:space="preserve">Jazmin  gonzález Baltazar </t>
  </si>
  <si>
    <t>Juan Antonio Estrella Jiménez</t>
  </si>
  <si>
    <t>Cristian Jesús Estrada García</t>
  </si>
  <si>
    <t>Naomi Guadalupe Cruz Hernández</t>
  </si>
  <si>
    <t>Diego Armando Gómez García</t>
  </si>
  <si>
    <t>Alin Lucero García López</t>
  </si>
  <si>
    <t>Mateo Uribe Reyes</t>
  </si>
  <si>
    <t xml:space="preserve">José Francisco Hernández Gudiño </t>
  </si>
  <si>
    <t>Juan Ángel Reyes Nicacio</t>
  </si>
  <si>
    <t>Katia Monserrath Cerón Gómez</t>
  </si>
  <si>
    <t>Rafael González Chávez</t>
  </si>
  <si>
    <t>Valeria Medoza Ramírez</t>
  </si>
  <si>
    <t>Isai Pérez Cerón</t>
  </si>
  <si>
    <t>Erik Pérez Juárez</t>
  </si>
  <si>
    <t>Adriana Jazmín Reyes Estrada</t>
  </si>
  <si>
    <t>Luz Quetzalli Hernández Cañas</t>
  </si>
  <si>
    <t>Ximena Detzani Pérez Pérez</t>
  </si>
  <si>
    <t>Ricardo Yoseff Pérez Rojo</t>
  </si>
  <si>
    <t>Ángel Armando López Omaña</t>
  </si>
  <si>
    <t>Alessandra Guadalupe Sierra Baltazar</t>
  </si>
  <si>
    <t>María José Jiménez Dorantes</t>
  </si>
  <si>
    <t>Nicole Rodriguez Hernández</t>
  </si>
  <si>
    <t>Amin Derek Granados Medina</t>
  </si>
  <si>
    <t>Alice González López</t>
  </si>
  <si>
    <t>Emmanuel López García</t>
  </si>
  <si>
    <t>Alexa Guadalupe Hernández Martínez</t>
  </si>
  <si>
    <t>John Eduardo Martínez Montes</t>
  </si>
  <si>
    <t>Valeria Nicol Estrada González</t>
  </si>
  <si>
    <t>Mateo Alexander Franco Mendez</t>
  </si>
  <si>
    <t>Adriana Angeles Monterrubio</t>
  </si>
  <si>
    <t>Alán Eduardo Estrada González</t>
  </si>
  <si>
    <t>Itzel Naomi Castro Sánchez</t>
  </si>
  <si>
    <t>Hugo Noel Sánchez Riverón</t>
  </si>
  <si>
    <t>Alice Kristel Narvaez Angeles</t>
  </si>
  <si>
    <t>Cristóbal López Cerón</t>
  </si>
  <si>
    <t>Carlos Uriel Reyes Cornejo</t>
  </si>
  <si>
    <t>Mitzy Rincón García</t>
  </si>
  <si>
    <t>Azul Joana Solis Linares</t>
  </si>
  <si>
    <t>Yamileni García Flores</t>
  </si>
  <si>
    <t>Jonathan Said Estrada Reyes</t>
  </si>
  <si>
    <t>Valentina Flores Pérez</t>
  </si>
  <si>
    <t>Aury Yuritzy Estrada Bernal</t>
  </si>
  <si>
    <t>Mildred Sayuri Hernández Jiménez</t>
  </si>
  <si>
    <t>Brianda Lizeth Palma Rodriguez</t>
  </si>
  <si>
    <t>Santiago Guadalupe Vazquez Bello</t>
  </si>
  <si>
    <t>Luis Roberto Rodriguez Angéles</t>
  </si>
  <si>
    <t xml:space="preserve">David de Jesús Torres Santiago </t>
  </si>
  <si>
    <t xml:space="preserve">Ángel Hafid Santiago Teodoro </t>
  </si>
  <si>
    <t>Alin Vanessa San Nicolás Villeda</t>
  </si>
  <si>
    <t>Fany Jazmín Riverón Martínez</t>
  </si>
  <si>
    <t>Neythan Reyes Pérez</t>
  </si>
  <si>
    <t xml:space="preserve">Leo Martínez Estrada </t>
  </si>
  <si>
    <t>Brandón Pérez Gómez</t>
  </si>
  <si>
    <t>Osvaldo Riverón Martínez</t>
  </si>
  <si>
    <t>Alexa Marely Lozano Salvador</t>
  </si>
  <si>
    <t xml:space="preserve">Guadalupe Yamilet Hernández Cerón </t>
  </si>
  <si>
    <t>Amaya Guadalupe García Salvador</t>
  </si>
  <si>
    <t>Astrid Yamilet Hernández Sánchez</t>
  </si>
  <si>
    <t>Valeria Yamilet Martínez Moreno</t>
  </si>
  <si>
    <t xml:space="preserve">Arlet Vega Hernández </t>
  </si>
  <si>
    <t>Angeles Altair González Hernández</t>
  </si>
  <si>
    <t>Axel Santiago Jiménez Pérez</t>
  </si>
  <si>
    <t>Yoseo Mateo Ramírez Sánchez</t>
  </si>
  <si>
    <t>Valeria Hernández Flores</t>
  </si>
  <si>
    <t>Edgar Obregón Hernández</t>
  </si>
  <si>
    <t>Isaac Rafael López Sánchez</t>
  </si>
  <si>
    <t>Iván Gómez González</t>
  </si>
  <si>
    <t>Ián Uriel Martínez Garrido</t>
  </si>
  <si>
    <t>Alison Simei Sánchez Cerón</t>
  </si>
  <si>
    <t>Jesús Mercado Reyes</t>
  </si>
  <si>
    <t>Leslie Alizeth Hernández López</t>
  </si>
  <si>
    <t>Iker Gabriel Estrada López</t>
  </si>
  <si>
    <t>María José Quijano Estrada</t>
  </si>
  <si>
    <t>Aitana Sofía Alonso Monrroy</t>
  </si>
  <si>
    <t>Antonio Gómez Flores</t>
  </si>
  <si>
    <t>Zoé Martínez Estrada</t>
  </si>
  <si>
    <t xml:space="preserve">Alexander González Castro </t>
  </si>
  <si>
    <t>Zaira Cristal Reyes Pérez</t>
  </si>
  <si>
    <t>Josafat Hernández Mendoza</t>
  </si>
  <si>
    <t>María Fernanda Zapatero Reyes</t>
  </si>
  <si>
    <t>Luis René Hernández Ramírez</t>
  </si>
  <si>
    <t>Emili Coral Reyes López</t>
  </si>
  <si>
    <t>Daniel Alejandro Obregón Martínez</t>
  </si>
  <si>
    <t>Adriana Estrada Bravo</t>
  </si>
  <si>
    <t>Arely Estrada Bravo</t>
  </si>
  <si>
    <t xml:space="preserve">Uriel Martínez Franco </t>
  </si>
  <si>
    <t xml:space="preserve">Ángel Gerardo Espitia Mancio </t>
  </si>
  <si>
    <t>María Guadaluoe Gónzalez Pérez</t>
  </si>
  <si>
    <t>Yarelin Naomi Millán Balderas</t>
  </si>
  <si>
    <t>Ingrid Yamilet Sánchez Sánchez</t>
  </si>
  <si>
    <t>Briam Emiliano Rodriguez Ramírez</t>
  </si>
  <si>
    <t>Jesika Alicia Reyes Hernández</t>
  </si>
  <si>
    <t>Ashley Janet Ramírez Palma</t>
  </si>
  <si>
    <t>Suemi Dayrin Palma Rodríguez</t>
  </si>
  <si>
    <t>Yeimi Pérez González</t>
  </si>
  <si>
    <t>Edgar Cristóbal Muciños Villalba</t>
  </si>
  <si>
    <t>Mayté Martínez Contreras</t>
  </si>
  <si>
    <t>Rafael Hernández Trejo</t>
  </si>
  <si>
    <t>Santiago González Hernández</t>
  </si>
  <si>
    <t>Luciana Renata García López</t>
  </si>
  <si>
    <t>Dayra Anahí Federico Mendoza</t>
  </si>
  <si>
    <t xml:space="preserve">Karewit Siomari Baltaar Santiago </t>
  </si>
  <si>
    <t xml:space="preserve">Derek Baltazar Santiago </t>
  </si>
  <si>
    <t>Axel Gael Armas Reyes</t>
  </si>
  <si>
    <t>Alan Gael Angeles Martínez</t>
  </si>
  <si>
    <t>Eliza Adelina Alcantará López</t>
  </si>
  <si>
    <t>Regina Hernández López</t>
  </si>
  <si>
    <t>Kevin Armando Hernández Martínez</t>
  </si>
  <si>
    <t>Mauricio González Reyes</t>
  </si>
  <si>
    <t>Mara Yaraslawi López Hernández</t>
  </si>
  <si>
    <t>Jesús Alejandro López Estrada</t>
  </si>
  <si>
    <t>Kaori Magos Ramírez</t>
  </si>
  <si>
    <t>Armando Gael Mendoza Pérez</t>
  </si>
  <si>
    <t>Tonanzi Guadalupe Hernández Caña</t>
  </si>
  <si>
    <t xml:space="preserve">Paula Lucero Torres Santiago </t>
  </si>
  <si>
    <t xml:space="preserve">Britany Karla Angeles Monterrubio </t>
  </si>
  <si>
    <t>Lorenzo Rodriguez Hernández</t>
  </si>
  <si>
    <t xml:space="preserve">Tadeo Sinai Castillo Clemente </t>
  </si>
  <si>
    <t>Ismael Sánchez Martínez</t>
  </si>
  <si>
    <t>Valeria Aguilar Neyra</t>
  </si>
  <si>
    <t>Óscar Estrada Sánchez</t>
  </si>
  <si>
    <t>Oliver Hernández Ramírez</t>
  </si>
  <si>
    <t>Yolitzin Estrella Castillo Monterrubio</t>
  </si>
  <si>
    <t>Juan Pablo López Tima</t>
  </si>
  <si>
    <t>Jonathan Oziel Cerón Reyes</t>
  </si>
  <si>
    <t>Santigo Obregón Nava</t>
  </si>
  <si>
    <t>Edgar Enrique Ovalle Sánchez</t>
  </si>
  <si>
    <t>Anahí Uribe Riverón</t>
  </si>
  <si>
    <t>Hanna Suremillan Torres</t>
  </si>
  <si>
    <t>Britani Maily Velazquez Ramírez</t>
  </si>
  <si>
    <t>Leonardo Yair Estrella Baltazar</t>
  </si>
  <si>
    <t>Yahir Jesús Ramírez Vallejo</t>
  </si>
  <si>
    <t>Gabino Mendoza Vazquez</t>
  </si>
  <si>
    <t>Ingrid Joselyn Mendoza Hernández</t>
  </si>
  <si>
    <t>Jesús Ramírez López</t>
  </si>
  <si>
    <t>Jazmín Aidé Rueda Hernández</t>
  </si>
  <si>
    <t>Yaretzi Nataly Martínez Franco</t>
  </si>
  <si>
    <t>Marina Azarel Hernández Sánchez</t>
  </si>
  <si>
    <t>Edwin Yassel López Hernández</t>
  </si>
  <si>
    <t>Juan Enrique González Pérez</t>
  </si>
  <si>
    <t>Cristian Yael Martínez Sánchez</t>
  </si>
  <si>
    <t>Roberto Gael Jiménez González</t>
  </si>
  <si>
    <t>Dayana Estefania López González</t>
  </si>
  <si>
    <t>Joshua Uziel Gómez Reyes</t>
  </si>
  <si>
    <t>Bryan Alexis González Gómez</t>
  </si>
  <si>
    <t>Kevin Cruz Mendoza</t>
  </si>
  <si>
    <t>Osmal Misael Estrada Gómez</t>
  </si>
  <si>
    <t>Josephine Mariet Estrada Sánchez</t>
  </si>
  <si>
    <t>Itzel Scarlett García Juárez</t>
  </si>
  <si>
    <t>Aranza Vazquez Bello</t>
  </si>
  <si>
    <t>Jonathan Adiarir Millan Balderas</t>
  </si>
  <si>
    <t xml:space="preserve">Eiza Yenit Benitez Palma </t>
  </si>
  <si>
    <t xml:space="preserve">Naim Esvein Baltazar Santiago </t>
  </si>
  <si>
    <t>Santiago Isaí Maciños Villaba</t>
  </si>
  <si>
    <t>Ábigail Hernández Cortés</t>
  </si>
  <si>
    <t>Uriel Corona Castillo</t>
  </si>
  <si>
    <t>Melani Laxmi González Bruno</t>
  </si>
  <si>
    <t>Citlali Yaretzi Pérez</t>
  </si>
  <si>
    <t>Axel Yael Gómez Cerón</t>
  </si>
  <si>
    <t>Kevin Emmanuel Estrada Estrella</t>
  </si>
  <si>
    <t>María José Estrada Marquez</t>
  </si>
  <si>
    <t xml:space="preserve">Jordán Josué Santiago </t>
  </si>
  <si>
    <t>Juan Carlos Estrada Sánchez</t>
  </si>
  <si>
    <t>Zuatamar Flores Pérez</t>
  </si>
  <si>
    <t>Humberto Gónzalez Gómez</t>
  </si>
  <si>
    <t>Cielo María Pérez Bárcenas</t>
  </si>
  <si>
    <t>Mayrin Pérez Castillo</t>
  </si>
  <si>
    <t>Miguel Ángel González Pérez</t>
  </si>
  <si>
    <t>Rosa Ivette Torres Santiago</t>
  </si>
  <si>
    <t>Yubal Santiago Álvarez</t>
  </si>
  <si>
    <t>Óscar Alberto Sánchez Riverol</t>
  </si>
  <si>
    <t>María José Rivera San Nicolás</t>
  </si>
  <si>
    <t>Daniel Alexander Rodriguez Juárez</t>
  </si>
  <si>
    <t>Adriana Sarahi Reyes Ángeles</t>
  </si>
  <si>
    <t xml:space="preserve">Carlos Daniel Reyes Nicasio </t>
  </si>
  <si>
    <t>Altair Ramírez Juárez</t>
  </si>
  <si>
    <t>Leonel López González</t>
  </si>
  <si>
    <t>Giovanni López García</t>
  </si>
  <si>
    <t>Jimena Isfel Hernández Martínez</t>
  </si>
  <si>
    <t>Denisse Abril García López</t>
  </si>
  <si>
    <t>Jactan Jesús García Cañedo</t>
  </si>
  <si>
    <t>Cristian Emmanuel Cerón Reyes</t>
  </si>
  <si>
    <t>José Emiliano Cañas Hernández</t>
  </si>
  <si>
    <t>Edwin Joué González Santiago</t>
  </si>
  <si>
    <t>Alexa Abigail Chávez Lozano</t>
  </si>
  <si>
    <t>Mariana Ivette Osorio Juárez</t>
  </si>
  <si>
    <t>Luca Domink Rodríguez de la Torre</t>
  </si>
  <si>
    <t>Diana Yamilet De la Rosa Cifuente</t>
  </si>
  <si>
    <t>José Ángel Jiménez González</t>
  </si>
  <si>
    <t>Marisol González González</t>
  </si>
  <si>
    <t>Abigail Melisa Mejía López</t>
  </si>
  <si>
    <t>Guadalupe González Olivares</t>
  </si>
  <si>
    <t>Iker Hernándes Áviles</t>
  </si>
  <si>
    <t>Humberto Daniel Ramírez Alascua</t>
  </si>
  <si>
    <t>Romina Zoé Elias Hernández</t>
  </si>
  <si>
    <t>Thiago Vargas González</t>
  </si>
  <si>
    <t>Mauro de Jesús González Flores</t>
  </si>
  <si>
    <t>Itzel Vanessa Luna Ramírez</t>
  </si>
  <si>
    <t>Jade Nicole Marina Estudillo</t>
  </si>
  <si>
    <t>Fatima Saucedo Peña</t>
  </si>
  <si>
    <t>Manuel Alarcón Flores</t>
  </si>
  <si>
    <t>Jade Aidely Villega Rojas</t>
  </si>
  <si>
    <t xml:space="preserve">Elena Yamileth Calvillo </t>
  </si>
  <si>
    <t>Cristina Daniela Rojas Núñez</t>
  </si>
  <si>
    <t>Gael Alexander Espiritu Vargas</t>
  </si>
  <si>
    <t>Antony Sebastian Castillo Gaytán</t>
  </si>
  <si>
    <t>Santiago Monrroy Cuevas</t>
  </si>
  <si>
    <t>Alison Melissa Gasca Pérez</t>
  </si>
  <si>
    <t>Gema Valentina Tejo Enriquez</t>
  </si>
  <si>
    <t>Emili Renata Álvarez Tapia</t>
  </si>
  <si>
    <t>Silvia Elizabeth Márquez Moreno</t>
  </si>
  <si>
    <t>Denisse Martínez Reyes</t>
  </si>
  <si>
    <t>Raúl Hernández Rodríguez</t>
  </si>
  <si>
    <t>José María Martínez Ortiz</t>
  </si>
  <si>
    <t>Priscila Martínez Rodriguez</t>
  </si>
  <si>
    <t>María José de la Cruz</t>
  </si>
  <si>
    <t>Gretel A. Ronces Bernal</t>
  </si>
  <si>
    <t>Nicole López Cruz</t>
  </si>
  <si>
    <t>Evelyn Aline Vieyras Huertas</t>
  </si>
  <si>
    <t>Joana Ramírez Cardona</t>
  </si>
  <si>
    <t>Alexander Israel Martínez Benítez</t>
  </si>
  <si>
    <t>Alexander Israel Zepeda Hernández</t>
  </si>
  <si>
    <t>Yeiden Said Trejo López</t>
  </si>
  <si>
    <t>Oliver Naim Montiel Jaimes</t>
  </si>
  <si>
    <t>Said Naranjo Velazquez</t>
  </si>
  <si>
    <t>Jonathan Milán Montes Moreno</t>
  </si>
  <si>
    <t>José Abdiel Santiago Santiago</t>
  </si>
  <si>
    <t>Ián Yave Mejía Trinidad</t>
  </si>
  <si>
    <t>Santiago Maya Armendariz</t>
  </si>
  <si>
    <t>Yatzel Martínez Martínez</t>
  </si>
  <si>
    <t>Ximena Mendez</t>
  </si>
  <si>
    <t>Nicole Valencia Hernández</t>
  </si>
  <si>
    <t>Melanny Line Fuentes Rivera</t>
  </si>
  <si>
    <t>Karen Itzel Tapia López</t>
  </si>
  <si>
    <t>Vania Jaimes Palacios</t>
  </si>
  <si>
    <t>Ximena Aileen Martínez Urias</t>
  </si>
  <si>
    <t>Sebastián Naranjo Velazquez</t>
  </si>
  <si>
    <t>Uziel Sánchez Santiago</t>
  </si>
  <si>
    <t>Liliana Ramos Felipe</t>
  </si>
  <si>
    <t>Romina Rodríguez Hernández</t>
  </si>
  <si>
    <t>Renata Molina Ramírez</t>
  </si>
  <si>
    <t>Mauricio Vite Carmona</t>
  </si>
  <si>
    <t>Derek Rodriguez Hernández</t>
  </si>
  <si>
    <t>Cristián Eduardo Román Ceja</t>
  </si>
  <si>
    <t>Ernesto Solario Gutiérrez</t>
  </si>
  <si>
    <t>Luis Ángel Sánchez Vargas</t>
  </si>
  <si>
    <t>Iker Ulises López Rosas</t>
  </si>
  <si>
    <t>Alejandra Palafox Velazquez</t>
  </si>
  <si>
    <t>Santiago Macías García</t>
  </si>
  <si>
    <t>María Sofía Morales Espinosa</t>
  </si>
  <si>
    <t>Martín Marquez González</t>
  </si>
  <si>
    <t>Luis David Sánchez Gayosso</t>
  </si>
  <si>
    <t>Ángel Alejandro Palafox Hernández</t>
  </si>
  <si>
    <t>Sofía Tlaltenco Sánchez</t>
  </si>
  <si>
    <t>Jorge Trinidad Aguilar</t>
  </si>
  <si>
    <t>Luis Ángel Vazquez</t>
  </si>
  <si>
    <t>Brandon Resendiz Zúñiga</t>
  </si>
  <si>
    <t xml:space="preserve">Gerardo Zauvdi Zavaleta </t>
  </si>
  <si>
    <t>Jesús Damián Sánchez Gónzalez</t>
  </si>
  <si>
    <t>Melani Natallia Ramírez García</t>
  </si>
  <si>
    <t>Jonathan Martínez Rodriguez</t>
  </si>
  <si>
    <t>Jiména Tenorio Pié</t>
  </si>
  <si>
    <t>Erick Omar Ruíz Paredes</t>
  </si>
  <si>
    <t>Norma Citlali Pérez Baranda</t>
  </si>
  <si>
    <t>Emiliano Yepez Salvador</t>
  </si>
  <si>
    <t>Geraldine Nolasco Navarro</t>
  </si>
  <si>
    <t>Gisel Alejandra Hernández Ramírez</t>
  </si>
  <si>
    <t>Renata Nicole Santiago Cisneros</t>
  </si>
  <si>
    <t>Ángel Elohim Mendoza Vargas</t>
  </si>
  <si>
    <t>Evelyn Nolasco Hernández</t>
  </si>
  <si>
    <t>David Ortega Lozano</t>
  </si>
  <si>
    <t>Dulce Liliana Vazquez Flores</t>
  </si>
  <si>
    <t>Valentina Miranda López</t>
  </si>
  <si>
    <t>Santiago Morales Pérez</t>
  </si>
  <si>
    <t>Iker Magallón Peña</t>
  </si>
  <si>
    <t>Kenya Mendez Maceda</t>
  </si>
  <si>
    <t>Karen Reyes Flores</t>
  </si>
  <si>
    <t>Giovanni Sánchez</t>
  </si>
  <si>
    <t>Alberto López Hernández</t>
  </si>
  <si>
    <t>Gael Pliego Lobato</t>
  </si>
  <si>
    <t>Mitzy Reyes Farfán</t>
  </si>
  <si>
    <t>Valentina Murillo Serna</t>
  </si>
  <si>
    <t>Naomi Elizabeth Rosando Zúñiga</t>
  </si>
  <si>
    <t>Ambar Terjo López</t>
  </si>
  <si>
    <t>Valeria Rubío González</t>
  </si>
  <si>
    <t>Melanie Abril Campos Flores</t>
  </si>
  <si>
    <t>Ashly Dannae Baz Allende</t>
  </si>
  <si>
    <t>Marlen Pereyra Baltazar</t>
  </si>
  <si>
    <t>Santiago Rogelio Trejo Enriquez</t>
  </si>
  <si>
    <t>Jenny Estefania Rodríguez Loredo</t>
  </si>
  <si>
    <t>Emily Sánchez Piñón</t>
  </si>
  <si>
    <t>Sofia Nieto García</t>
  </si>
  <si>
    <t>Marlen Zabala Reyes</t>
  </si>
  <si>
    <t>Alondra Rodriguez Hernández</t>
  </si>
  <si>
    <t>Alison Abigail Pérez Áviles</t>
  </si>
  <si>
    <t>Uriel Martínez Hernández</t>
  </si>
  <si>
    <t>Valeria Ivonne Quiroz Obregón</t>
  </si>
  <si>
    <t>Mateo Sebastián Hernandez Nava</t>
  </si>
  <si>
    <t xml:space="preserve">Alion Aarón Olguin Santana </t>
  </si>
  <si>
    <t>Iker Paolo Piñones Terán</t>
  </si>
  <si>
    <t>Yoselin León Varela</t>
  </si>
  <si>
    <t>Camila Ramírez Aguilar</t>
  </si>
  <si>
    <t xml:space="preserve">Kenia Itzel Ronces Bernal </t>
  </si>
  <si>
    <t>David Miguel Escalante</t>
  </si>
  <si>
    <t>Lidia Valeria Sevilla Flores</t>
  </si>
  <si>
    <t>Sergio Santiago Martínez</t>
  </si>
  <si>
    <t>Leonel Reyes Cruz</t>
  </si>
  <si>
    <t>Miltón Silva Sánchez</t>
  </si>
  <si>
    <t>Carol Elizabeth Salazar Martínez</t>
  </si>
  <si>
    <t>Daniela Yoseline López Morelos</t>
  </si>
  <si>
    <t>Amaury Vazquez Velasquez</t>
  </si>
  <si>
    <t>Romina González Ramírez</t>
  </si>
  <si>
    <t>Karol de Jesús Maiano</t>
  </si>
  <si>
    <t xml:space="preserve">Yanilet Erika García Mejía </t>
  </si>
  <si>
    <t>Aura Camila Angelino Coba</t>
  </si>
  <si>
    <t>Valentina Guadalupe Corona Valtierra</t>
  </si>
  <si>
    <t>Regina Grande Reyes</t>
  </si>
  <si>
    <t>Camila Zoé Juárez Caballero</t>
  </si>
  <si>
    <t>Santiago García Miranda</t>
  </si>
  <si>
    <t>Santiago Cordero Ramírez</t>
  </si>
  <si>
    <t>Cristian de la Cruz Manzano</t>
  </si>
  <si>
    <t>Diego Isaí Aguiñaga Ramírez</t>
  </si>
  <si>
    <t>Santiago Hernández Alonso</t>
  </si>
  <si>
    <t>Zaid Iziel Camón Ortiz</t>
  </si>
  <si>
    <t>Axel Gabriel Fabela Gutiérrez</t>
  </si>
  <si>
    <t>Axel David Bailey Rosas</t>
  </si>
  <si>
    <t>Emiliano Cortés Nieto</t>
  </si>
  <si>
    <t>Axel Gabriel Antonio Sánchez</t>
  </si>
  <si>
    <t>Laura Rebeca García Miranda</t>
  </si>
  <si>
    <t>Yetzali Cuenca Montañez</t>
  </si>
  <si>
    <t>Kenya Paola García Cruz</t>
  </si>
  <si>
    <t>Sofía Yaretzy Aguilar Hernández</t>
  </si>
  <si>
    <t>Santiago Joel Hernández Daniel</t>
  </si>
  <si>
    <t>José Armando Sánchez García</t>
  </si>
  <si>
    <t>Yuen Valencia Hernández</t>
  </si>
  <si>
    <t>Ángel Uriel Salinas Hernández</t>
  </si>
  <si>
    <t xml:space="preserve">Javier Vazquez Velasco </t>
  </si>
  <si>
    <t>Alán Tadeo Trejo López</t>
  </si>
  <si>
    <t>Axel López Espinoza</t>
  </si>
  <si>
    <t>César Tellez Cruz</t>
  </si>
  <si>
    <t>América Daniela Sevilla Martínez</t>
  </si>
  <si>
    <t>Cristel Santiago Martínez</t>
  </si>
  <si>
    <t>Itzel Rosas Sánchez</t>
  </si>
  <si>
    <t>Vanesa Zuley Ramírez Ríos</t>
  </si>
  <si>
    <t>Jenifer Arely Tenorio Pio</t>
  </si>
  <si>
    <t>Jenifer Sanitago López</t>
  </si>
  <si>
    <t>Dayana Sophia Ruiz Cuhetero</t>
  </si>
  <si>
    <t>M</t>
  </si>
  <si>
    <t>V</t>
  </si>
  <si>
    <t>Samadhi Yoseline García Ortega</t>
  </si>
  <si>
    <t>Kimberly Arlet Martínez Figura</t>
  </si>
  <si>
    <t>Ximena Sandoval Marchan</t>
  </si>
  <si>
    <t>Jesús Alberto González Olivares</t>
  </si>
  <si>
    <t>José Cristoff Campa Navarro</t>
  </si>
  <si>
    <t>Leonel Ismael Castillo Vazquez</t>
  </si>
  <si>
    <t>Ángel Said Mendoza Mariano</t>
  </si>
  <si>
    <t>Josua Uriel Ruiz Gutiérrez</t>
  </si>
  <si>
    <t>Mateo Muñoz Angeles</t>
  </si>
  <si>
    <t>Eidan Rogelio Alvarado Mejía</t>
  </si>
  <si>
    <t>Alejandro García Estrada</t>
  </si>
  <si>
    <t>Paola Hernández Contreras</t>
  </si>
  <si>
    <t>Keely Janeth Sánchez Sánchez</t>
  </si>
  <si>
    <t>Luna Celeste Díaz Arana</t>
  </si>
  <si>
    <t>Emily Zoé Flores Miguel</t>
  </si>
  <si>
    <t>Sandra Paola Velazquez</t>
  </si>
  <si>
    <t>Aitana Michelle Estrada Espinosa</t>
  </si>
  <si>
    <t>Ana Sofía Salazar Juárez</t>
  </si>
  <si>
    <t>José Abimael Mónica Juárez</t>
  </si>
  <si>
    <t>Jesús Ignacio</t>
  </si>
  <si>
    <t>Ariadna Morales Juárez</t>
  </si>
  <si>
    <t>Elsy Mairany Malaquies Juárez</t>
  </si>
  <si>
    <t>Sara Sofía Arellano Tapía</t>
  </si>
  <si>
    <t>Jonathan Yair Rodriguez de la Rosa</t>
  </si>
  <si>
    <t>Ricardo Velazquez Rodriguez</t>
  </si>
  <si>
    <t>Alejandro Israel Vega Arizaga</t>
  </si>
  <si>
    <t>Isaac de Jesús Vizcano Ilario</t>
  </si>
  <si>
    <t>Dante Nava Ortega</t>
  </si>
  <si>
    <t>Alán Josué Reyes Carrera</t>
  </si>
  <si>
    <t xml:space="preserve">Mateo Alvarado Garduño </t>
  </si>
  <si>
    <t>Óscar Mateo Gutiérrez Ramírez</t>
  </si>
  <si>
    <t>Ángel Gabriel Fuentes Soto</t>
  </si>
  <si>
    <t>Evelyn Katia Núñez González</t>
  </si>
  <si>
    <t>Rebeca Lara Ruiz</t>
  </si>
  <si>
    <t>Santiago Alejandro Castillo Gaytán</t>
  </si>
  <si>
    <t>Bella de la Cruz Hernández</t>
  </si>
  <si>
    <t>Guadalupe Medina Vargas</t>
  </si>
  <si>
    <t>Valery Mijal González Carbajal</t>
  </si>
  <si>
    <t>José Santiago Acosta Rivera</t>
  </si>
  <si>
    <t>Irving Rodrigo Rodas de León</t>
  </si>
  <si>
    <t>Javier Aldahir Castañón Rivera</t>
  </si>
  <si>
    <t>Renata Cruz Ramos</t>
  </si>
  <si>
    <t>Yareli Yatzeri Marquecho Vazquez</t>
  </si>
  <si>
    <t>Dayana Nicole Martínez Campa</t>
  </si>
  <si>
    <t>José de Jesús Alonso López</t>
  </si>
  <si>
    <t>Edwin Francisco Gutiérrez Domínguez</t>
  </si>
  <si>
    <t xml:space="preserve">Oliver Contrera Ilario </t>
  </si>
  <si>
    <t>Axel Damian Nava Flores</t>
  </si>
  <si>
    <t>Flor Rene García Sánchez</t>
  </si>
  <si>
    <t>Ricardo Mata Hernández</t>
  </si>
  <si>
    <t>Kevin Yair Gurrola Nava</t>
  </si>
  <si>
    <t>Justin Jesús Hernández Carbajal</t>
  </si>
  <si>
    <t>Camila Betzabé Esquivel López</t>
  </si>
  <si>
    <t>Melisa Esmeralda González Martínez</t>
  </si>
  <si>
    <t>Deysi Daniela Avilés Barreto</t>
  </si>
  <si>
    <t>Zuri Rebeca Gallegos Terrones</t>
  </si>
  <si>
    <t>Karla Anhe Álvares Flores</t>
  </si>
  <si>
    <t>Ayrami Guadalupe Espinal Delgado</t>
  </si>
  <si>
    <t>Sanitago Pérez Navarrete</t>
  </si>
  <si>
    <t>Brandon Ricardo Miramontes Martínez</t>
  </si>
  <si>
    <t>Mía Giselle Fernández Mendoza</t>
  </si>
  <si>
    <t>Melani Alejandra García Jasso</t>
  </si>
  <si>
    <t>Kelly Madahi Guerra Mendez</t>
  </si>
  <si>
    <t>Ernesto Benjamín Gochar Medina</t>
  </si>
  <si>
    <t>Jorge Adrián Angulo Licona</t>
  </si>
  <si>
    <t>Isaías Guadalupe López Velazquez</t>
  </si>
  <si>
    <t xml:space="preserve">Diego Alexander Hernández Bustamente </t>
  </si>
  <si>
    <t>Elizabeth Barrera Ramírez</t>
  </si>
  <si>
    <t>Iker Alexander Barrón Tapia</t>
  </si>
  <si>
    <t>Óscar Mateo Alcauter Serna</t>
  </si>
  <si>
    <t xml:space="preserve">Zuri Sarahi Cruz Parra </t>
  </si>
  <si>
    <t>Ajeleth Shaday Hernández Rodriguez</t>
  </si>
  <si>
    <t>Gisel Rafael Luna Miranda</t>
  </si>
  <si>
    <t>Mateo de Jesús López López</t>
  </si>
  <si>
    <t>Cristopher Anario Cruz</t>
  </si>
  <si>
    <t xml:space="preserve">Evelyn  Guadalupe López Rosas </t>
  </si>
  <si>
    <t>Jonathan Donovan Cordero González</t>
  </si>
  <si>
    <t>Samantha Ochoa Enriquez</t>
  </si>
  <si>
    <t>Luis Santiago López Fonseca</t>
  </si>
  <si>
    <t xml:space="preserve">Camila Zoé Gregorio Hernández </t>
  </si>
  <si>
    <t>Katerine Lomely Elías Olmedo</t>
  </si>
  <si>
    <t>Eliot Anotnio López Castillo</t>
  </si>
  <si>
    <t xml:space="preserve">Alondra Lisseth López Epitancio </t>
  </si>
  <si>
    <t>Sofía Aviles Huerta</t>
  </si>
  <si>
    <t xml:space="preserve">Jimena Lizeth Algera Ricardo </t>
  </si>
  <si>
    <t xml:space="preserve">Donovan Jeafet León Soberano </t>
  </si>
  <si>
    <t>José Adrián Olvera Cisneros</t>
  </si>
  <si>
    <t>Ángel Alonso Gutierrez de Jesús</t>
  </si>
  <si>
    <t>Miltón Giovan Galván Atilano</t>
  </si>
  <si>
    <t>Mateo Ceja García</t>
  </si>
  <si>
    <t>José Carlos Tomás Pérez</t>
  </si>
  <si>
    <t>Luis Antonio Román Cortés</t>
  </si>
  <si>
    <t>Evelyn Aide Díaz</t>
  </si>
  <si>
    <t>Iker Martín Hernández Paimatz</t>
  </si>
  <si>
    <t>Paola de la Rosa Cazares</t>
  </si>
  <si>
    <t>Azura Valeria García Chávez</t>
  </si>
  <si>
    <t>Dulce López Gurrola</t>
  </si>
  <si>
    <t>H</t>
  </si>
  <si>
    <t>Total</t>
  </si>
  <si>
    <t>#</t>
  </si>
  <si>
    <t>Escuela</t>
  </si>
  <si>
    <t>Edad en años</t>
  </si>
  <si>
    <t>Z Talla para la edad</t>
  </si>
  <si>
    <t>Talla para la edad</t>
  </si>
  <si>
    <t>Z Longitud relativa de pierna</t>
  </si>
  <si>
    <t>Longitud relativa de pierna</t>
  </si>
  <si>
    <t>Z IMC</t>
  </si>
  <si>
    <t>Índice de Masa Corporal</t>
  </si>
  <si>
    <t>Esc. Miguel Hidalgo, Atitalaquia, Hidalgo</t>
  </si>
  <si>
    <t>Alto</t>
  </si>
  <si>
    <t>Piernas largas</t>
  </si>
  <si>
    <t>Desnutricion</t>
  </si>
  <si>
    <t>Normal</t>
  </si>
  <si>
    <t>Obesidad</t>
  </si>
  <si>
    <t>Esc. Eufemio Zapata, Tlaquiltenango, Morelos</t>
  </si>
  <si>
    <t>Esc. 17 de abril de 1869, Xochitepec, Morelos</t>
  </si>
  <si>
    <t>Esc. Emiliano Zapata, Naucalpan, Edo Mex</t>
  </si>
  <si>
    <t>Piernas cortas</t>
  </si>
  <si>
    <t>Bajo Peso</t>
  </si>
  <si>
    <t>Esc. José Tapia Bujalance, Iztapalapa, CdMx</t>
  </si>
  <si>
    <t>Etiquetas de fila</t>
  </si>
  <si>
    <t>Total general</t>
  </si>
  <si>
    <t>Cuenta de Talla para la edad</t>
  </si>
  <si>
    <t>Masculino</t>
  </si>
  <si>
    <t>Femenino</t>
  </si>
  <si>
    <t>Cuenta de Índice de Masa Corporal</t>
  </si>
  <si>
    <t>Etiquetas de columna</t>
  </si>
  <si>
    <t>Cuenta de Longitud relativa de pierna</t>
  </si>
  <si>
    <t>Suma de Edad en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</si>
</sst>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23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2" borderId="0" xfId="0" applyFill="1"/>
    <xf numFmtId="0" fontId="0" fillId="0" borderId="0" xfId="0" applyFill="1"/>
    <xf numFmtId="165" fontId="0" fillId="0" borderId="0" xfId="0" applyNumberFormat="1"/>
    <xf numFmtId="0" fontId="0" fillId="7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165" fontId="0" fillId="0" borderId="0" xfId="0" applyNumberFormat="1" applyFill="1"/>
    <xf numFmtId="0" fontId="0" fillId="8" borderId="0" xfId="0" applyFill="1" applyAlignment="1">
      <alignment horizontal="center"/>
    </xf>
    <xf numFmtId="165" fontId="0" fillId="6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1" fillId="0" borderId="0" xfId="0" applyFont="1"/>
    <xf numFmtId="0" fontId="2" fillId="4" borderId="0" xfId="0" applyFont="1" applyFill="1" applyAlignment="1">
      <alignment horizontal="center"/>
    </xf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165" fontId="4" fillId="0" borderId="0" xfId="0" applyNumberFormat="1" applyFont="1" applyAlignment="1" applyProtection="1">
      <alignment horizontal="center"/>
      <protection hidden="1"/>
    </xf>
    <xf numFmtId="0" fontId="0" fillId="1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2" borderId="0" xfId="0" applyFont="1" applyFill="1"/>
    <xf numFmtId="165" fontId="5" fillId="0" borderId="0" xfId="0" applyNumberFormat="1" applyFont="1" applyAlignment="1" applyProtection="1">
      <alignment horizontal="center"/>
      <protection hidden="1"/>
    </xf>
    <xf numFmtId="0" fontId="0" fillId="0" borderId="0" xfId="0" applyFont="1" applyFill="1"/>
    <xf numFmtId="0" fontId="0" fillId="0" borderId="0" xfId="0" applyNumberFormat="1" applyFont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/>
    <xf numFmtId="165" fontId="2" fillId="0" borderId="0" xfId="0" applyNumberFormat="1" applyFont="1" applyAlignment="1">
      <alignment horizontal="center"/>
    </xf>
    <xf numFmtId="165" fontId="5" fillId="0" borderId="0" xfId="0" applyNumberFormat="1" applyFont="1" applyFill="1" applyAlignment="1" applyProtection="1">
      <alignment horizontal="center"/>
      <protection hidden="1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18" fontId="0" fillId="0" borderId="0" xfId="0" applyNumberFormat="1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11" borderId="0" xfId="0" applyFill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Font="1"/>
    <xf numFmtId="0" fontId="0" fillId="12" borderId="0" xfId="0" applyFont="1" applyFill="1"/>
    <xf numFmtId="0" fontId="0" fillId="12" borderId="0" xfId="0" applyFill="1"/>
    <xf numFmtId="0" fontId="6" fillId="0" borderId="0" xfId="0" applyFont="1" applyAlignment="1"/>
    <xf numFmtId="0" fontId="6" fillId="0" borderId="0" xfId="0" applyFont="1" applyAlignment="1">
      <alignment horizontal="left"/>
    </xf>
    <xf numFmtId="165" fontId="8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18" fontId="5" fillId="0" borderId="0" xfId="0" applyNumberFormat="1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center"/>
    </xf>
    <xf numFmtId="0" fontId="9" fillId="9" borderId="0" xfId="0" applyFont="1" applyFill="1" applyAlignment="1">
      <alignment horizontal="center" vertical="center"/>
    </xf>
    <xf numFmtId="0" fontId="9" fillId="0" borderId="0" xfId="0" applyFont="1"/>
    <xf numFmtId="0" fontId="1" fillId="8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5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5" fontId="10" fillId="0" borderId="0" xfId="0" applyNumberFormat="1" applyFont="1" applyFill="1" applyAlignment="1">
      <alignment horizontal="center"/>
    </xf>
    <xf numFmtId="0" fontId="5" fillId="0" borderId="0" xfId="0" applyFont="1" applyFill="1"/>
    <xf numFmtId="0" fontId="5" fillId="0" borderId="0" xfId="0" applyFont="1"/>
    <xf numFmtId="0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65" fontId="11" fillId="0" borderId="0" xfId="0" applyNumberFormat="1" applyFont="1" applyAlignment="1" applyProtection="1">
      <alignment horizontal="center"/>
      <protection hidden="1"/>
    </xf>
    <xf numFmtId="165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0" fontId="0" fillId="0" borderId="0" xfId="0" applyNumberFormat="1"/>
    <xf numFmtId="10" fontId="0" fillId="0" borderId="0" xfId="0" applyNumberFormat="1" applyFont="1" applyFill="1"/>
    <xf numFmtId="2" fontId="6" fillId="0" borderId="0" xfId="0" applyNumberFormat="1" applyFont="1" applyAlignment="1">
      <alignment horizontal="center"/>
    </xf>
    <xf numFmtId="0" fontId="2" fillId="0" borderId="0" xfId="0" applyFont="1" applyAlignment="1"/>
    <xf numFmtId="10" fontId="0" fillId="0" borderId="0" xfId="0" applyNumberFormat="1" applyAlignment="1">
      <alignment horizontal="center"/>
    </xf>
    <xf numFmtId="164" fontId="0" fillId="0" borderId="0" xfId="0" applyNumberFormat="1"/>
    <xf numFmtId="0" fontId="13" fillId="0" borderId="0" xfId="0" applyFont="1" applyAlignment="1">
      <alignment horizontal="center" vertical="center" readingOrder="1"/>
    </xf>
    <xf numFmtId="1" fontId="5" fillId="0" borderId="0" xfId="0" applyNumberFormat="1" applyFont="1" applyFill="1" applyAlignment="1" applyProtection="1">
      <alignment horizontal="center"/>
      <protection hidden="1"/>
    </xf>
    <xf numFmtId="9" fontId="0" fillId="0" borderId="0" xfId="1" applyFont="1"/>
    <xf numFmtId="9" fontId="5" fillId="0" borderId="0" xfId="1" applyFont="1" applyFill="1" applyAlignment="1" applyProtection="1">
      <alignment horizontal="center"/>
      <protection hidden="1"/>
    </xf>
    <xf numFmtId="9" fontId="0" fillId="0" borderId="0" xfId="1" applyFont="1" applyFill="1" applyAlignment="1">
      <alignment horizontal="center"/>
    </xf>
    <xf numFmtId="0" fontId="0" fillId="0" borderId="0" xfId="0" applyAlignment="1"/>
    <xf numFmtId="10" fontId="0" fillId="0" borderId="0" xfId="1" applyNumberFormat="1" applyFont="1"/>
    <xf numFmtId="10" fontId="2" fillId="0" borderId="0" xfId="1" applyNumberFormat="1" applyFont="1" applyFill="1" applyAlignment="1">
      <alignment horizontal="center"/>
    </xf>
    <xf numFmtId="0" fontId="2" fillId="0" borderId="0" xfId="0" applyFont="1"/>
    <xf numFmtId="10" fontId="2" fillId="0" borderId="0" xfId="1" applyNumberFormat="1" applyFont="1"/>
    <xf numFmtId="10" fontId="12" fillId="0" borderId="0" xfId="1" applyNumberFormat="1" applyFont="1"/>
    <xf numFmtId="10" fontId="12" fillId="0" borderId="0" xfId="1" applyNumberFormat="1" applyFont="1" applyFill="1" applyAlignment="1">
      <alignment horizontal="center"/>
    </xf>
    <xf numFmtId="165" fontId="11" fillId="12" borderId="0" xfId="0" applyNumberFormat="1" applyFont="1" applyFill="1" applyAlignment="1" applyProtection="1">
      <alignment horizontal="center"/>
      <protection hidden="1"/>
    </xf>
    <xf numFmtId="10" fontId="0" fillId="0" borderId="0" xfId="0" applyNumberFormat="1" applyFont="1"/>
    <xf numFmtId="10" fontId="10" fillId="0" borderId="0" xfId="1" applyNumberFormat="1" applyFont="1" applyFill="1" applyAlignment="1" applyProtection="1">
      <alignment horizontal="center"/>
      <protection hidden="1"/>
    </xf>
    <xf numFmtId="10" fontId="2" fillId="0" borderId="0" xfId="1" applyNumberFormat="1" applyFont="1" applyAlignment="1">
      <alignment horizontal="center"/>
    </xf>
    <xf numFmtId="0" fontId="2" fillId="0" borderId="0" xfId="0" applyFont="1" applyFill="1" applyAlignment="1"/>
    <xf numFmtId="10" fontId="0" fillId="0" borderId="0" xfId="0" applyNumberFormat="1" applyFill="1"/>
    <xf numFmtId="0" fontId="2" fillId="0" borderId="0" xfId="0" applyFont="1" applyFill="1"/>
    <xf numFmtId="2" fontId="2" fillId="0" borderId="0" xfId="0" applyNumberFormat="1" applyFont="1" applyFill="1" applyAlignment="1">
      <alignment horizontal="center"/>
    </xf>
    <xf numFmtId="0" fontId="0" fillId="0" borderId="0" xfId="0" applyFont="1" applyFill="1" applyAlignment="1"/>
    <xf numFmtId="10" fontId="2" fillId="0" borderId="0" xfId="1" applyNumberFormat="1" applyFont="1" applyFill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14" fillId="0" borderId="0" xfId="0" applyFont="1" applyFill="1" applyBorder="1" applyAlignment="1">
      <alignment horizontal="centerContinuous"/>
    </xf>
    <xf numFmtId="0" fontId="0" fillId="0" borderId="0" xfId="0" applyNumberFormat="1" applyBorder="1" applyAlignment="1">
      <alignment horizontal="center"/>
    </xf>
    <xf numFmtId="0" fontId="0" fillId="0" borderId="0" xfId="0" applyBorder="1"/>
    <xf numFmtId="16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166" fontId="2" fillId="0" borderId="0" xfId="1" applyNumberFormat="1" applyFont="1" applyFill="1" applyBorder="1" applyAlignment="1"/>
    <xf numFmtId="2" fontId="0" fillId="0" borderId="0" xfId="0" applyNumberFormat="1" applyFill="1" applyBorder="1" applyAlignment="1"/>
    <xf numFmtId="2" fontId="0" fillId="0" borderId="0" xfId="0" applyNumberFormat="1" applyFill="1" applyBorder="1" applyAlignment="1">
      <alignment horizontal="left"/>
    </xf>
    <xf numFmtId="0" fontId="0" fillId="10" borderId="0" xfId="0" applyFill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5" fontId="4" fillId="0" borderId="0" xfId="0" applyNumberFormat="1" applyFont="1" applyFill="1" applyAlignment="1" applyProtection="1">
      <alignment horizontal="center"/>
      <protection hidden="1"/>
    </xf>
    <xf numFmtId="14" fontId="2" fillId="0" borderId="0" xfId="0" applyNumberFormat="1" applyFont="1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14" fontId="6" fillId="0" borderId="0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0" fontId="10" fillId="0" borderId="0" xfId="0" applyFont="1" applyBorder="1"/>
    <xf numFmtId="0" fontId="6" fillId="0" borderId="0" xfId="0" applyFont="1" applyBorder="1" applyAlignment="1">
      <alignment horizontal="center"/>
    </xf>
    <xf numFmtId="0" fontId="2" fillId="0" borderId="0" xfId="0" applyFont="1" applyBorder="1"/>
    <xf numFmtId="9" fontId="0" fillId="0" borderId="0" xfId="1" applyFont="1" applyBorder="1"/>
    <xf numFmtId="166" fontId="5" fillId="0" borderId="0" xfId="1" applyNumberFormat="1" applyFont="1" applyBorder="1"/>
    <xf numFmtId="166" fontId="0" fillId="0" borderId="0" xfId="1" applyNumberFormat="1" applyFont="1" applyBorder="1"/>
    <xf numFmtId="2" fontId="0" fillId="0" borderId="0" xfId="0" applyNumberFormat="1" applyBorder="1" applyAlignment="1">
      <alignment horizontal="left"/>
    </xf>
    <xf numFmtId="165" fontId="11" fillId="0" borderId="0" xfId="0" applyNumberFormat="1" applyFont="1" applyFill="1" applyAlignment="1" applyProtection="1">
      <alignment horizontal="center"/>
      <protection hidden="1"/>
    </xf>
    <xf numFmtId="0" fontId="0" fillId="0" borderId="0" xfId="0" applyFill="1" applyBorder="1"/>
    <xf numFmtId="0" fontId="0" fillId="0" borderId="0" xfId="0" applyNumberFormat="1" applyFill="1" applyBorder="1"/>
    <xf numFmtId="1" fontId="5" fillId="0" borderId="0" xfId="0" applyNumberFormat="1" applyFont="1" applyFill="1" applyBorder="1" applyAlignment="1" applyProtection="1">
      <alignment horizontal="center"/>
      <protection hidden="1"/>
    </xf>
    <xf numFmtId="165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ont="1" applyFill="1" applyBorder="1"/>
    <xf numFmtId="0" fontId="10" fillId="0" borderId="0" xfId="0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166" fontId="0" fillId="0" borderId="0" xfId="0" applyNumberFormat="1" applyFill="1" applyBorder="1"/>
    <xf numFmtId="2" fontId="0" fillId="0" borderId="0" xfId="0" applyNumberFormat="1" applyFill="1" applyBorder="1"/>
    <xf numFmtId="10" fontId="2" fillId="0" borderId="0" xfId="0" applyNumberFormat="1" applyFont="1" applyFill="1" applyBorder="1" applyAlignment="1">
      <alignment horizontal="center"/>
    </xf>
    <xf numFmtId="10" fontId="0" fillId="0" borderId="0" xfId="0" applyNumberFormat="1" applyFont="1" applyFill="1" applyBorder="1"/>
    <xf numFmtId="10" fontId="0" fillId="0" borderId="0" xfId="0" applyNumberFormat="1" applyFill="1" applyBorder="1"/>
    <xf numFmtId="1" fontId="0" fillId="0" borderId="0" xfId="1" applyNumberFormat="1" applyFont="1" applyFill="1" applyBorder="1"/>
    <xf numFmtId="166" fontId="0" fillId="0" borderId="0" xfId="1" applyNumberFormat="1" applyFont="1" applyFill="1" applyBorder="1"/>
    <xf numFmtId="0" fontId="5" fillId="0" borderId="0" xfId="1" applyNumberFormat="1" applyFont="1" applyFill="1" applyBorder="1"/>
    <xf numFmtId="1" fontId="0" fillId="0" borderId="0" xfId="0" applyNumberFormat="1" applyFill="1" applyBorder="1"/>
    <xf numFmtId="165" fontId="5" fillId="0" borderId="0" xfId="0" applyNumberFormat="1" applyFont="1" applyFill="1" applyBorder="1" applyAlignment="1" applyProtection="1">
      <alignment horizontal="center"/>
      <protection hidden="1"/>
    </xf>
    <xf numFmtId="0" fontId="0" fillId="0" borderId="0" xfId="1" applyNumberFormat="1" applyFont="1" applyFill="1" applyBorder="1"/>
    <xf numFmtId="0" fontId="0" fillId="0" borderId="0" xfId="0" applyFont="1" applyFill="1" applyBorder="1" applyAlignment="1">
      <alignment horizontal="center"/>
    </xf>
    <xf numFmtId="10" fontId="0" fillId="0" borderId="0" xfId="1" applyNumberFormat="1" applyFont="1" applyFill="1" applyBorder="1"/>
    <xf numFmtId="14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 applyProtection="1">
      <alignment horizontal="center"/>
      <protection hidden="1"/>
    </xf>
    <xf numFmtId="0" fontId="5" fillId="0" borderId="0" xfId="0" applyNumberFormat="1" applyFont="1" applyFill="1" applyBorder="1"/>
    <xf numFmtId="1" fontId="0" fillId="0" borderId="0" xfId="1" applyNumberFormat="1" applyFont="1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166" fontId="5" fillId="0" borderId="0" xfId="1" applyNumberFormat="1" applyFont="1" applyFill="1" applyBorder="1"/>
    <xf numFmtId="10" fontId="0" fillId="0" borderId="0" xfId="1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65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 applyProtection="1">
      <alignment horizontal="center"/>
      <protection hidden="1"/>
    </xf>
    <xf numFmtId="10" fontId="12" fillId="0" borderId="0" xfId="1" applyNumberFormat="1" applyFont="1" applyFill="1" applyBorder="1" applyAlignment="1">
      <alignment horizontal="center"/>
    </xf>
    <xf numFmtId="10" fontId="0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18" borderId="0" xfId="0" applyFont="1" applyFill="1" applyAlignment="1">
      <alignment wrapText="1"/>
    </xf>
    <xf numFmtId="0" fontId="2" fillId="19" borderId="0" xfId="0" applyFont="1" applyFill="1" applyAlignment="1">
      <alignment wrapText="1"/>
    </xf>
    <xf numFmtId="0" fontId="0" fillId="8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0" borderId="0" xfId="0" applyFill="1" applyAlignment="1">
      <alignment horizontal="left"/>
    </xf>
    <xf numFmtId="0" fontId="0" fillId="20" borderId="0" xfId="0" applyNumberFormat="1" applyFill="1"/>
    <xf numFmtId="0" fontId="0" fillId="20" borderId="0" xfId="0" applyFill="1" applyBorder="1"/>
    <xf numFmtId="0" fontId="0" fillId="20" borderId="0" xfId="0" applyFill="1" applyBorder="1" applyAlignment="1">
      <alignment horizontal="left"/>
    </xf>
    <xf numFmtId="0" fontId="0" fillId="20" borderId="0" xfId="0" applyNumberFormat="1" applyFill="1" applyBorder="1"/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17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10" fontId="0" fillId="20" borderId="0" xfId="0" applyNumberFormat="1" applyFill="1"/>
    <xf numFmtId="9" fontId="0" fillId="20" borderId="0" xfId="0" applyNumberFormat="1" applyFill="1"/>
  </cellXfs>
  <cellStyles count="2">
    <cellStyle name="Normal" xfId="0" builtinId="0"/>
    <cellStyle name="Porcentaje" xfId="1" builtinId="5"/>
  </cellStyles>
  <dxfs count="84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3" formatCode="0%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3" formatCode="0%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FFFFCC99"/>
      <color rgb="FFFFCCFF"/>
      <color rgb="FFCCECFF"/>
      <color rgb="FFFF9966"/>
      <color rgb="FFFF0000"/>
      <color rgb="FF000066"/>
      <color rgb="FF99CCFF"/>
      <color rgb="FFFF6600"/>
      <color rgb="FF6633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Tomas Antropometricas.xlsx]Dashboard!TablaDinámica1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Índice de Masa Corporal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0925395098512156E-2"/>
          <c:y val="0.14821997071356205"/>
          <c:w val="0.9204418310419632"/>
          <c:h val="0.617892334483467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Dashboard!$C$3:$C$4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Dashboard!$B$5:$B$9</c:f>
              <c:strCache>
                <c:ptCount val="4"/>
                <c:pt idx="0">
                  <c:v>Bajo Peso</c:v>
                </c:pt>
                <c:pt idx="1">
                  <c:v>Desnutricion</c:v>
                </c:pt>
                <c:pt idx="2">
                  <c:v>Normal</c:v>
                </c:pt>
                <c:pt idx="3">
                  <c:v>Obesidad</c:v>
                </c:pt>
              </c:strCache>
            </c:strRef>
          </c:cat>
          <c:val>
            <c:numRef>
              <c:f>Dashboard!$C$5:$C$9</c:f>
              <c:numCache>
                <c:formatCode>General</c:formatCode>
                <c:ptCount val="4"/>
                <c:pt idx="0">
                  <c:v>11</c:v>
                </c:pt>
                <c:pt idx="1">
                  <c:v>1</c:v>
                </c:pt>
                <c:pt idx="2">
                  <c:v>89</c:v>
                </c:pt>
                <c:pt idx="3">
                  <c:v>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84-4623-8561-871EABD58562}"/>
            </c:ext>
          </c:extLst>
        </c:ser>
        <c:ser>
          <c:idx val="1"/>
          <c:order val="1"/>
          <c:tx>
            <c:strRef>
              <c:f>Dashboard!$D$3:$D$4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Dashboard!$B$5:$B$9</c:f>
              <c:strCache>
                <c:ptCount val="4"/>
                <c:pt idx="0">
                  <c:v>Bajo Peso</c:v>
                </c:pt>
                <c:pt idx="1">
                  <c:v>Desnutricion</c:v>
                </c:pt>
                <c:pt idx="2">
                  <c:v>Normal</c:v>
                </c:pt>
                <c:pt idx="3">
                  <c:v>Obesidad</c:v>
                </c:pt>
              </c:strCache>
            </c:strRef>
          </c:cat>
          <c:val>
            <c:numRef>
              <c:f>Dashboard!$D$5:$D$9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77</c:v>
                </c:pt>
                <c:pt idx="3">
                  <c:v>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284-4623-8561-871EABD58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795872"/>
        <c:axId val="283798048"/>
      </c:barChart>
      <c:catAx>
        <c:axId val="28379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3798048"/>
        <c:crosses val="autoZero"/>
        <c:auto val="1"/>
        <c:lblAlgn val="ctr"/>
        <c:lblOffset val="100"/>
        <c:noMultiLvlLbl val="0"/>
      </c:catAx>
      <c:valAx>
        <c:axId val="283798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379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Tomas Antropometricas.xlsx]Dashboard!TablaDinámica2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Longitud relativa de pierna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Dashboard!$C$36:$C$37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Dashboard!$B$38:$B$41</c:f>
              <c:strCache>
                <c:ptCount val="3"/>
                <c:pt idx="0">
                  <c:v>Normal</c:v>
                </c:pt>
                <c:pt idx="1">
                  <c:v>Piernas cortas</c:v>
                </c:pt>
                <c:pt idx="2">
                  <c:v>Piernas largas</c:v>
                </c:pt>
              </c:strCache>
            </c:strRef>
          </c:cat>
          <c:val>
            <c:numRef>
              <c:f>Dashboard!$C$38:$C$41</c:f>
              <c:numCache>
                <c:formatCode>General</c:formatCode>
                <c:ptCount val="3"/>
                <c:pt idx="0">
                  <c:v>107</c:v>
                </c:pt>
                <c:pt idx="1">
                  <c:v>38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A68-4CA5-BB33-7929D71D530B}"/>
            </c:ext>
          </c:extLst>
        </c:ser>
        <c:ser>
          <c:idx val="1"/>
          <c:order val="1"/>
          <c:tx>
            <c:strRef>
              <c:f>Dashboard!$D$36:$D$37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Dashboard!$B$38:$B$41</c:f>
              <c:strCache>
                <c:ptCount val="3"/>
                <c:pt idx="0">
                  <c:v>Normal</c:v>
                </c:pt>
                <c:pt idx="1">
                  <c:v>Piernas cortas</c:v>
                </c:pt>
                <c:pt idx="2">
                  <c:v>Piernas largas</c:v>
                </c:pt>
              </c:strCache>
            </c:strRef>
          </c:cat>
          <c:val>
            <c:numRef>
              <c:f>Dashboard!$D$38:$D$41</c:f>
              <c:numCache>
                <c:formatCode>General</c:formatCode>
                <c:ptCount val="3"/>
                <c:pt idx="0">
                  <c:v>119</c:v>
                </c:pt>
                <c:pt idx="1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A68-4CA5-BB33-7929D71D53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83804032"/>
        <c:axId val="283804576"/>
      </c:barChart>
      <c:catAx>
        <c:axId val="28380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3804576"/>
        <c:crosses val="autoZero"/>
        <c:auto val="1"/>
        <c:lblAlgn val="ctr"/>
        <c:lblOffset val="100"/>
        <c:noMultiLvlLbl val="0"/>
      </c:catAx>
      <c:valAx>
        <c:axId val="2838045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380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Tomas Antropometricas.xlsx]Dashboard!TablaDinámica3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Talla para la edad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1669187096293815"/>
          <c:y val="0.18283549639603228"/>
          <c:w val="0.5231172911896651"/>
          <c:h val="0.81682756901578357"/>
        </c:manualLayout>
      </c:layout>
      <c:doughnutChart>
        <c:varyColors val="1"/>
        <c:ser>
          <c:idx val="0"/>
          <c:order val="0"/>
          <c:tx>
            <c:strRef>
              <c:f>Dashboard!$C$60</c:f>
              <c:strCache>
                <c:ptCount val="1"/>
                <c:pt idx="0">
                  <c:v>Total</c:v>
                </c:pt>
              </c:strCache>
            </c:strRef>
          </c:tx>
          <c:explosion val="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Dashboard!$B$61:$B$64</c:f>
              <c:strCache>
                <c:ptCount val="3"/>
                <c:pt idx="0">
                  <c:v>Alto</c:v>
                </c:pt>
                <c:pt idx="1">
                  <c:v>Desnutricion</c:v>
                </c:pt>
                <c:pt idx="2">
                  <c:v>Normal</c:v>
                </c:pt>
              </c:strCache>
            </c:strRef>
          </c:cat>
          <c:val>
            <c:numRef>
              <c:f>Dashboard!$C$61:$C$64</c:f>
              <c:numCache>
                <c:formatCode>0%</c:formatCode>
                <c:ptCount val="3"/>
                <c:pt idx="0">
                  <c:v>2.8169014084507043E-2</c:v>
                </c:pt>
                <c:pt idx="1">
                  <c:v>7.0422535211267609E-2</c:v>
                </c:pt>
                <c:pt idx="2">
                  <c:v>0.90140845070422537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E9E-47BC-B618-7EAFE9C96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Tomas Antropometricas.xlsx]Dashboard!TablaDinámica4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frecuencias por edad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Dashboard!$C$69:$C$70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Dashboard!$B$71:$B$83</c:f>
              <c:strCach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Dashboard!$C$71:$C$83</c:f>
              <c:numCache>
                <c:formatCode>General</c:formatCode>
                <c:ptCount val="12"/>
                <c:pt idx="0">
                  <c:v>4</c:v>
                </c:pt>
                <c:pt idx="1">
                  <c:v>12</c:v>
                </c:pt>
                <c:pt idx="2">
                  <c:v>84</c:v>
                </c:pt>
                <c:pt idx="3">
                  <c:v>130</c:v>
                </c:pt>
                <c:pt idx="4">
                  <c:v>444</c:v>
                </c:pt>
                <c:pt idx="5">
                  <c:v>546</c:v>
                </c:pt>
                <c:pt idx="6">
                  <c:v>456</c:v>
                </c:pt>
                <c:pt idx="7">
                  <c:v>540</c:v>
                </c:pt>
                <c:pt idx="8">
                  <c:v>330</c:v>
                </c:pt>
                <c:pt idx="9">
                  <c:v>330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262-4E04-B309-5349EC2478CF}"/>
            </c:ext>
          </c:extLst>
        </c:ser>
        <c:ser>
          <c:idx val="1"/>
          <c:order val="1"/>
          <c:tx>
            <c:strRef>
              <c:f>Dashboard!$D$69:$D$70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Dashboard!$B$71:$B$83</c:f>
              <c:strCach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Dashboard!$D$71:$D$83</c:f>
              <c:numCache>
                <c:formatCode>General</c:formatCode>
                <c:ptCount val="12"/>
                <c:pt idx="0">
                  <c:v>2</c:v>
                </c:pt>
                <c:pt idx="1">
                  <c:v>24</c:v>
                </c:pt>
                <c:pt idx="2">
                  <c:v>64</c:v>
                </c:pt>
                <c:pt idx="3">
                  <c:v>145</c:v>
                </c:pt>
                <c:pt idx="4">
                  <c:v>450</c:v>
                </c:pt>
                <c:pt idx="5">
                  <c:v>518</c:v>
                </c:pt>
                <c:pt idx="6">
                  <c:v>464</c:v>
                </c:pt>
                <c:pt idx="7">
                  <c:v>423</c:v>
                </c:pt>
                <c:pt idx="8">
                  <c:v>470</c:v>
                </c:pt>
                <c:pt idx="9">
                  <c:v>330</c:v>
                </c:pt>
                <c:pt idx="1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262-4E04-B309-5349EC2478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82822304"/>
        <c:axId val="487260832"/>
      </c:barChart>
      <c:catAx>
        <c:axId val="2828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7260832"/>
        <c:crosses val="autoZero"/>
        <c:auto val="1"/>
        <c:lblAlgn val="ctr"/>
        <c:lblOffset val="100"/>
        <c:noMultiLvlLbl val="0"/>
      </c:catAx>
      <c:valAx>
        <c:axId val="487260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28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66673</xdr:colOff>
      <xdr:row>0</xdr:row>
      <xdr:rowOff>147635</xdr:rowOff>
    </xdr:from>
    <xdr:to>
      <xdr:col>13</xdr:col>
      <xdr:colOff>695325</xdr:colOff>
      <xdr:row>31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67F0BA96-5756-4C16-883F-E7B36915C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0</xdr:row>
      <xdr:rowOff>152401</xdr:rowOff>
    </xdr:from>
    <xdr:to>
      <xdr:col>16</xdr:col>
      <xdr:colOff>304800</xdr:colOff>
      <xdr:row>9</xdr:row>
      <xdr:rowOff>171451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Escuela">
              <a:extLst>
                <a:ext uri="{FF2B5EF4-FFF2-40B4-BE49-F238E27FC236}">
                  <a16:creationId xmlns:a16="http://schemas.microsoft.com/office/drawing/2014/main" xmlns="" id="{5F333050-B812-4BB1-8C06-542DC2F5F2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uel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600" y="152401"/>
              <a:ext cx="1828800" cy="1733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95250</xdr:colOff>
      <xdr:row>32</xdr:row>
      <xdr:rowOff>42861</xdr:rowOff>
    </xdr:from>
    <xdr:to>
      <xdr:col>13</xdr:col>
      <xdr:colOff>704850</xdr:colOff>
      <xdr:row>50</xdr:row>
      <xdr:rowOff>180974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B1DB2E14-BB14-45F4-9679-4333E1C99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19050</xdr:colOff>
      <xdr:row>32</xdr:row>
      <xdr:rowOff>9525</xdr:rowOff>
    </xdr:from>
    <xdr:to>
      <xdr:col>16</xdr:col>
      <xdr:colOff>323850</xdr:colOff>
      <xdr:row>41</xdr:row>
      <xdr:rowOff>161924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scuela 1">
              <a:extLst>
                <a:ext uri="{FF2B5EF4-FFF2-40B4-BE49-F238E27FC236}">
                  <a16:creationId xmlns:a16="http://schemas.microsoft.com/office/drawing/2014/main" xmlns="" id="{79C1FB29-5835-4C29-BD20-BC370DC7A4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uel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4650" y="6105525"/>
              <a:ext cx="1828800" cy="1866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16</xdr:col>
      <xdr:colOff>419099</xdr:colOff>
      <xdr:row>0</xdr:row>
      <xdr:rowOff>157162</xdr:rowOff>
    </xdr:from>
    <xdr:to>
      <xdr:col>25</xdr:col>
      <xdr:colOff>276224</xdr:colOff>
      <xdr:row>23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86639A30-1768-4305-8310-8D6B4BC25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25</xdr:col>
      <xdr:colOff>352425</xdr:colOff>
      <xdr:row>0</xdr:row>
      <xdr:rowOff>133351</xdr:rowOff>
    </xdr:from>
    <xdr:to>
      <xdr:col>27</xdr:col>
      <xdr:colOff>657225</xdr:colOff>
      <xdr:row>10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scuela 2">
              <a:extLst>
                <a:ext uri="{FF2B5EF4-FFF2-40B4-BE49-F238E27FC236}">
                  <a16:creationId xmlns:a16="http://schemas.microsoft.com/office/drawing/2014/main" xmlns="" id="{DB36437D-DB9D-4E0E-8706-87C0F47652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uel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40025" y="133351"/>
              <a:ext cx="1828800" cy="17811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16</xdr:col>
      <xdr:colOff>504824</xdr:colOff>
      <xdr:row>32</xdr:row>
      <xdr:rowOff>4761</xdr:rowOff>
    </xdr:from>
    <xdr:to>
      <xdr:col>25</xdr:col>
      <xdr:colOff>695325</xdr:colOff>
      <xdr:row>54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xmlns="" id="{6A734D2E-1F96-4BA2-A5A1-87CE7D455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o" refreshedDate="44525.788840740737" createdVersion="7" refreshedVersion="7" minRefreshableVersion="3" recordCount="774">
  <cacheSource type="worksheet">
    <worksheetSource ref="B1:M1048576" sheet="Integración"/>
  </cacheSource>
  <cacheFields count="12">
    <cacheField name="Escuela" numFmtId="0">
      <sharedItems containsBlank="1" count="6">
        <s v="Esc. 17 de abril de 1869, Xochitepec, Morelos"/>
        <s v="Esc. José Tapia Bujalance, Iztapalapa, CdMx"/>
        <s v="Esc. Eufemio Zapata, Tlaquiltenango, Morelos"/>
        <s v="Esc. Emiliano Zapata, Naucalpan, Edo Mex"/>
        <s v="Esc. Miguel Hidalgo, Atitalaquia, Hidalgo"/>
        <m/>
      </sharedItems>
    </cacheField>
    <cacheField name="SEXO" numFmtId="0">
      <sharedItems containsBlank="1" count="3">
        <s v="Femenino"/>
        <s v="Masculino"/>
        <m/>
      </sharedItems>
    </cacheField>
    <cacheField name="Edad en años" numFmtId="0">
      <sharedItems containsString="0" containsBlank="1" containsNumber="1" containsInteger="1" minValue="2" maxValue="13"/>
    </cacheField>
    <cacheField name="Z Talla para la edad" numFmtId="0">
      <sharedItems containsString="0" containsBlank="1" containsNumber="1" minValue="-23.116042533518261" maxValue="192.84789006980191"/>
    </cacheField>
    <cacheField name="percentil" numFmtId="0">
      <sharedItems containsString="0" containsBlank="1" containsNumber="1" minValue="1.596799996135726E-116" maxValue="100"/>
    </cacheField>
    <cacheField name="Talla para la edad" numFmtId="0">
      <sharedItems containsBlank="1"/>
    </cacheField>
    <cacheField name="Z Longitud relativa de pierna" numFmtId="0">
      <sharedItems containsString="0" containsBlank="1" containsNumber="1" minValue="-50.390791935680902" maxValue="21.023558812535303"/>
    </cacheField>
    <cacheField name="percentil2" numFmtId="0">
      <sharedItems containsString="0" containsBlank="1" containsNumber="1" minValue="0" maxValue="100"/>
    </cacheField>
    <cacheField name="Longitud relativa de pierna" numFmtId="0">
      <sharedItems containsBlank="1"/>
    </cacheField>
    <cacheField name="Z IMC" numFmtId="0">
      <sharedItems containsString="0" containsBlank="1" containsNumber="1" minValue="-4194.4938673192501" maxValue="5.6104495980631111"/>
    </cacheField>
    <cacheField name="percentil3" numFmtId="0">
      <sharedItems containsString="0" containsBlank="1" containsNumber="1" minValue="0" maxValue="99.999998990991784"/>
    </cacheField>
    <cacheField name="Índice de Masa Corporal" numFmtId="0">
      <sharedItems containsBlank="1" count="6">
        <s v="Obesidad"/>
        <s v="Normal"/>
        <s v="Desnutricion"/>
        <s v="Bajo Peso"/>
        <s v="Sobrepeso"/>
        <m/>
      </sharedItems>
    </cacheField>
  </cacheFields>
  <extLst>
    <ext xmlns:x14="http://schemas.microsoft.com/office/spreadsheetml/2009/9/main" uri="{725AE2AE-9491-48be-B2B4-4EB974FC3084}">
      <x14:pivotCacheDefinition pivotCacheId="63571100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co" refreshedDate="44525.792807407408" createdVersion="7" refreshedVersion="7" minRefreshableVersion="3" recordCount="774">
  <cacheSource type="worksheet">
    <worksheetSource ref="B1:J1048576" sheet="Integración"/>
  </cacheSource>
  <cacheFields count="9">
    <cacheField name="Escuela" numFmtId="0">
      <sharedItems containsBlank="1" count="6">
        <s v="Esc. 17 de abril de 1869, Xochitepec, Morelos"/>
        <s v="Esc. José Tapia Bujalance, Iztapalapa, CdMx"/>
        <s v="Esc. Eufemio Zapata, Tlaquiltenango, Morelos"/>
        <s v="Esc. Emiliano Zapata, Naucalpan, Edo Mex"/>
        <s v="Esc. Miguel Hidalgo, Atitalaquia, Hidalgo"/>
        <m/>
      </sharedItems>
    </cacheField>
    <cacheField name="SEXO" numFmtId="0">
      <sharedItems containsBlank="1" count="3">
        <s v="Femenino"/>
        <s v="Masculino"/>
        <m/>
      </sharedItems>
    </cacheField>
    <cacheField name="Edad en años" numFmtId="0">
      <sharedItems containsString="0" containsBlank="1" containsNumber="1" containsInteger="1" minValue="2" maxValue="13"/>
    </cacheField>
    <cacheField name="Z Talla para la edad" numFmtId="0">
      <sharedItems containsString="0" containsBlank="1" containsNumber="1" minValue="-23.116042533518261" maxValue="192.84789006980191"/>
    </cacheField>
    <cacheField name="percentil" numFmtId="0">
      <sharedItems containsString="0" containsBlank="1" containsNumber="1" minValue="1.596799996135726E-116" maxValue="100"/>
    </cacheField>
    <cacheField name="Talla para la edad" numFmtId="0">
      <sharedItems containsBlank="1"/>
    </cacheField>
    <cacheField name="Z Longitud relativa de pierna" numFmtId="0">
      <sharedItems containsString="0" containsBlank="1" containsNumber="1" minValue="-50.390791935680902" maxValue="21.023558812535303"/>
    </cacheField>
    <cacheField name="percentil2" numFmtId="0">
      <sharedItems containsString="0" containsBlank="1" containsNumber="1" minValue="0" maxValue="100"/>
    </cacheField>
    <cacheField name="Longitud relativa de pierna" numFmtId="0">
      <sharedItems containsBlank="1" count="4">
        <s v="Normal"/>
        <s v="Piernas cortas"/>
        <s v="Piernas largas"/>
        <m/>
      </sharedItems>
    </cacheField>
  </cacheFields>
  <extLst>
    <ext xmlns:x14="http://schemas.microsoft.com/office/spreadsheetml/2009/9/main" uri="{725AE2AE-9491-48be-B2B4-4EB974FC3084}">
      <x14:pivotCacheDefinition pivotCacheId="157980068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co" refreshedDate="44525.795954398149" createdVersion="7" refreshedVersion="7" minRefreshableVersion="3" recordCount="774">
  <cacheSource type="worksheet">
    <worksheetSource ref="B1:G1048576" sheet="Integración"/>
  </cacheSource>
  <cacheFields count="6">
    <cacheField name="Escuela" numFmtId="0">
      <sharedItems containsBlank="1" count="6">
        <s v="Esc. 17 de abril de 1869, Xochitepec, Morelos"/>
        <s v="Esc. José Tapia Bujalance, Iztapalapa, CdMx"/>
        <s v="Esc. Eufemio Zapata, Tlaquiltenango, Morelos"/>
        <s v="Esc. Emiliano Zapata, Naucalpan, Edo Mex"/>
        <s v="Esc. Miguel Hidalgo, Atitalaquia, Hidalgo"/>
        <m/>
      </sharedItems>
    </cacheField>
    <cacheField name="SEXO" numFmtId="0">
      <sharedItems containsBlank="1"/>
    </cacheField>
    <cacheField name="Edad en años" numFmtId="0">
      <sharedItems containsString="0" containsBlank="1" containsNumber="1" containsInteger="1" minValue="2" maxValue="13"/>
    </cacheField>
    <cacheField name="Z Talla para la edad" numFmtId="0">
      <sharedItems containsString="0" containsBlank="1" containsNumber="1" minValue="-23.116042533518261" maxValue="192.84789006980191"/>
    </cacheField>
    <cacheField name="percentil" numFmtId="0">
      <sharedItems containsString="0" containsBlank="1" containsNumber="1" minValue="1.596799996135726E-116" maxValue="100"/>
    </cacheField>
    <cacheField name="Talla para la edad" numFmtId="0">
      <sharedItems containsBlank="1" count="4">
        <s v="Normal"/>
        <s v="Desnutricion"/>
        <s v="Alto"/>
        <m/>
      </sharedItems>
    </cacheField>
  </cacheFields>
  <extLst>
    <ext xmlns:x14="http://schemas.microsoft.com/office/spreadsheetml/2009/9/main" uri="{725AE2AE-9491-48be-B2B4-4EB974FC3084}">
      <x14:pivotCacheDefinition pivotCacheId="228699924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rco" refreshedDate="44525.799825347225" createdVersion="7" refreshedVersion="7" minRefreshableVersion="3" recordCount="774">
  <cacheSource type="worksheet">
    <worksheetSource ref="B1:D1048576" sheet="Integración"/>
  </cacheSource>
  <cacheFields count="3">
    <cacheField name="Escuela" numFmtId="0">
      <sharedItems containsBlank="1"/>
    </cacheField>
    <cacheField name="SEXO" numFmtId="0">
      <sharedItems containsBlank="1" count="3">
        <s v="Femenino"/>
        <s v="Masculino"/>
        <m/>
      </sharedItems>
    </cacheField>
    <cacheField name="Edad en años" numFmtId="0">
      <sharedItems containsString="0" containsBlank="1" containsNumber="1" containsInteger="1" minValue="2" maxValue="13" count="13">
        <n v="6"/>
        <n v="7"/>
        <n v="8"/>
        <n v="9"/>
        <n v="10"/>
        <n v="11"/>
        <n v="12"/>
        <n v="13"/>
        <n v="5"/>
        <n v="4"/>
        <n v="3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4">
  <r>
    <x v="0"/>
    <x v="0"/>
    <n v="6"/>
    <n v="1.5149406517897486"/>
    <n v="93.510628283011684"/>
    <s v="Normal"/>
    <n v="-0.58441954072222968"/>
    <n v="27.946904153191614"/>
    <s v="Normal"/>
    <n v="1.9932049431640997"/>
    <n v="97.688049497247476"/>
    <x v="0"/>
  </r>
  <r>
    <x v="0"/>
    <x v="0"/>
    <n v="7"/>
    <n v="1.3151504041499074"/>
    <n v="90.577032023155539"/>
    <s v="Normal"/>
    <n v="-1.0250811244890421"/>
    <n v="15.266245551964774"/>
    <s v="Normal"/>
    <n v="-0.5243653251927145"/>
    <n v="30.001223455206627"/>
    <x v="1"/>
  </r>
  <r>
    <x v="0"/>
    <x v="0"/>
    <n v="6"/>
    <n v="4.3617964448086849E-3"/>
    <n v="50.174009950269372"/>
    <s v="Normal"/>
    <n v="-1.3537745906753984"/>
    <n v="8.7904151261252839"/>
    <s v="Normal"/>
    <n v="1.801320549913445"/>
    <n v="96.417381466999871"/>
    <x v="0"/>
  </r>
  <r>
    <x v="0"/>
    <x v="0"/>
    <n v="7"/>
    <n v="1.3151504041499074"/>
    <n v="90.577032023155539"/>
    <s v="Normal"/>
    <n v="-0.16060424171956358"/>
    <n v="43.620255693096254"/>
    <s v="Normal"/>
    <n v="1.2665552565955891"/>
    <n v="89.73428201329277"/>
    <x v="0"/>
  </r>
  <r>
    <x v="0"/>
    <x v="0"/>
    <n v="6"/>
    <n v="-0.17198952530893982"/>
    <n v="43.172288194217401"/>
    <s v="Normal"/>
    <n v="8.9079905479468549E-2"/>
    <n v="53.549079649885179"/>
    <s v="Normal"/>
    <n v="0.51455018084405801"/>
    <n v="69.656630705155536"/>
    <x v="1"/>
  </r>
  <r>
    <x v="0"/>
    <x v="1"/>
    <n v="7"/>
    <n v="-1.4356054275424708"/>
    <n v="7.5557324723698267"/>
    <s v="Normal"/>
    <n v="-1.9304506895881572"/>
    <n v="2.6775509705148819"/>
    <s v="Piernas cortas"/>
    <n v="0.29623712539838798"/>
    <n v="61.647550072605164"/>
    <x v="1"/>
  </r>
  <r>
    <x v="0"/>
    <x v="0"/>
    <n v="6"/>
    <n v="-0.93974998814578248"/>
    <n v="17.36729087369784"/>
    <s v="Normal"/>
    <n v="0.58542545862880857"/>
    <n v="72.086916272294147"/>
    <s v="Normal"/>
    <n v="0.3460418087002049"/>
    <n v="63.534435268212377"/>
    <x v="1"/>
  </r>
  <r>
    <x v="0"/>
    <x v="1"/>
    <n v="6"/>
    <n v="-1.2985792426949461"/>
    <n v="9.7044182666681209"/>
    <s v="Normal"/>
    <n v="-43.378947318639611"/>
    <n v="0"/>
    <s v="Piernas cortas"/>
    <n v="-2.4590839121571348"/>
    <n v="0.69646028312162511"/>
    <x v="2"/>
  </r>
  <r>
    <x v="0"/>
    <x v="0"/>
    <n v="7"/>
    <n v="-2.0918672762665014"/>
    <n v="1.8225195051683865"/>
    <s v="Desnutricion"/>
    <n v="-50.390791935680902"/>
    <n v="0"/>
    <s v="Piernas cortas"/>
    <n v="1.9235316863428213"/>
    <n v="97.279334447661483"/>
    <x v="0"/>
  </r>
  <r>
    <x v="0"/>
    <x v="0"/>
    <n v="6"/>
    <n v="-0.63033488105152691"/>
    <n v="26.423775303780577"/>
    <s v="Normal"/>
    <n v="-44.996144946529775"/>
    <n v="0"/>
    <s v="Piernas cortas"/>
    <n v="1.8337195802119275"/>
    <n v="96.665218470945632"/>
    <x v="0"/>
  </r>
  <r>
    <x v="0"/>
    <x v="1"/>
    <n v="6"/>
    <n v="-0.72443547188380331"/>
    <n v="23.439921465076132"/>
    <s v="Normal"/>
    <n v="-42.540188222394093"/>
    <n v="0"/>
    <s v="Piernas cortas"/>
    <n v="0.47768189867550614"/>
    <n v="68.356168511020073"/>
    <x v="1"/>
  </r>
  <r>
    <x v="0"/>
    <x v="1"/>
    <n v="6"/>
    <n v="-1.1071979857578993"/>
    <n v="13.410416911373826"/>
    <s v="Normal"/>
    <n v="0.6686645497008894"/>
    <n v="74.81452569386397"/>
    <s v="Normal"/>
    <n v="0.19783302245829601"/>
    <n v="57.841214571478041"/>
    <x v="1"/>
  </r>
  <r>
    <x v="0"/>
    <x v="1"/>
    <n v="7"/>
    <n v="1.736892808127545"/>
    <n v="95.879695344767242"/>
    <s v="Alto"/>
    <n v="-0.22974201848820147"/>
    <n v="40.914612102246352"/>
    <s v="Normal"/>
    <n v="-0.96808138475192007"/>
    <n v="16.650186297280769"/>
    <x v="1"/>
  </r>
  <r>
    <x v="0"/>
    <x v="0"/>
    <n v="6"/>
    <n v="-1.1285723450638938"/>
    <n v="12.953914115787679"/>
    <s v="Normal"/>
    <n v="-1.6662606248169013E-2"/>
    <n v="49.335288945402041"/>
    <s v="Normal"/>
    <n v="-0.10938595437892651"/>
    <n v="45.644818683942248"/>
    <x v="1"/>
  </r>
  <r>
    <x v="0"/>
    <x v="0"/>
    <n v="6"/>
    <n v="-0.54555495821280986"/>
    <n v="29.268594645056485"/>
    <s v="Normal"/>
    <n v="-0.23300081541267378"/>
    <n v="40.788038629297731"/>
    <s v="Normal"/>
    <n v="0.37422133973449434"/>
    <n v="64.588017563797735"/>
    <x v="1"/>
  </r>
  <r>
    <x v="0"/>
    <x v="1"/>
    <n v="7"/>
    <n v="-2.657902957858858E-2"/>
    <n v="48.939774966121604"/>
    <s v="Normal"/>
    <n v="-0.12541389296353"/>
    <n v="45.009794497928503"/>
    <s v="Normal"/>
    <n v="-0.34169803711318891"/>
    <n v="36.628907472604652"/>
    <x v="1"/>
  </r>
  <r>
    <x v="0"/>
    <x v="0"/>
    <n v="7"/>
    <n v="0.2247520734221615"/>
    <n v="58.891392398353723"/>
    <s v="Normal"/>
    <n v="-1.1367140049412863"/>
    <n v="12.782893137588754"/>
    <s v="Normal"/>
    <n v="0.95445221121680568"/>
    <n v="83.007260581376158"/>
    <x v="1"/>
  </r>
  <r>
    <x v="0"/>
    <x v="1"/>
    <n v="7"/>
    <n v="-1.0847796818368971"/>
    <n v="13.900962328448127"/>
    <s v="Normal"/>
    <n v="-1.6624932589192525"/>
    <n v="4.82069569318893"/>
    <s v="Piernas cortas"/>
    <n v="2.5017287031719269"/>
    <n v="99.382057050477854"/>
    <x v="0"/>
  </r>
  <r>
    <x v="0"/>
    <x v="1"/>
    <n v="7"/>
    <n v="0.17039105412004696"/>
    <n v="56.764869647573427"/>
    <s v="Normal"/>
    <n v="-1.1428931578696528"/>
    <n v="12.654147684631706"/>
    <s v="Normal"/>
    <n v="-1.3447820618214055"/>
    <n v="8.9347812387703769"/>
    <x v="3"/>
  </r>
  <r>
    <x v="0"/>
    <x v="1"/>
    <n v="6"/>
    <n v="-0.34167295800970976"/>
    <n v="36.629851251702107"/>
    <s v="Normal"/>
    <n v="-7.0140827664831942E-2"/>
    <n v="47.204078546384373"/>
    <s v="Normal"/>
    <n v="0.35536990517656741"/>
    <n v="63.884375420474683"/>
    <x v="1"/>
  </r>
  <r>
    <x v="0"/>
    <x v="1"/>
    <n v="7"/>
    <n v="-0.93317794924813824"/>
    <n v="17.536404894693604"/>
    <s v="Normal"/>
    <n v="-0.45897600416008222"/>
    <n v="32.312569891845499"/>
    <s v="Normal"/>
    <n v="0.39176113402271212"/>
    <n v="65.238264263913649"/>
    <x v="1"/>
  </r>
  <r>
    <x v="0"/>
    <x v="1"/>
    <n v="6"/>
    <n v="-0.15029170107266301"/>
    <n v="44.026724010483747"/>
    <s v="Normal"/>
    <n v="-5.2478221275578718E-2"/>
    <n v="47.907382416159003"/>
    <s v="Normal"/>
    <n v="0.41018692131024675"/>
    <n v="65.916558290914736"/>
    <x v="1"/>
  </r>
  <r>
    <x v="0"/>
    <x v="0"/>
    <n v="7"/>
    <n v="0.50448722221950582"/>
    <n v="69.304048043978668"/>
    <s v="Normal"/>
    <n v="-0.49881083790957498"/>
    <n v="30.895632585634825"/>
    <s v="Normal"/>
    <n v="0.54370352571062408"/>
    <n v="70.667724707305197"/>
    <x v="1"/>
  </r>
  <r>
    <x v="0"/>
    <x v="1"/>
    <n v="7"/>
    <n v="-0.780984903139475"/>
    <n v="21.740568699577874"/>
    <s v="Normal"/>
    <n v="0.53671842710756945"/>
    <n v="70.42689372419116"/>
    <s v="Normal"/>
    <n v="0.11036372492586176"/>
    <n v="54.393953966872388"/>
    <x v="1"/>
  </r>
  <r>
    <x v="0"/>
    <x v="0"/>
    <n v="7"/>
    <n v="-0.28535478809945419"/>
    <n v="38.768617099293024"/>
    <s v="Normal"/>
    <n v="-6.8095862485643421E-2"/>
    <n v="47.28546619858345"/>
    <s v="Normal"/>
    <n v="-1.5389631125534005"/>
    <n v="6.1906650927891702"/>
    <x v="3"/>
  </r>
  <r>
    <x v="0"/>
    <x v="0"/>
    <n v="7"/>
    <n v="-0.89301575006078837"/>
    <n v="18.59243691215368"/>
    <s v="Normal"/>
    <n v="-1.1496009786319135"/>
    <n v="12.515412746308"/>
    <s v="Normal"/>
    <n v="0.92420149123151352"/>
    <n v="82.23092903124703"/>
    <x v="1"/>
  </r>
  <r>
    <x v="0"/>
    <x v="1"/>
    <n v="8"/>
    <n v="-4.6936759933381506E-2"/>
    <n v="48.128181508870568"/>
    <s v="Normal"/>
    <n v="-0.54877423819066662"/>
    <n v="29.158019589446432"/>
    <s v="Normal"/>
    <n v="-1.1657275213210243"/>
    <n v="12.186231463741724"/>
    <x v="3"/>
  </r>
  <r>
    <x v="0"/>
    <x v="1"/>
    <n v="8"/>
    <n v="0.13011627640528184"/>
    <n v="55.176278355753048"/>
    <s v="Normal"/>
    <n v="-0.89946517627688249"/>
    <n v="18.42024682990181"/>
    <s v="Normal"/>
    <n v="1.1033208869359261"/>
    <n v="86.505608038836201"/>
    <x v="0"/>
  </r>
  <r>
    <x v="0"/>
    <x v="0"/>
    <n v="7"/>
    <n v="0.68097553355770268"/>
    <n v="75.205651408690741"/>
    <s v="Normal"/>
    <n v="-0.982941079792371"/>
    <n v="16.281821905834438"/>
    <s v="Normal"/>
    <n v="0.71343776726980379"/>
    <n v="76.221254512026135"/>
    <x v="1"/>
  </r>
  <r>
    <x v="0"/>
    <x v="0"/>
    <n v="7"/>
    <n v="-1.1642348795724493"/>
    <n v="12.216441935853403"/>
    <s v="Normal"/>
    <n v="-0.37256537485161045"/>
    <n v="35.473597359625927"/>
    <s v="Normal"/>
    <n v="1.0446072592916507"/>
    <n v="85.189773843611931"/>
    <x v="0"/>
  </r>
  <r>
    <x v="0"/>
    <x v="0"/>
    <n v="7"/>
    <n v="0.68097553355770268"/>
    <n v="75.205651408690741"/>
    <s v="Normal"/>
    <n v="-0.71464553130983199"/>
    <n v="23.741405133400896"/>
    <s v="Normal"/>
    <n v="-1.7651626734995936E-2"/>
    <n v="49.295838545040176"/>
    <x v="1"/>
  </r>
  <r>
    <x v="0"/>
    <x v="1"/>
    <n v="7"/>
    <n v="-0.34374024090075989"/>
    <n v="36.552082265171343"/>
    <s v="Normal"/>
    <n v="-0.63365439113007249"/>
    <n v="26.315319801421921"/>
    <s v="Normal"/>
    <n v="1.4709434519528031"/>
    <n v="92.934679487112362"/>
    <x v="0"/>
  </r>
  <r>
    <x v="0"/>
    <x v="1"/>
    <n v="7"/>
    <n v="2.699027503055822"/>
    <n v="99.652287855458141"/>
    <s v="Alto"/>
    <n v="1.0637699649632013"/>
    <n v="85.628353967571087"/>
    <s v="Normal"/>
    <n v="-0.17150137659111583"/>
    <n v="43.191477405778876"/>
    <x v="1"/>
  </r>
  <r>
    <x v="0"/>
    <x v="0"/>
    <n v="7"/>
    <n v="-0.28535478809945419"/>
    <n v="38.768617099293024"/>
    <s v="Normal"/>
    <n v="0.26154854054756677"/>
    <n v="60.31652390831637"/>
    <s v="Normal"/>
    <n v="-0.82918178782178065"/>
    <n v="20.350077442912085"/>
    <x v="1"/>
  </r>
  <r>
    <x v="0"/>
    <x v="0"/>
    <n v="7"/>
    <n v="-0.54312222471617533"/>
    <n v="29.352282574005716"/>
    <s v="Normal"/>
    <n v="-6.8709861240870422"/>
    <n v="3.1879798185324245E-10"/>
    <s v="Piernas cortas"/>
    <n v="0.36181802220021664"/>
    <n v="64.125598822049795"/>
    <x v="1"/>
  </r>
  <r>
    <x v="0"/>
    <x v="1"/>
    <n v="8"/>
    <n v="1.2054331302015349"/>
    <n v="88.598193089968618"/>
    <s v="Normal"/>
    <n v="-0.76041758469430742"/>
    <n v="22.350250770118528"/>
    <s v="Normal"/>
    <n v="1.3034144036023374"/>
    <n v="90.378333914181354"/>
    <x v="0"/>
  </r>
  <r>
    <x v="0"/>
    <x v="0"/>
    <n v="7"/>
    <n v="-1.7153579971912409"/>
    <n v="4.313980563732474"/>
    <s v="Desnutricion"/>
    <n v="-0.74746437955606138"/>
    <n v="22.739164829396525"/>
    <s v="Normal"/>
    <n v="-0.88897040775737191"/>
    <n v="18.700949192518674"/>
    <x v="1"/>
  </r>
  <r>
    <x v="0"/>
    <x v="1"/>
    <n v="7"/>
    <n v="-0.72696954972894268"/>
    <n v="23.362230477493245"/>
    <s v="Normal"/>
    <n v="0.37120814573179539"/>
    <n v="64.475874676914273"/>
    <s v="Normal"/>
    <n v="0.49823082809600822"/>
    <n v="69.083932194501315"/>
    <x v="1"/>
  </r>
  <r>
    <x v="0"/>
    <x v="0"/>
    <n v="8"/>
    <n v="-0.68395963711608043"/>
    <n v="24.700032686396284"/>
    <s v="Normal"/>
    <n v="5.1451791800910263"/>
    <n v="99.999986636720593"/>
    <s v="Piernas largas"/>
    <n v="-5.559819986965548E-2"/>
    <n v="47.783094929222699"/>
    <x v="1"/>
  </r>
  <r>
    <x v="0"/>
    <x v="1"/>
    <n v="8"/>
    <n v="0.32251837709187081"/>
    <n v="62.646999098903656"/>
    <s v="Normal"/>
    <n v="11.694454387787303"/>
    <n v="100"/>
    <s v="Piernas largas"/>
    <n v="3.4170639802505618"/>
    <n v="99.968349799311426"/>
    <x v="0"/>
  </r>
  <r>
    <x v="0"/>
    <x v="0"/>
    <n v="7"/>
    <n v="-1.2235168898350083E-2"/>
    <n v="49.511899559943686"/>
    <s v="Normal"/>
    <n v="-0.51604938573410553"/>
    <n v="30.290995857340398"/>
    <s v="Normal"/>
    <n v="0.54717074195277804"/>
    <n v="70.786928253450057"/>
    <x v="1"/>
  </r>
  <r>
    <x v="0"/>
    <x v="1"/>
    <n v="7"/>
    <n v="-0.85718388699065529"/>
    <n v="19.56716330037079"/>
    <s v="Normal"/>
    <n v="-0.94255580835525188"/>
    <n v="17.295407633958817"/>
    <s v="Normal"/>
    <n v="-1.0554474927007873"/>
    <n v="14.56103558822528"/>
    <x v="3"/>
  </r>
  <r>
    <x v="0"/>
    <x v="1"/>
    <n v="8"/>
    <n v="-0.15952084466596206"/>
    <n v="43.662926846213814"/>
    <s v="Normal"/>
    <n v="0.64410510845845359"/>
    <n v="74.02463610155931"/>
    <s v="Normal"/>
    <n v="-2.6924034693070968"/>
    <n v="0.35469534011757292"/>
    <x v="2"/>
  </r>
  <r>
    <x v="0"/>
    <x v="1"/>
    <n v="8"/>
    <n v="-0.71774032806715615"/>
    <n v="23.645870623918469"/>
    <s v="Normal"/>
    <n v="-0.1841080594099295"/>
    <n v="42.696434203019848"/>
    <s v="Normal"/>
    <n v="0.17243855015175069"/>
    <n v="56.845361628582538"/>
    <x v="1"/>
  </r>
  <r>
    <x v="0"/>
    <x v="1"/>
    <n v="9"/>
    <n v="-0.28365895754307319"/>
    <n v="38.833587519130951"/>
    <s v="Normal"/>
    <n v="-0.83278170960854825"/>
    <n v="20.248392598275924"/>
    <s v="Normal"/>
    <n v="-0.23082597793578852"/>
    <n v="40.872499933665516"/>
    <x v="1"/>
  </r>
  <r>
    <x v="0"/>
    <x v="0"/>
    <n v="8"/>
    <n v="-2.0613014463343289"/>
    <n v="1.9637145160881904"/>
    <s v="Desnutricion"/>
    <n v="-1.7441790348126938"/>
    <n v="4.0563937948744577"/>
    <s v="Piernas cortas"/>
    <n v="-0.30806611872698392"/>
    <n v="37.901601080159011"/>
    <x v="1"/>
  </r>
  <r>
    <x v="0"/>
    <x v="1"/>
    <n v="9"/>
    <n v="-0.16601209495540967"/>
    <n v="43.407371592736062"/>
    <s v="Normal"/>
    <n v="-0.59642081966056226"/>
    <n v="27.544706769934173"/>
    <s v="Normal"/>
    <n v="-1.008719888422948"/>
    <n v="15.655449539359937"/>
    <x v="1"/>
  </r>
  <r>
    <x v="0"/>
    <x v="0"/>
    <n v="8"/>
    <n v="1.0835287160516809"/>
    <n v="86.071309404006826"/>
    <s v="Normal"/>
    <n v="-2.4798540464650829"/>
    <n v="0.65718085695618123"/>
    <s v="Piernas cortas"/>
    <n v="3.2826525883189031"/>
    <n v="99.948582342936731"/>
    <x v="0"/>
  </r>
  <r>
    <x v="0"/>
    <x v="0"/>
    <n v="8"/>
    <n v="-0.33318360999334473"/>
    <n v="36.94978446688534"/>
    <s v="Normal"/>
    <n v="-0.54479274651798582"/>
    <n v="29.294803397664083"/>
    <s v="Normal"/>
    <n v="0.2961214542154722"/>
    <n v="61.643133487382975"/>
    <x v="1"/>
  </r>
  <r>
    <x v="0"/>
    <x v="0"/>
    <n v="9"/>
    <n v="-0.88899948271638252"/>
    <n v="18.700167890467011"/>
    <s v="Normal"/>
    <n v="-1.0042164185537865"/>
    <n v="15.763715497295694"/>
    <s v="Normal"/>
    <n v="-1.1775646482826234"/>
    <n v="11.948510515427166"/>
    <x v="3"/>
  </r>
  <r>
    <x v="0"/>
    <x v="0"/>
    <n v="8"/>
    <n v="-0.75500870001687204"/>
    <n v="22.512188105661412"/>
    <s v="Normal"/>
    <n v="5.1161199784921942"/>
    <n v="99.999984405764195"/>
    <s v="Piernas largas"/>
    <n v="2.0961951125073948"/>
    <n v="98.196755682902577"/>
    <x v="0"/>
  </r>
  <r>
    <x v="0"/>
    <x v="1"/>
    <n v="8"/>
    <n v="-2.0689399102620571"/>
    <n v="1.9275862913703996"/>
    <s v="Desnutricion"/>
    <n v="-2.2422787882105708"/>
    <n v="1.2471679897825521"/>
    <s v="Piernas cortas"/>
    <n v="0.3787153444679594"/>
    <n v="64.755037127135537"/>
    <x v="1"/>
  </r>
  <r>
    <x v="0"/>
    <x v="0"/>
    <n v="8"/>
    <n v="-1.5661731914800108"/>
    <n v="5.8654038502661727"/>
    <s v="Normal"/>
    <n v="-1.4922305696295701"/>
    <n v="6.7819355497433591"/>
    <s v="Normal"/>
    <n v="0.2270943823320245"/>
    <n v="58.982482390260515"/>
    <x v="1"/>
  </r>
  <r>
    <x v="0"/>
    <x v="0"/>
    <n v="9"/>
    <n v="0.72144847698867542"/>
    <n v="76.468318508909476"/>
    <s v="Normal"/>
    <n v="0.16827272454993814"/>
    <n v="56.681563473390497"/>
    <s v="Normal"/>
    <n v="0.34946551113512242"/>
    <n v="63.663007063726276"/>
    <x v="1"/>
  </r>
  <r>
    <x v="0"/>
    <x v="0"/>
    <n v="8"/>
    <n v="-0.82027423401880739"/>
    <n v="20.60298957087824"/>
    <s v="Normal"/>
    <n v="-0.55951432072531937"/>
    <n v="28.790538024107359"/>
    <s v="Normal"/>
    <n v="-1.6141886608315987"/>
    <n v="5.3243255387459349"/>
    <x v="3"/>
  </r>
  <r>
    <x v="0"/>
    <x v="0"/>
    <n v="9"/>
    <n v="-1.0417306611102288"/>
    <n v="14.876828472434973"/>
    <s v="Normal"/>
    <n v="-0.98776721944471846"/>
    <n v="16.163333261360759"/>
    <s v="Normal"/>
    <n v="2.3553184741605442"/>
    <n v="99.074658161177808"/>
    <x v="0"/>
  </r>
  <r>
    <x v="0"/>
    <x v="0"/>
    <n v="9"/>
    <n v="-1.7440462074866332"/>
    <n v="4.0575516415224842"/>
    <s v="Desnutricion"/>
    <n v="-0.49907266158981328"/>
    <n v="30.886409808149907"/>
    <s v="Normal"/>
    <n v="-0.86987198602501836"/>
    <n v="19.218518315725973"/>
    <x v="1"/>
  </r>
  <r>
    <x v="0"/>
    <x v="1"/>
    <n v="10"/>
    <n v="-0.25573836347543183"/>
    <n v="39.907643508722359"/>
    <s v="Normal"/>
    <n v="-2.5315847267529108"/>
    <n v="0.56774190505177224"/>
    <s v="Piernas cortas"/>
    <n v="3.6222231442457753"/>
    <n v="99.985395900316519"/>
    <x v="0"/>
  </r>
  <r>
    <x v="0"/>
    <x v="0"/>
    <n v="9"/>
    <n v="1.6375987259028781"/>
    <n v="94.924728548476722"/>
    <s v="Normal"/>
    <n v="0.17858350226463351"/>
    <n v="57.086762523985954"/>
    <s v="Normal"/>
    <n v="-1.9359120882920279E-2"/>
    <n v="49.227731055062584"/>
    <x v="1"/>
  </r>
  <r>
    <x v="0"/>
    <x v="1"/>
    <n v="9"/>
    <n v="-0.51386158305578"/>
    <n v="30.367438418759228"/>
    <s v="Normal"/>
    <n v="-1.8768871123162896"/>
    <n v="3.0266783794298222"/>
    <s v="Piernas cortas"/>
    <n v="2.5440008409554848"/>
    <n v="99.452045896254589"/>
    <x v="0"/>
  </r>
  <r>
    <x v="0"/>
    <x v="1"/>
    <n v="9"/>
    <n v="0.15188137443572455"/>
    <n v="56.035975054942085"/>
    <s v="Normal"/>
    <n v="-2.1164592028418623"/>
    <n v="1.7152885735962149"/>
    <s v="Piernas cortas"/>
    <n v="3.3091051200032453"/>
    <n v="99.953202655428868"/>
    <x v="0"/>
  </r>
  <r>
    <x v="0"/>
    <x v="1"/>
    <n v="9"/>
    <n v="0.48850796873006108"/>
    <n v="68.740495863878294"/>
    <s v="Normal"/>
    <n v="-0.87542070856357879"/>
    <n v="19.067251805246556"/>
    <s v="Normal"/>
    <n v="0.69912461994801633"/>
    <n v="75.776292318332267"/>
    <x v="1"/>
  </r>
  <r>
    <x v="0"/>
    <x v="1"/>
    <n v="10"/>
    <n v="0.38259279292278342"/>
    <n v="64.898914258319607"/>
    <s v="Normal"/>
    <n v="-0.58533847588203269"/>
    <n v="27.916007428285983"/>
    <s v="Normal"/>
    <n v="1.9281565328892405"/>
    <n v="97.308217052088935"/>
    <x v="0"/>
  </r>
  <r>
    <x v="0"/>
    <x v="0"/>
    <n v="9"/>
    <n v="-1.2003617957394703"/>
    <n v="11.499942978460114"/>
    <s v="Normal"/>
    <n v="-1.8174058793311716"/>
    <n v="3.4577494085322291"/>
    <s v="Piernas cortas"/>
    <n v="0.85368310078061949"/>
    <n v="80.335969994523865"/>
    <x v="1"/>
  </r>
  <r>
    <x v="0"/>
    <x v="0"/>
    <n v="9"/>
    <n v="1.409340878780158"/>
    <n v="92.063280164992193"/>
    <s v="Normal"/>
    <n v="-2.049080058285905"/>
    <n v="2.0227143563829415"/>
    <s v="Piernas cortas"/>
    <n v="-9.8947856374186349E-2"/>
    <n v="46.058983571070364"/>
    <x v="1"/>
  </r>
  <r>
    <x v="0"/>
    <x v="1"/>
    <n v="9"/>
    <n v="1.0256682259664571"/>
    <n v="84.747600185787732"/>
    <s v="Normal"/>
    <n v="-0.24234602606343997"/>
    <n v="40.425602641176546"/>
    <s v="Normal"/>
    <n v="2.3378747045445256"/>
    <n v="99.030312558496277"/>
    <x v="0"/>
  </r>
  <r>
    <x v="0"/>
    <x v="0"/>
    <n v="10"/>
    <n v="0.28708571291812124"/>
    <n v="61.297665430838656"/>
    <s v="Normal"/>
    <n v="-1.6742237947181093"/>
    <n v="4.7043312369037737"/>
    <s v="Piernas cortas"/>
    <n v="0.82648136146509144"/>
    <n v="79.573445662046964"/>
    <x v="1"/>
  </r>
  <r>
    <x v="0"/>
    <x v="1"/>
    <n v="9"/>
    <n v="-0.39513515617671108"/>
    <n v="34.637157230937078"/>
    <s v="Normal"/>
    <n v="-1.0675391820461266"/>
    <n v="14.286421510573346"/>
    <s v="Normal"/>
    <n v="2.615657105537375"/>
    <n v="99.554720294175553"/>
    <x v="0"/>
  </r>
  <r>
    <x v="0"/>
    <x v="1"/>
    <n v="10"/>
    <n v="-0.94068827748310047"/>
    <n v="17.343231402686111"/>
    <s v="Normal"/>
    <n v="-1.8872373786256513"/>
    <n v="2.95642024445426"/>
    <s v="Piernas cortas"/>
    <n v="1.7581916940577307"/>
    <n v="96.064255098909442"/>
    <x v="0"/>
  </r>
  <r>
    <x v="0"/>
    <x v="0"/>
    <n v="10"/>
    <n v="0.44289885425766912"/>
    <n v="67.108055190819343"/>
    <s v="Normal"/>
    <n v="-1.6549304860096821"/>
    <n v="4.8969299707590546"/>
    <s v="Piernas cortas"/>
    <n v="2.000310006969765"/>
    <n v="97.726660043978328"/>
    <x v="0"/>
  </r>
  <r>
    <x v="0"/>
    <x v="1"/>
    <n v="9"/>
    <n v="8.2292637343017561E-2"/>
    <n v="53.279299544367611"/>
    <s v="Normal"/>
    <n v="0.18083005044738534"/>
    <n v="57.174951245757676"/>
    <s v="Normal"/>
    <n v="1.1348136272128917"/>
    <n v="87.177329234387472"/>
    <x v="0"/>
  </r>
  <r>
    <x v="0"/>
    <x v="0"/>
    <n v="10"/>
    <n v="0.36016502848242249"/>
    <n v="64.063813728453241"/>
    <s v="Normal"/>
    <n v="-1.8533646775900829"/>
    <n v="3.1915053281525809"/>
    <s v="Piernas cortas"/>
    <n v="0.83549818318319191"/>
    <n v="79.828136527188633"/>
    <x v="1"/>
  </r>
  <r>
    <x v="0"/>
    <x v="1"/>
    <n v="9"/>
    <n v="1.3554334200622957"/>
    <n v="91.236024606642758"/>
    <s v="Normal"/>
    <n v="-0.43967113621224185"/>
    <n v="33.008765532435817"/>
    <s v="Normal"/>
    <n v="3.0775200345095497"/>
    <n v="99.895634596446385"/>
    <x v="0"/>
  </r>
  <r>
    <x v="0"/>
    <x v="1"/>
    <n v="10"/>
    <n v="1.5400284907416939"/>
    <n v="93.8223295593438"/>
    <s v="Normal"/>
    <n v="0.46950963953928537"/>
    <n v="68.064730186228914"/>
    <s v="Normal"/>
    <n v="0.64148442004341499"/>
    <n v="73.939599993458586"/>
    <x v="1"/>
  </r>
  <r>
    <x v="0"/>
    <x v="0"/>
    <n v="10"/>
    <n v="-1.1159731232829455"/>
    <n v="13.221681965526285"/>
    <s v="Normal"/>
    <n v="0.70707944628015507"/>
    <n v="76.024144596305149"/>
    <s v="Normal"/>
    <n v="-0.38801925516169472"/>
    <n v="34.900089212097861"/>
    <x v="1"/>
  </r>
  <r>
    <x v="0"/>
    <x v="1"/>
    <n v="9"/>
    <n v="-1.1581512468940443"/>
    <n v="12.340115991647666"/>
    <s v="Normal"/>
    <n v="-1.1370782610490437"/>
    <n v="12.775278539700139"/>
    <s v="Normal"/>
    <n v="1.8572838273569252"/>
    <n v="96.8364607955222"/>
    <x v="0"/>
  </r>
  <r>
    <x v="0"/>
    <x v="0"/>
    <n v="10"/>
    <n v="-1.0374602387301779"/>
    <n v="14.976070848861491"/>
    <s v="Normal"/>
    <n v="-1.0688419437473771"/>
    <n v="14.257044790684612"/>
    <s v="Normal"/>
    <n v="0.15161743379732925"/>
    <n v="56.02556589009442"/>
    <x v="1"/>
  </r>
  <r>
    <x v="0"/>
    <x v="1"/>
    <n v="9"/>
    <n v="-0.67530604661284566"/>
    <n v="24.974067154873342"/>
    <s v="Normal"/>
    <n v="-0.60980687437841041"/>
    <n v="27.099487359155926"/>
    <s v="Normal"/>
    <n v="1.3846671605389729"/>
    <n v="91.692286749841983"/>
    <x v="0"/>
  </r>
  <r>
    <x v="0"/>
    <x v="1"/>
    <n v="9"/>
    <n v="-1.827418536735897"/>
    <n v="3.3818432171539152"/>
    <s v="Desnutricion"/>
    <n v="-1.5022107983278059"/>
    <n v="6.652133846872041"/>
    <s v="Normal"/>
    <n v="-2.551028872863017"/>
    <n v="0.53702713764330279"/>
    <x v="2"/>
  </r>
  <r>
    <x v="0"/>
    <x v="1"/>
    <n v="9"/>
    <n v="0.58614764908050099"/>
    <n v="72.111185089987202"/>
    <s v="Normal"/>
    <n v="-0.62897980339309778"/>
    <n v="26.468113928521209"/>
    <s v="Normal"/>
    <n v="2.2589949855612539"/>
    <n v="98.805815160130422"/>
    <x v="0"/>
  </r>
  <r>
    <x v="0"/>
    <x v="0"/>
    <n v="10"/>
    <n v="0.33873909965141619"/>
    <n v="63.259685853906532"/>
    <s v="Normal"/>
    <n v="-1.8616612613831642"/>
    <n v="3.1325426126525842"/>
    <s v="Piernas cortas"/>
    <n v="2.6801923854840357"/>
    <n v="99.63210070964746"/>
    <x v="0"/>
  </r>
  <r>
    <x v="0"/>
    <x v="1"/>
    <n v="10"/>
    <n v="-0.64818258459662226"/>
    <n v="25.843343226295957"/>
    <s v="Normal"/>
    <n v="-2.3212804092440957"/>
    <n v="1.0135857429550306"/>
    <s v="Piernas cortas"/>
    <n v="2.1980416984683071"/>
    <n v="98.602693271898247"/>
    <x v="0"/>
  </r>
  <r>
    <x v="0"/>
    <x v="1"/>
    <n v="11"/>
    <n v="-0.37060184615518021"/>
    <n v="35.54670534021561"/>
    <s v="Normal"/>
    <n v="-1.7028598068944383"/>
    <n v="4.4297153668650084"/>
    <s v="Piernas cortas"/>
    <n v="1.1397152934624988"/>
    <n v="87.279753322288784"/>
    <x v="0"/>
  </r>
  <r>
    <x v="0"/>
    <x v="1"/>
    <n v="12"/>
    <n v="-0.57589781451402888"/>
    <n v="28.234212646113733"/>
    <s v="Normal"/>
    <n v="-0.10501714557312657"/>
    <n v="45.818110187465891"/>
    <s v="Normal"/>
    <n v="-0.21022461655655975"/>
    <n v="41.674618379881224"/>
    <x v="1"/>
  </r>
  <r>
    <x v="0"/>
    <x v="0"/>
    <n v="10"/>
    <n v="-0.20171848384685195"/>
    <n v="42.006840580752289"/>
    <s v="Normal"/>
    <n v="-1.4261119270313301"/>
    <n v="7.6918018270212816"/>
    <s v="Normal"/>
    <n v="0.22054200271326085"/>
    <n v="58.72754679488893"/>
    <x v="1"/>
  </r>
  <r>
    <x v="0"/>
    <x v="0"/>
    <n v="10"/>
    <n v="-1.198976636406976"/>
    <n v="11.526851519538882"/>
    <s v="Normal"/>
    <n v="-3.0997118580812608"/>
    <n v="9.6854494124828855E-2"/>
    <s v="Piernas cortas"/>
    <n v="2.4348292119615613"/>
    <n v="99.255059000660907"/>
    <x v="0"/>
  </r>
  <r>
    <x v="0"/>
    <x v="0"/>
    <n v="11"/>
    <n v="-0.83498212356341395"/>
    <n v="20.186388680691998"/>
    <s v="Normal"/>
    <n v="-1.952063906824145"/>
    <n v="2.5465308866290632"/>
    <s v="Piernas cortas"/>
    <n v="2.0731558125107981"/>
    <n v="98.092110940108924"/>
    <x v="0"/>
  </r>
  <r>
    <x v="0"/>
    <x v="0"/>
    <n v="10"/>
    <n v="-1.198976636406976"/>
    <n v="11.526851519538882"/>
    <s v="Normal"/>
    <n v="-1.5170915275475589"/>
    <n v="6.4621788526224009"/>
    <s v="Normal"/>
    <n v="1.998688636856961"/>
    <n v="97.717897338056389"/>
    <x v="0"/>
  </r>
  <r>
    <x v="0"/>
    <x v="0"/>
    <n v="11"/>
    <n v="-0.45815211802715605"/>
    <n v="32.342157871454667"/>
    <s v="Normal"/>
    <n v="-0.69698182214937254"/>
    <n v="24.290708495273076"/>
    <s v="Normal"/>
    <n v="1.5764026975468182"/>
    <n v="94.25334864449411"/>
    <x v="0"/>
  </r>
  <r>
    <x v="0"/>
    <x v="0"/>
    <n v="13"/>
    <n v="-2.3444295563811304"/>
    <n v="0.95281049565392273"/>
    <s v="Desnutricion"/>
    <n v="-0.56871184546472042"/>
    <n v="28.477585386290883"/>
    <s v="Normal"/>
    <n v="-1.1666961259913142"/>
    <n v="12.166655393178599"/>
    <x v="3"/>
  </r>
  <r>
    <x v="0"/>
    <x v="0"/>
    <n v="9"/>
    <n v="-1.9835611960074819"/>
    <n v="2.3652389322477081"/>
    <s v="Desnutricion"/>
    <n v="-0.79745879177121537"/>
    <n v="21.259231315590046"/>
    <s v="Normal"/>
    <n v="-0.78389234357730542"/>
    <n v="21.655164136086182"/>
    <x v="1"/>
  </r>
  <r>
    <x v="0"/>
    <x v="1"/>
    <n v="11"/>
    <n v="-1.6510599072275824"/>
    <n v="4.9363171445939198"/>
    <s v="Desnutricion"/>
    <n v="-1.8955278690925306"/>
    <n v="2.9011251581146995"/>
    <s v="Piernas cortas"/>
    <n v="-0.79435924484653697"/>
    <n v="21.3493161535959"/>
    <x v="1"/>
  </r>
  <r>
    <x v="0"/>
    <x v="0"/>
    <n v="11"/>
    <n v="-1.2062288570173549"/>
    <n v="11.386463008143716"/>
    <s v="Normal"/>
    <n v="-2.6085773593210952E-2"/>
    <n v="48.959446211527428"/>
    <s v="Normal"/>
    <n v="-0.39259538367612401"/>
    <n v="34.730917482661852"/>
    <x v="1"/>
  </r>
  <r>
    <x v="0"/>
    <x v="1"/>
    <n v="10"/>
    <n v="-0.62827226336275266"/>
    <n v="26.491279917810751"/>
    <s v="Normal"/>
    <n v="-1.5271954753356327"/>
    <n v="6.3356205550137421"/>
    <s v="Normal"/>
    <n v="0.59529414505240308"/>
    <n v="72.417656553388923"/>
    <x v="1"/>
  </r>
  <r>
    <x v="0"/>
    <x v="0"/>
    <n v="10"/>
    <n v="8.1853308580893416E-2"/>
    <n v="53.261831793019176"/>
    <s v="Normal"/>
    <n v="-1.1192485331017581"/>
    <n v="13.151706283697804"/>
    <s v="Normal"/>
    <n v="2.1373003850074279"/>
    <n v="98.371321621369077"/>
    <x v="0"/>
  </r>
  <r>
    <x v="0"/>
    <x v="1"/>
    <n v="10"/>
    <n v="-6.0254338176670696E-2"/>
    <n v="47.597653434257417"/>
    <s v="Normal"/>
    <n v="-0.80128494384821802"/>
    <n v="21.148335256326046"/>
    <s v="Normal"/>
    <n v="-0.48166888769539529"/>
    <n v="31.502059051972829"/>
    <x v="1"/>
  </r>
  <r>
    <x v="0"/>
    <x v="1"/>
    <n v="10"/>
    <n v="-0.21287424237289609"/>
    <n v="41.571252676173195"/>
    <s v="Normal"/>
    <n v="-2.015683924662127"/>
    <n v="2.1916518816756394"/>
    <s v="Piernas cortas"/>
    <n v="2.4712037042606161"/>
    <n v="99.326704555558521"/>
    <x v="0"/>
  </r>
  <r>
    <x v="0"/>
    <x v="1"/>
    <n v="10"/>
    <n v="-2.0368110392131644"/>
    <n v="2.08344908139073"/>
    <s v="Desnutricion"/>
    <n v="-1.1644019730706268"/>
    <n v="12.213057418878781"/>
    <s v="Normal"/>
    <n v="-3.6799695784850095E-2"/>
    <n v="48.532235830706561"/>
    <x v="1"/>
  </r>
  <r>
    <x v="0"/>
    <x v="1"/>
    <n v="11"/>
    <n v="0.36250831003088163"/>
    <n v="64.151389263416263"/>
    <s v="Normal"/>
    <n v="-0.8925678218326536"/>
    <n v="18.604432882634146"/>
    <s v="Normal"/>
    <n v="1.1794812006285738"/>
    <n v="88.089669090215423"/>
    <x v="0"/>
  </r>
  <r>
    <x v="0"/>
    <x v="1"/>
    <n v="10"/>
    <n v="0.79828978386139771"/>
    <n v="78.76488274145045"/>
    <s v="Normal"/>
    <n v="-0.89091951384020496"/>
    <n v="18.648617537228727"/>
    <s v="Normal"/>
    <n v="1.9682512884234882"/>
    <n v="97.548043416752307"/>
    <x v="0"/>
  </r>
  <r>
    <x v="0"/>
    <x v="0"/>
    <n v="10"/>
    <n v="-0.89628883847029728"/>
    <n v="18.504925937790738"/>
    <s v="Normal"/>
    <n v="-0.48489413285804783"/>
    <n v="31.387572223834088"/>
    <s v="Normal"/>
    <n v="-0.6745809400269539"/>
    <n v="24.997102289927263"/>
    <x v="1"/>
  </r>
  <r>
    <x v="0"/>
    <x v="0"/>
    <n v="6"/>
    <n v="9.4103400278492191E-2"/>
    <n v="53.748649033074649"/>
    <s v="Normal"/>
    <n v="-0.53689544037974546"/>
    <n v="29.566992037228857"/>
    <s v="Normal"/>
    <n v="0.29708440394598817"/>
    <n v="61.679896450425453"/>
    <x v="1"/>
  </r>
  <r>
    <x v="0"/>
    <x v="0"/>
    <n v="6"/>
    <n v="-0.10689348990141691"/>
    <n v="45.743673895312568"/>
    <s v="Normal"/>
    <n v="-1.114974959392474"/>
    <n v="13.243057621372834"/>
    <s v="Normal"/>
    <n v="-0.27908130006359971"/>
    <n v="39.009121680214363"/>
    <x v="1"/>
  </r>
  <r>
    <x v="0"/>
    <x v="0"/>
    <n v="5"/>
    <n v="-0.92833411483768313"/>
    <n v="17.661714155361221"/>
    <s v="Normal"/>
    <n v="0.19813629681735809"/>
    <n v="57.853078650656556"/>
    <s v="Normal"/>
    <n v="-1.1147023774458087"/>
    <n v="13.248899094640326"/>
    <x v="3"/>
  </r>
  <r>
    <x v="0"/>
    <x v="1"/>
    <n v="5"/>
    <n v="-2.2507274238977413"/>
    <n v="1.2201403359779874"/>
    <s v="Desnutricion"/>
    <n v="-0.70001321556236196"/>
    <n v="24.195952563083129"/>
    <s v="Normal"/>
    <n v="-0.61591253310839456"/>
    <n v="26.897612463624217"/>
    <x v="1"/>
  </r>
  <r>
    <x v="0"/>
    <x v="1"/>
    <n v="6"/>
    <n v="-0.26302339034765504"/>
    <n v="39.626627539150803"/>
    <s v="Normal"/>
    <n v="-0.24906134941826075"/>
    <n v="40.165666310484248"/>
    <s v="Normal"/>
    <n v="1.1062539563516518"/>
    <n v="86.569169260694821"/>
    <x v="0"/>
  </r>
  <r>
    <x v="0"/>
    <x v="1"/>
    <n v="6"/>
    <n v="-0.17040558389718163"/>
    <n v="43.234559052693569"/>
    <s v="Normal"/>
    <n v="-0.7377178872774629"/>
    <n v="23.034295005996004"/>
    <s v="Normal"/>
    <n v="3.2155718456268811"/>
    <n v="99.934907548523924"/>
    <x v="0"/>
  </r>
  <r>
    <x v="0"/>
    <x v="1"/>
    <n v="6"/>
    <n v="0.41719987781723522"/>
    <n v="66.173389272054692"/>
    <s v="Normal"/>
    <n v="-0.82751839283936213"/>
    <n v="20.397165074356817"/>
    <s v="Normal"/>
    <n v="0.55917249423638193"/>
    <n v="71.197799842712499"/>
    <x v="1"/>
  </r>
  <r>
    <x v="0"/>
    <x v="1"/>
    <n v="6"/>
    <n v="2.268294402456231"/>
    <n v="98.834436556454904"/>
    <s v="Alto"/>
    <n v="-0.60338290624598656"/>
    <n v="27.312699556497932"/>
    <s v="Normal"/>
    <n v="4.2549362577739007"/>
    <n v="99.998954457113371"/>
    <x v="0"/>
  </r>
  <r>
    <x v="0"/>
    <x v="0"/>
    <n v="6"/>
    <n v="0.47914477299026131"/>
    <n v="68.408218008120713"/>
    <s v="Normal"/>
    <n v="-1.0366239102154009"/>
    <n v="14.99555828076563"/>
    <s v="Normal"/>
    <n v="0.46250460983320446"/>
    <n v="67.814025135230608"/>
    <x v="1"/>
  </r>
  <r>
    <x v="0"/>
    <x v="0"/>
    <n v="10"/>
    <n v="-4.387308527268365"/>
    <n v="5.7380972423501993E-4"/>
    <s v="Desnutricion"/>
    <n v="-2.1657238478953253"/>
    <n v="1.5166147779868122"/>
    <s v="Piernas cortas"/>
    <n v="1.047886241155489"/>
    <n v="85.265448894763438"/>
    <x v="0"/>
  </r>
  <r>
    <x v="0"/>
    <x v="0"/>
    <n v="6"/>
    <n v="-0.93974998814578248"/>
    <n v="17.36729087369784"/>
    <s v="Normal"/>
    <n v="-1.0795953631656012"/>
    <n v="14.016120358192765"/>
    <s v="Normal"/>
    <n v="0.30075342100437186"/>
    <n v="61.819873528136768"/>
    <x v="1"/>
  </r>
  <r>
    <x v="0"/>
    <x v="0"/>
    <n v="6"/>
    <n v="7.6927593022313973E-2"/>
    <n v="53.065942673674236"/>
    <s v="Normal"/>
    <n v="-2.1482486811527921"/>
    <n v="1.5847002655130633"/>
    <s v="Piernas cortas"/>
    <n v="2.0804958946130903"/>
    <n v="98.125996409996063"/>
    <x v="0"/>
  </r>
  <r>
    <x v="0"/>
    <x v="1"/>
    <n v="6"/>
    <n v="0.51579719446931604"/>
    <n v="69.700196888324882"/>
    <s v="Normal"/>
    <n v="-1.4287489485117075"/>
    <n v="7.6538201758508766"/>
    <s v="Normal"/>
    <n v="5.6104495980631111"/>
    <n v="99.999998990991784"/>
    <x v="0"/>
  </r>
  <r>
    <x v="0"/>
    <x v="1"/>
    <n v="6"/>
    <n v="0.61522240124341421"/>
    <n v="73.079607207472719"/>
    <s v="Normal"/>
    <n v="1.7262045513053244"/>
    <n v="95.784469022809006"/>
    <s v="Piernas largas"/>
    <n v="-2.5987095334711214"/>
    <n v="0.46787458246178693"/>
    <x v="2"/>
  </r>
  <r>
    <x v="0"/>
    <x v="0"/>
    <n v="6"/>
    <n v="-0.56210527430954749"/>
    <n v="28.702214751683996"/>
    <s v="Normal"/>
    <n v="0.61053493031235695"/>
    <n v="72.92462440769684"/>
    <s v="Normal"/>
    <n v="-1.5262834131017982"/>
    <n v="6.3469648841246995"/>
    <x v="3"/>
  </r>
  <r>
    <x v="0"/>
    <x v="0"/>
    <n v="5"/>
    <n v="0.36445234329081977"/>
    <n v="64.223987262244194"/>
    <s v="Normal"/>
    <n v="-0.74470677697780585"/>
    <n v="22.822450069050472"/>
    <s v="Normal"/>
    <n v="1.8561907814385619"/>
    <n v="96.828681519438661"/>
    <x v="0"/>
  </r>
  <r>
    <x v="0"/>
    <x v="0"/>
    <n v="6"/>
    <n v="-1.0451629469187491"/>
    <n v="14.79738326767975"/>
    <s v="Normal"/>
    <n v="-0.92369608087299793"/>
    <n v="17.782228658811743"/>
    <s v="Normal"/>
    <n v="-1.1914741146677417"/>
    <n v="11.673375631936933"/>
    <x v="3"/>
  </r>
  <r>
    <x v="0"/>
    <x v="0"/>
    <n v="5"/>
    <n v="-1.3261461283951448"/>
    <n v="9.2395649668188771"/>
    <s v="Normal"/>
    <n v="-0.42752585573606289"/>
    <n v="33.449817844755799"/>
    <s v="Normal"/>
    <n v="-0.27239133054414683"/>
    <n v="39.266056899979901"/>
    <x v="1"/>
  </r>
  <r>
    <x v="0"/>
    <x v="1"/>
    <n v="8"/>
    <n v="-1.0061260581599163"/>
    <n v="15.717746758157569"/>
    <s v="Normal"/>
    <n v="-2.1475860883558218"/>
    <n v="1.5873325774222939"/>
    <s v="Piernas cortas"/>
    <n v="-0.11658398583976626"/>
    <n v="45.359486431238864"/>
    <x v="1"/>
  </r>
  <r>
    <x v="0"/>
    <x v="0"/>
    <n v="7"/>
    <n v="0.85854467465040718"/>
    <n v="80.47041135500406"/>
    <s v="Normal"/>
    <n v="-0.37438352657373036"/>
    <n v="35.40594985960179"/>
    <s v="Normal"/>
    <n v="-0.37492050612201994"/>
    <n v="35.385979397130562"/>
    <x v="1"/>
  </r>
  <r>
    <x v="0"/>
    <x v="0"/>
    <n v="7"/>
    <n v="0.85770775239244423"/>
    <n v="80.447307089568937"/>
    <s v="Normal"/>
    <n v="-2.1112643766376435"/>
    <n v="1.7374797086947562"/>
    <s v="Piernas cortas"/>
    <n v="1.1635589217301574"/>
    <n v="87.76985966338205"/>
    <x v="0"/>
  </r>
  <r>
    <x v="0"/>
    <x v="0"/>
    <n v="7"/>
    <n v="-0.71806898738848191"/>
    <n v="23.635737551820522"/>
    <s v="Normal"/>
    <n v="1.5438609333562203"/>
    <n v="93.86889870011747"/>
    <s v="Normal"/>
    <n v="2.0840013672545954"/>
    <n v="98.141997855136054"/>
    <x v="0"/>
  </r>
  <r>
    <x v="0"/>
    <x v="1"/>
    <n v="8"/>
    <n v="0.12675941080465566"/>
    <n v="55.043458899690293"/>
    <s v="Normal"/>
    <n v="7.4725843382462576E-2"/>
    <n v="52.978357744522889"/>
    <s v="Normal"/>
    <n v="-3.0759233550126086"/>
    <n v="0.10492589041197929"/>
    <x v="2"/>
  </r>
  <r>
    <x v="0"/>
    <x v="1"/>
    <n v="8"/>
    <n v="-0.4517560987925302"/>
    <n v="32.572234974396828"/>
    <s v="Normal"/>
    <n v="4.3717151877411098E-2"/>
    <n v="51.743506646687401"/>
    <s v="Normal"/>
    <n v="-0.23866879881114669"/>
    <n v="40.568120628471178"/>
    <x v="1"/>
  </r>
  <r>
    <x v="0"/>
    <x v="1"/>
    <n v="9"/>
    <n v="6.1573515507949761E-2"/>
    <n v="52.454876576288676"/>
    <s v="Normal"/>
    <n v="-0.78858687134931427"/>
    <n v="21.517675334806825"/>
    <s v="Normal"/>
    <n v="3.2189668184544531"/>
    <n v="99.935673314188719"/>
    <x v="0"/>
  </r>
  <r>
    <x v="0"/>
    <x v="0"/>
    <n v="9"/>
    <n v="-0.40820589899261317"/>
    <n v="34.15612588507615"/>
    <s v="Normal"/>
    <n v="-1.1472983709754025"/>
    <n v="12.56291635306453"/>
    <s v="Normal"/>
    <n v="1.2645947004950051"/>
    <n v="89.699167311622773"/>
    <x v="0"/>
  </r>
  <r>
    <x v="0"/>
    <x v="0"/>
    <n v="8"/>
    <n v="0.4143398279372541"/>
    <n v="66.068737524182936"/>
    <s v="Normal"/>
    <n v="4.3136861037731261E-2"/>
    <n v="51.720378211224237"/>
    <s v="Normal"/>
    <n v="1.2255931201748762"/>
    <n v="88.982408594631167"/>
    <x v="0"/>
  </r>
  <r>
    <x v="0"/>
    <x v="0"/>
    <n v="9"/>
    <n v="-0.48610775432556563"/>
    <n v="31.344538466551587"/>
    <s v="Normal"/>
    <n v="-0.4384571025713272"/>
    <n v="33.052748011687825"/>
    <s v="Normal"/>
    <n v="-1.1673245487744919"/>
    <n v="12.153966424886603"/>
    <x v="3"/>
  </r>
  <r>
    <x v="0"/>
    <x v="0"/>
    <n v="9"/>
    <n v="2.4234537377788263"/>
    <n v="99.231314437761213"/>
    <s v="Alto"/>
    <n v="-1.1805977899261451"/>
    <n v="11.888127101090101"/>
    <s v="Normal"/>
    <n v="2.0188340620204364"/>
    <n v="97.824776526735562"/>
    <x v="0"/>
  </r>
  <r>
    <x v="0"/>
    <x v="1"/>
    <n v="8"/>
    <n v="-0.47709931690849172"/>
    <n v="31.664570054070907"/>
    <s v="Normal"/>
    <n v="-1.6462602639267994"/>
    <n v="4.9855093343361441"/>
    <s v="Piernas cortas"/>
    <n v="1.1806343736508942"/>
    <n v="88.112599885439806"/>
    <x v="0"/>
  </r>
  <r>
    <x v="0"/>
    <x v="0"/>
    <n v="9"/>
    <n v="-1.9079511953252067E-3"/>
    <n v="49.923883806104918"/>
    <s v="Normal"/>
    <n v="-0.31475385858521837"/>
    <n v="37.647427388780287"/>
    <s v="Normal"/>
    <n v="0.69168142432363433"/>
    <n v="75.543129254132708"/>
    <x v="1"/>
  </r>
  <r>
    <x v="0"/>
    <x v="1"/>
    <n v="9"/>
    <n v="-1.1590063823968033"/>
    <n v="12.322679174680074"/>
    <s v="Normal"/>
    <n v="-1.7524440070228804"/>
    <n v="3.9848744988225966"/>
    <s v="Piernas cortas"/>
    <n v="2.8802433864111701E-2"/>
    <n v="51.148892012813228"/>
    <x v="1"/>
  </r>
  <r>
    <x v="0"/>
    <x v="0"/>
    <n v="8"/>
    <n v="-0.65593014161240959"/>
    <n v="25.593453672680756"/>
    <s v="Normal"/>
    <n v="-0.81303314277945693"/>
    <n v="20.809952816562713"/>
    <s v="Normal"/>
    <n v="0.42164262846089362"/>
    <n v="66.335705682337661"/>
    <x v="1"/>
  </r>
  <r>
    <x v="0"/>
    <x v="0"/>
    <n v="9"/>
    <n v="-0.4058650948048666"/>
    <n v="34.242086313412948"/>
    <s v="Normal"/>
    <n v="6.9826511579564529E-2"/>
    <n v="52.783412725708068"/>
    <s v="Normal"/>
    <n v="0.7041491383475984"/>
    <n v="75.933004921083125"/>
    <x v="1"/>
  </r>
  <r>
    <x v="0"/>
    <x v="1"/>
    <n v="9"/>
    <n v="-1.6682759388959867"/>
    <n v="4.7630481037742971"/>
    <s v="Desnutricion"/>
    <n v="-0.94439054049515381"/>
    <n v="17.2485056807893"/>
    <s v="Normal"/>
    <n v="-0.70408138418487309"/>
    <n v="24.069104625686833"/>
    <x v="1"/>
  </r>
  <r>
    <x v="0"/>
    <x v="1"/>
    <n v="10"/>
    <n v="-0.56662866675215506"/>
    <n v="28.548324717162888"/>
    <s v="Normal"/>
    <n v="-0.8157174285276203"/>
    <n v="20.733088428455297"/>
    <s v="Normal"/>
    <n v="1.8114146965859341"/>
    <n v="96.496165865084492"/>
    <x v="0"/>
  </r>
  <r>
    <x v="0"/>
    <x v="1"/>
    <n v="10"/>
    <n v="0.87061184619625398"/>
    <n v="80.801693696302436"/>
    <s v="Normal"/>
    <n v="1.9001472003080715E-2"/>
    <n v="50.75800344330743"/>
    <s v="Normal"/>
    <n v="-0.20535333075303536"/>
    <n v="41.864803992833863"/>
    <x v="1"/>
  </r>
  <r>
    <x v="0"/>
    <x v="0"/>
    <n v="11"/>
    <n v="-0.32289876353035579"/>
    <n v="37.338595637935441"/>
    <s v="Normal"/>
    <n v="-1.3687424607592813"/>
    <n v="8.553989628441574"/>
    <s v="Normal"/>
    <n v="2.3671579543072552"/>
    <n v="99.10373596550815"/>
    <x v="0"/>
  </r>
  <r>
    <x v="0"/>
    <x v="0"/>
    <n v="11"/>
    <n v="1.5213190243952899"/>
    <n v="93.591010080337767"/>
    <s v="Normal"/>
    <n v="0.30815365041334786"/>
    <n v="62.101729049969002"/>
    <s v="Normal"/>
    <n v="4.0796837277686142E-3"/>
    <n v="50.162755381488608"/>
    <x v="1"/>
  </r>
  <r>
    <x v="1"/>
    <x v="0"/>
    <n v="4"/>
    <n v="1.0223446226548947"/>
    <n v="84.66910897721452"/>
    <s v="Normal"/>
    <n v="-1.0449687957894231"/>
    <n v="14.801869583832975"/>
    <s v="Normal"/>
    <n v="1.0782716506236525"/>
    <n v="85.954372768513224"/>
    <x v="0"/>
  </r>
  <r>
    <x v="1"/>
    <x v="0"/>
    <n v="4"/>
    <n v="-1.9151940258239506"/>
    <n v="2.7733882049446037"/>
    <s v="Desnutricion"/>
    <n v="0.48780449909209267"/>
    <n v="68.715583784016872"/>
    <s v="Normal"/>
    <n v="2.2998135775056494"/>
    <n v="98.927060804903135"/>
    <x v="0"/>
  </r>
  <r>
    <x v="1"/>
    <x v="0"/>
    <n v="4"/>
    <n v="-1.5626627909162658"/>
    <n v="5.9065965365023656"/>
    <s v="Normal"/>
    <n v="-1.9920878639301964"/>
    <n v="2.3180709147529366"/>
    <s v="Piernas cortas"/>
    <n v="0.89728726618920185"/>
    <n v="81.521717522308009"/>
    <x v="1"/>
  </r>
  <r>
    <x v="1"/>
    <x v="1"/>
    <n v="3"/>
    <n v="-1.8674476065922416"/>
    <n v="3.0919553472769445"/>
    <s v="Desnutricion"/>
    <n v="-0.35618388203598339"/>
    <n v="36.085143087272691"/>
    <s v="Normal"/>
    <n v="0.30109516461762631"/>
    <n v="61.83290359394249"/>
    <x v="1"/>
  </r>
  <r>
    <x v="1"/>
    <x v="1"/>
    <n v="3"/>
    <n v="-1.1317315932288114"/>
    <n v="12.887364743793601"/>
    <s v="Normal"/>
    <n v="1.0213156936919496"/>
    <n v="84.644755329590012"/>
    <s v="Normal"/>
    <n v="2.238501257191779E-2"/>
    <n v="50.892958220377452"/>
    <x v="1"/>
  </r>
  <r>
    <x v="1"/>
    <x v="1"/>
    <n v="4"/>
    <n v="-1.2854096400427388"/>
    <n v="9.9324587143802372"/>
    <s v="Normal"/>
    <n v="-9.3970195159689948E-2"/>
    <n v="46.256641638027425"/>
    <s v="Normal"/>
    <n v="0.25844120705306228"/>
    <n v="60.196679108407046"/>
    <x v="1"/>
  </r>
  <r>
    <x v="1"/>
    <x v="0"/>
    <n v="4"/>
    <n v="-0.61336997824985207"/>
    <n v="26.981586610309648"/>
    <s v="Normal"/>
    <n v="0.21202582706685014"/>
    <n v="58.395655736189966"/>
    <s v="Normal"/>
    <n v="0.91391071053870709"/>
    <n v="81.961811736339314"/>
    <x v="1"/>
  </r>
  <r>
    <x v="1"/>
    <x v="1"/>
    <n v="5"/>
    <n v="-0.50681484890726403"/>
    <n v="30.614236827250739"/>
    <s v="Normal"/>
    <n v="-0.80666991529339571"/>
    <n v="20.992834067025104"/>
    <s v="Normal"/>
    <n v="1.4624355260382313"/>
    <n v="92.81890499265603"/>
    <x v="0"/>
  </r>
  <r>
    <x v="1"/>
    <x v="0"/>
    <n v="5"/>
    <n v="-1.7684776664541455"/>
    <n v="3.8490541311852535"/>
    <s v="Desnutricion"/>
    <n v="6.6054591063554061E-2"/>
    <n v="52.633281853379252"/>
    <s v="Normal"/>
    <n v="0.36465734659589272"/>
    <n v="64.231639915022342"/>
    <x v="1"/>
  </r>
  <r>
    <x v="1"/>
    <x v="1"/>
    <n v="5"/>
    <n v="-1.8924237778669124"/>
    <n v="2.9217270203828747"/>
    <s v="Desnutricion"/>
    <n v="-2.5450154163552994"/>
    <n v="0.54636456912972142"/>
    <s v="Piernas cortas"/>
    <n v="1.0430198196644769"/>
    <n v="85.153044325848327"/>
    <x v="0"/>
  </r>
  <r>
    <x v="1"/>
    <x v="0"/>
    <n v="5"/>
    <n v="-0.50945723473381144"/>
    <n v="30.521588346978991"/>
    <s v="Normal"/>
    <n v="-0.42752585573606289"/>
    <n v="33.449817844755799"/>
    <s v="Normal"/>
    <n v="-0.35280566270804786"/>
    <n v="36.211706910177035"/>
    <x v="1"/>
  </r>
  <r>
    <x v="1"/>
    <x v="1"/>
    <n v="5"/>
    <n v="-1.9915204117241241"/>
    <n v="2.3211851732440447"/>
    <s v="Desnutricion"/>
    <n v="-0.67103233751897473"/>
    <n v="25.109996461515692"/>
    <s v="Normal"/>
    <n v="0.66696605738564074"/>
    <n v="74.760309267577867"/>
    <x v="1"/>
  </r>
  <r>
    <x v="1"/>
    <x v="1"/>
    <n v="4"/>
    <n v="-0.84814410279819552"/>
    <n v="19.81788613409061"/>
    <s v="Normal"/>
    <n v="1.0051946832313068"/>
    <n v="84.259844259053423"/>
    <s v="Normal"/>
    <n v="2.209001817924474E-2"/>
    <n v="50.881192556310076"/>
    <x v="1"/>
  </r>
  <r>
    <x v="1"/>
    <x v="0"/>
    <n v="4"/>
    <n v="0.29455469293953035"/>
    <n v="61.583296147569143"/>
    <s v="Normal"/>
    <n v="0.75302665423905035"/>
    <n v="77.42830514229297"/>
    <s v="Normal"/>
    <n v="-0.34224867893941002"/>
    <n v="36.60818770858171"/>
    <x v="1"/>
  </r>
  <r>
    <x v="1"/>
    <x v="0"/>
    <n v="5"/>
    <n v="-0.75335172026152097"/>
    <n v="22.561929338786662"/>
    <s v="Normal"/>
    <n v="1.285018196057262"/>
    <n v="90.060703722501501"/>
    <s v="Normal"/>
    <n v="-1.3469699797282495"/>
    <n v="8.8994950707240186"/>
    <x v="3"/>
  </r>
  <r>
    <x v="1"/>
    <x v="1"/>
    <n v="5"/>
    <n v="-0.93101643828351133"/>
    <n v="17.592253052244857"/>
    <s v="Normal"/>
    <n v="-0.69558883408362249"/>
    <n v="24.334318042937696"/>
    <s v="Normal"/>
    <n v="-1.6931504766136962"/>
    <n v="4.5213414175202553"/>
    <x v="2"/>
  </r>
  <r>
    <x v="1"/>
    <x v="0"/>
    <n v="5"/>
    <n v="-1.166702092136924"/>
    <n v="12.166534882382921"/>
    <s v="Normal"/>
    <n v="-0.12478816675522819"/>
    <n v="45.034562786105781"/>
    <s v="Normal"/>
    <n v="0.77592226160889677"/>
    <n v="78.110255626545907"/>
    <x v="1"/>
  </r>
  <r>
    <x v="1"/>
    <x v="1"/>
    <n v="5"/>
    <n v="0.25946431277480897"/>
    <n v="60.236149316924894"/>
    <s v="Normal"/>
    <n v="-2.2339283791645714"/>
    <n v="1.2743892964570431"/>
    <s v="Piernas cortas"/>
    <n v="3.9165081952480163"/>
    <n v="99.995507961842662"/>
    <x v="0"/>
  </r>
  <r>
    <x v="1"/>
    <x v="0"/>
    <n v="4"/>
    <n v="0.18193092335232774"/>
    <n v="57.218153193397626"/>
    <s v="Normal"/>
    <n v="0.49965816157929949"/>
    <n v="69.134210153546988"/>
    <s v="Normal"/>
    <n v="1.5169084364737215"/>
    <n v="93.535509834743095"/>
    <x v="0"/>
  </r>
  <r>
    <x v="1"/>
    <x v="1"/>
    <n v="5"/>
    <n v="-0.82217781151570624"/>
    <n v="20.548785255638499"/>
    <s v="Normal"/>
    <n v="-0.37934648160243223"/>
    <n v="35.221529356735168"/>
    <s v="Normal"/>
    <n v="0.98553155989267338"/>
    <n v="83.78184814566221"/>
    <x v="1"/>
  </r>
  <r>
    <x v="1"/>
    <x v="1"/>
    <n v="4"/>
    <n v="0.24796086605367362"/>
    <n v="59.791765713845521"/>
    <s v="Normal"/>
    <n v="0.58651193269965618"/>
    <n v="72.123422746483996"/>
    <s v="Normal"/>
    <n v="0.30669489813670592"/>
    <n v="62.046219326913985"/>
    <x v="1"/>
  </r>
  <r>
    <x v="1"/>
    <x v="1"/>
    <n v="5"/>
    <n v="0.24262719224332768"/>
    <n v="59.585289291294508"/>
    <s v="Normal"/>
    <n v="-1.2741163718030983"/>
    <n v="10.131108853692917"/>
    <s v="Normal"/>
    <n v="2.4790360395930922"/>
    <n v="99.341310028031955"/>
    <x v="0"/>
  </r>
  <r>
    <x v="1"/>
    <x v="1"/>
    <n v="4"/>
    <n v="-0.9547536237188875"/>
    <n v="16.985115253886789"/>
    <s v="Normal"/>
    <n v="0.29227826698688264"/>
    <n v="61.496306293799371"/>
    <s v="Normal"/>
    <n v="0.70111131206718214"/>
    <n v="75.838322433136099"/>
    <x v="1"/>
  </r>
  <r>
    <x v="1"/>
    <x v="1"/>
    <n v="4"/>
    <n v="-1.2854096400427388"/>
    <n v="9.9324587143802372"/>
    <s v="Normal"/>
    <n v="0.12995844543717919"/>
    <n v="55.170034823094369"/>
    <s v="Normal"/>
    <n v="0.53874142383947199"/>
    <n v="70.496735667612299"/>
    <x v="1"/>
  </r>
  <r>
    <x v="1"/>
    <x v="0"/>
    <n v="3"/>
    <n v="-0.53022680661738031"/>
    <n v="29.797734358787974"/>
    <s v="Normal"/>
    <n v="5.4277545320889097E-2"/>
    <n v="52.1642980292891"/>
    <s v="Normal"/>
    <n v="-0.84028947761814143"/>
    <n v="20.037304986882244"/>
    <x v="1"/>
  </r>
  <r>
    <x v="1"/>
    <x v="1"/>
    <n v="3"/>
    <n v="-1.6105638764081873"/>
    <n v="5.3637406284311444"/>
    <s v="Normal"/>
    <n v="0.68659183686003578"/>
    <n v="75.383001298697863"/>
    <s v="Normal"/>
    <n v="-2.362013517465868E-2"/>
    <n v="49.057780554216244"/>
    <x v="1"/>
  </r>
  <r>
    <x v="1"/>
    <x v="0"/>
    <n v="3"/>
    <n v="-2.1975827730321735"/>
    <n v="1.3989425982179646"/>
    <s v="Desnutricion"/>
    <n v="-0.1683637334294931"/>
    <n v="43.314856866194951"/>
    <s v="Normal"/>
    <n v="0.84895724786097804"/>
    <n v="80.204745909598827"/>
    <x v="1"/>
  </r>
  <r>
    <x v="1"/>
    <x v="1"/>
    <n v="2"/>
    <n v="-0.93529502067988712"/>
    <n v="17.481814035338232"/>
    <s v="Normal"/>
    <n v="-0.14233671476709586"/>
    <n v="44.340702377622478"/>
    <s v="Normal"/>
    <n v="-0.51880845129179132"/>
    <n v="30.194716192288851"/>
    <x v="1"/>
  </r>
  <r>
    <x v="1"/>
    <x v="0"/>
    <n v="2"/>
    <n v="-2.2194069844490976"/>
    <n v="1.3229524461074191"/>
    <s v="Desnutricion"/>
    <n v="-0.29233519474879149"/>
    <n v="38.501517598352386"/>
    <s v="Normal"/>
    <n v="1.2301158185854588"/>
    <n v="89.067313137100044"/>
    <x v="0"/>
  </r>
  <r>
    <x v="1"/>
    <x v="1"/>
    <n v="3"/>
    <n v="-0.61153224027067421"/>
    <n v="27.042364060820677"/>
    <s v="Normal"/>
    <n v="1.0444181389579772"/>
    <n v="85.185401249360496"/>
    <s v="Normal"/>
    <n v="0.31990051045852091"/>
    <n v="62.547812454984907"/>
    <x v="1"/>
  </r>
  <r>
    <x v="1"/>
    <x v="1"/>
    <n v="3"/>
    <n v="-1.9801502940252083"/>
    <n v="2.384332160726061"/>
    <s v="Desnutricion"/>
    <n v="1.4249937045086871"/>
    <n v="92.2920489540885"/>
    <s v="Normal"/>
    <n v="-0.76007991910139872"/>
    <n v="22.360340754889602"/>
    <x v="1"/>
  </r>
  <r>
    <x v="1"/>
    <x v="0"/>
    <n v="2"/>
    <n v="-1.1566380263371678"/>
    <n v="12.371013968615637"/>
    <s v="Normal"/>
    <n v="-0.36349111256551825"/>
    <n v="35.811902536585549"/>
    <s v="Normal"/>
    <n v="-1.2078248140826515"/>
    <n v="11.355732730604897"/>
    <x v="3"/>
  </r>
  <r>
    <x v="1"/>
    <x v="0"/>
    <n v="4"/>
    <n v="-3.9160235555188403"/>
    <n v="4.5010728181255552E-3"/>
    <s v="Desnutricion"/>
    <n v="-0.73849335090389723"/>
    <n v="23.010735309228"/>
    <s v="Normal"/>
    <n v="-0.19040548961456702"/>
    <n v="42.449569813719926"/>
    <x v="1"/>
  </r>
  <r>
    <x v="1"/>
    <x v="1"/>
    <n v="4"/>
    <n v="7.5471033953068714E-2"/>
    <n v="53.008002832599175"/>
    <s v="Normal"/>
    <n v="1.3945101400829938"/>
    <n v="91.841819519935626"/>
    <s v="Normal"/>
    <n v="-4.1640075761818836E-2"/>
    <n v="48.339281254718216"/>
    <x v="1"/>
  </r>
  <r>
    <x v="1"/>
    <x v="1"/>
    <n v="4"/>
    <n v="-0.48279504338498413"/>
    <n v="31.462063527249619"/>
    <s v="Normal"/>
    <n v="0.88196651052663089"/>
    <n v="81.110254110885904"/>
    <s v="Normal"/>
    <n v="0.54998208962996487"/>
    <n v="70.883417093005647"/>
    <x v="1"/>
  </r>
  <r>
    <x v="1"/>
    <x v="0"/>
    <n v="4"/>
    <n v="0.52670687842150321"/>
    <n v="70.080142087281587"/>
    <s v="Normal"/>
    <n v="2.4981871139628593"/>
    <n v="99.375848576188673"/>
    <s v="Piernas largas"/>
    <n v="-0.4169567226051954"/>
    <n v="33.835503147600008"/>
    <x v="1"/>
  </r>
  <r>
    <x v="1"/>
    <x v="0"/>
    <n v="4"/>
    <n v="-1.1448666114843926"/>
    <n v="12.613220839032937"/>
    <s v="Normal"/>
    <n v="1.1962743248798307"/>
    <n v="88.420523763325164"/>
    <s v="Normal"/>
    <n v="-0.59833012372055849"/>
    <n v="27.480984020221083"/>
    <x v="1"/>
  </r>
  <r>
    <x v="1"/>
    <x v="1"/>
    <n v="3"/>
    <n v="-1.1317315932288114"/>
    <n v="12.887364743793601"/>
    <s v="Normal"/>
    <n v="-1.0791216511942186E-2"/>
    <n v="49.569501102949715"/>
    <s v="Normal"/>
    <n v="-0.41065835962543978"/>
    <n v="34.066153213919272"/>
    <x v="1"/>
  </r>
  <r>
    <x v="1"/>
    <x v="1"/>
    <n v="4"/>
    <n v="-0.61705098705762318"/>
    <n v="26.860054783191533"/>
    <s v="Normal"/>
    <n v="1.3161933135675652"/>
    <n v="90.594541631704274"/>
    <s v="Normal"/>
    <n v="0.7366304974130693"/>
    <n v="76.932645825528638"/>
    <x v="1"/>
  </r>
  <r>
    <x v="1"/>
    <x v="0"/>
    <n v="4"/>
    <n v="-0.49422634580787839"/>
    <n v="31.057316771503217"/>
    <s v="Normal"/>
    <n v="-0.91761725241421033"/>
    <n v="17.940964121338336"/>
    <s v="Normal"/>
    <n v="-1.2311938483352129"/>
    <n v="10.912518582612567"/>
    <x v="3"/>
  </r>
  <r>
    <x v="1"/>
    <x v="0"/>
    <n v="4"/>
    <n v="-1.4648918194214124"/>
    <n v="7.1475217537710272"/>
    <s v="Normal"/>
    <n v="0.45482950277585393"/>
    <n v="67.538404827314565"/>
    <s v="Normal"/>
    <n v="-0.64787171958918655"/>
    <n v="25.853396170375021"/>
    <x v="1"/>
  </r>
  <r>
    <x v="1"/>
    <x v="0"/>
    <n v="4"/>
    <n v="-0.59682608674237903"/>
    <n v="27.531174964021531"/>
    <s v="Normal"/>
    <n v="0.16063857272745441"/>
    <n v="56.381096361990537"/>
    <s v="Normal"/>
    <n v="-0.59511420213035626"/>
    <n v="27.588356797044533"/>
    <x v="1"/>
  </r>
  <r>
    <x v="1"/>
    <x v="1"/>
    <n v="3"/>
    <n v="-1.9889489454196536"/>
    <n v="2.3353419256684296"/>
    <s v="Desnutricion"/>
    <n v="1.8166091025596425"/>
    <n v="96.536150566420659"/>
    <s v="Piernas largas"/>
    <n v="-0.16060776489888612"/>
    <n v="43.620116939689261"/>
    <x v="1"/>
  </r>
  <r>
    <x v="1"/>
    <x v="1"/>
    <n v="4"/>
    <n v="-1.5086353990531864"/>
    <n v="6.5695991343675262"/>
    <s v="Normal"/>
    <n v="-0.55059857364179199"/>
    <n v="29.095444343487497"/>
    <s v="Normal"/>
    <n v="-1.2879518542727739"/>
    <n v="9.8881361632604268"/>
    <x v="3"/>
  </r>
  <r>
    <x v="1"/>
    <x v="0"/>
    <n v="4"/>
    <n v="1.3907322373657516"/>
    <n v="91.784668093882928"/>
    <s v="Normal"/>
    <n v="-0.26146752487498609"/>
    <n v="39.686599502991918"/>
    <s v="Normal"/>
    <n v="1.4357936605242236"/>
    <n v="92.446946786580511"/>
    <x v="0"/>
  </r>
  <r>
    <x v="1"/>
    <x v="1"/>
    <n v="4"/>
    <n v="-1.396941768034484"/>
    <n v="8.1215541497642967"/>
    <s v="Normal"/>
    <n v="-0.75802705668594317"/>
    <n v="22.421739266812164"/>
    <s v="Normal"/>
    <n v="-1.1796367768925684"/>
    <n v="11.907235461536807"/>
    <x v="3"/>
  </r>
  <r>
    <x v="1"/>
    <x v="1"/>
    <n v="4"/>
    <n v="1.1141246075191358"/>
    <n v="86.738713337227153"/>
    <s v="Normal"/>
    <n v="-0.56735105060809454"/>
    <n v="28.523784966883557"/>
    <s v="Normal"/>
    <n v="0.91235430082830948"/>
    <n v="81.920888097997619"/>
    <x v="1"/>
  </r>
  <r>
    <x v="1"/>
    <x v="1"/>
    <n v="4"/>
    <n v="-0.27378153773725367"/>
    <n v="39.21262562363637"/>
    <s v="Normal"/>
    <n v="-0.30502729742142987"/>
    <n v="38.017268103377276"/>
    <s v="Normal"/>
    <n v="0.95236569070215871"/>
    <n v="82.954422341139619"/>
    <x v="1"/>
  </r>
  <r>
    <x v="1"/>
    <x v="1"/>
    <n v="4"/>
    <n v="-0.72304562985614573"/>
    <n v="23.482592549602849"/>
    <s v="Normal"/>
    <n v="0.18347526451943913"/>
    <n v="57.278743731066648"/>
    <s v="Normal"/>
    <n v="-0.42834961855020143"/>
    <n v="33.419829954596167"/>
    <x v="1"/>
  </r>
  <r>
    <x v="1"/>
    <x v="0"/>
    <n v="4"/>
    <n v="-0.53380104254894201"/>
    <n v="29.673959619978994"/>
    <s v="Normal"/>
    <n v="-0.20386506906521204"/>
    <n v="41.922947132089377"/>
    <s v="Normal"/>
    <n v="0.29829674349678587"/>
    <n v="61.726165523232254"/>
    <x v="1"/>
  </r>
  <r>
    <x v="1"/>
    <x v="0"/>
    <n v="4"/>
    <n v="0.3866646082661524"/>
    <n v="65.049773974914473"/>
    <s v="Normal"/>
    <n v="0.40142307056409465"/>
    <n v="65.594566669914229"/>
    <s v="Normal"/>
    <n v="1.1148439900071347"/>
    <n v="86.754135906000585"/>
    <x v="0"/>
  </r>
  <r>
    <x v="1"/>
    <x v="0"/>
    <n v="3"/>
    <n v="-0.5992861735092424"/>
    <n v="27.449103322426073"/>
    <s v="Normal"/>
    <n v="0.4461241695044304"/>
    <n v="67.224622254266706"/>
    <s v="Normal"/>
    <n v="0.58767328607111979"/>
    <n v="72.162419514626279"/>
    <x v="1"/>
  </r>
  <r>
    <x v="1"/>
    <x v="0"/>
    <n v="4"/>
    <n v="-1.252799070888613"/>
    <n v="10.513941993941714"/>
    <s v="Normal"/>
    <n v="-3.3432058587297371E-2"/>
    <n v="48.666502244464745"/>
    <s v="Normal"/>
    <n v="0.35245846137540804"/>
    <n v="63.775276736630005"/>
    <x v="1"/>
  </r>
  <r>
    <x v="1"/>
    <x v="1"/>
    <n v="4"/>
    <n v="-2.091463048794771"/>
    <n v="1.8243287736124998"/>
    <s v="Desnutricion"/>
    <n v="-2.2944224497644736"/>
    <n v="1.088312242986935"/>
    <s v="Piernas cortas"/>
    <n v="0.73991131513475528"/>
    <n v="77.032309591460006"/>
    <x v="1"/>
  </r>
  <r>
    <x v="1"/>
    <x v="0"/>
    <n v="4"/>
    <n v="-7.3568217141396136E-2"/>
    <n v="47.067698081543213"/>
    <s v="Normal"/>
    <n v="-1.1104094419930204"/>
    <n v="13.341131566960568"/>
    <s v="Normal"/>
    <n v="1.1744503074287804"/>
    <n v="87.989264752683113"/>
    <x v="0"/>
  </r>
  <r>
    <x v="1"/>
    <x v="0"/>
    <n v="4"/>
    <n v="-1.5626627909162658"/>
    <n v="5.9065965365023656"/>
    <s v="Normal"/>
    <n v="-0.6105730168537512"/>
    <n v="27.074114536546901"/>
    <s v="Normal"/>
    <n v="0.75996337594371843"/>
    <n v="77.636176149025559"/>
    <x v="1"/>
  </r>
  <r>
    <x v="1"/>
    <x v="0"/>
    <n v="4"/>
    <n v="-1.6910042232465317"/>
    <n v="4.5417998027349133"/>
    <s v="Desnutricion"/>
    <n v="0.13926698855089917"/>
    <n v="55.538041252386215"/>
    <s v="Normal"/>
    <n v="-0.5825163960333638"/>
    <n v="28.010945039989288"/>
    <x v="1"/>
  </r>
  <r>
    <x v="1"/>
    <x v="1"/>
    <n v="4"/>
    <n v="-0.80776215013774555"/>
    <n v="20.961375898282697"/>
    <s v="Normal"/>
    <n v="0.60407013007999155"/>
    <n v="72.71014912834957"/>
    <s v="Normal"/>
    <n v="-0.56603550874462716"/>
    <n v="28.568482111083927"/>
    <x v="1"/>
  </r>
  <r>
    <x v="1"/>
    <x v="1"/>
    <n v="4"/>
    <n v="-1.7450314915211436"/>
    <n v="4.0489693709218688"/>
    <s v="Desnutricion"/>
    <n v="-0.79297524302059053"/>
    <n v="21.389612344771709"/>
    <s v="Normal"/>
    <n v="0.3292620327014113"/>
    <n v="62.902118047001863"/>
    <x v="1"/>
  </r>
  <r>
    <x v="1"/>
    <x v="0"/>
    <n v="3"/>
    <n v="0.43671156342683753"/>
    <n v="66.883972894747785"/>
    <s v="Normal"/>
    <n v="8.8472834278789214E-2"/>
    <n v="53.524956262034983"/>
    <s v="Normal"/>
    <n v="0.92440627109446527"/>
    <n v="82.236258454923444"/>
    <x v="1"/>
  </r>
  <r>
    <x v="1"/>
    <x v="1"/>
    <n v="5"/>
    <n v="-0.82001129172818532"/>
    <n v="20.610483504763078"/>
    <s v="Normal"/>
    <n v="-1.0918000576972411"/>
    <n v="13.746049684741823"/>
    <s v="Normal"/>
    <n v="-0.44017244119898874"/>
    <n v="32.99061090565791"/>
    <x v="1"/>
  </r>
  <r>
    <x v="1"/>
    <x v="1"/>
    <n v="5"/>
    <n v="-1.0385062363738089"/>
    <n v="14.951721668980964"/>
    <s v="Normal"/>
    <n v="-1.4107804186487471"/>
    <n v="7.9154684993386946"/>
    <s v="Normal"/>
    <n v="0.78134151355157366"/>
    <n v="78.269916999077793"/>
    <x v="1"/>
  </r>
  <r>
    <x v="1"/>
    <x v="0"/>
    <n v="5"/>
    <n v="-0.53904190597384583"/>
    <n v="29.492896970855632"/>
    <s v="Normal"/>
    <n v="-0.17615799665337031"/>
    <n v="43.008490925281386"/>
    <s v="Normal"/>
    <n v="1.8603720324408091"/>
    <n v="96.858354563630925"/>
    <x v="0"/>
  </r>
  <r>
    <x v="1"/>
    <x v="0"/>
    <n v="4"/>
    <n v="-1.0377739719681649"/>
    <n v="14.968764857034254"/>
    <s v="Normal"/>
    <n v="0.13415331189828822"/>
    <n v="55.335932809771712"/>
    <s v="Normal"/>
    <n v="6.9539297280642759E-2"/>
    <n v="52.771982318081214"/>
    <x v="1"/>
  </r>
  <r>
    <x v="1"/>
    <x v="0"/>
    <n v="5"/>
    <n v="0.27138307274275447"/>
    <n v="60.695179014747936"/>
    <s v="Normal"/>
    <n v="-0.77591558138104666"/>
    <n v="21.88994160110752"/>
    <s v="Normal"/>
    <n v="3.1575253316033551"/>
    <n v="99.920442794214324"/>
    <x v="0"/>
  </r>
  <r>
    <x v="1"/>
    <x v="1"/>
    <n v="3"/>
    <n v="0.92408821238438821"/>
    <n v="82.227980500563646"/>
    <s v="Normal"/>
    <n v="-0.35100224723945178"/>
    <n v="36.279333124031787"/>
    <s v="Normal"/>
    <n v="-0.11719707396863781"/>
    <n v="45.335194278819635"/>
    <x v="1"/>
  </r>
  <r>
    <x v="2"/>
    <x v="1"/>
    <n v="7"/>
    <n v="0.24784067641612462"/>
    <n v="59.787115934409506"/>
    <s v="Normal"/>
    <n v="-0.37094348438249453"/>
    <n v="35.53398130747194"/>
    <s v="Normal"/>
    <n v="0.88775573014982079"/>
    <n v="81.266391957774218"/>
    <x v="1"/>
  </r>
  <r>
    <x v="2"/>
    <x v="0"/>
    <n v="12"/>
    <n v="0.43105678911511802"/>
    <n v="66.678646058789212"/>
    <s v="Normal"/>
    <n v="-0.17842542020479563"/>
    <n v="42.919444358257735"/>
    <s v="Normal"/>
    <n v="1.5662971687977032"/>
    <n v="94.13604682432279"/>
    <x v="4"/>
  </r>
  <r>
    <x v="2"/>
    <x v="0"/>
    <n v="5"/>
    <n v="0.26510192583468667"/>
    <n v="60.45345280996407"/>
    <s v="Normal"/>
    <n v="-1.385699140837799"/>
    <n v="8.2919395329092822"/>
    <s v="Normal"/>
    <n v="-0.39734590945666565"/>
    <n v="34.555619855511644"/>
    <x v="1"/>
  </r>
  <r>
    <x v="2"/>
    <x v="1"/>
    <n v="7"/>
    <n v="1.1830885119486818"/>
    <n v="88.161296485716505"/>
    <s v="Normal"/>
    <n v="-0.54173194937461766"/>
    <n v="29.400158837493407"/>
    <s v="Normal"/>
    <n v="1.2739044627827243"/>
    <n v="89.865136169394816"/>
    <x v="4"/>
  </r>
  <r>
    <x v="2"/>
    <x v="1"/>
    <n v="10"/>
    <n v="1.6146764993000053"/>
    <n v="94.680961532514758"/>
    <s v="Normal"/>
    <n v="1.2289029858781169"/>
    <n v="89.044590907949654"/>
    <s v="Normal"/>
    <n v="2.4798495915763339"/>
    <n v="99.342810932647311"/>
    <x v="0"/>
  </r>
  <r>
    <x v="2"/>
    <x v="1"/>
    <n v="9"/>
    <n v="1.6633223903473833"/>
    <n v="95.187604044316714"/>
    <s v="Alto"/>
    <n v="-1.4427463384241581"/>
    <n v="7.4545970271324311"/>
    <s v="Normal"/>
    <n v="2.1254575075540405"/>
    <n v="98.32257719412604"/>
    <x v="0"/>
  </r>
  <r>
    <x v="2"/>
    <x v="0"/>
    <n v="6"/>
    <n v="1.4232474720086099"/>
    <n v="92.266778581424802"/>
    <s v="Normal"/>
    <n v="0.49404183975337451"/>
    <n v="68.936168442250363"/>
    <s v="Normal"/>
    <n v="0.98990319392608428"/>
    <n v="83.888928088510525"/>
    <x v="1"/>
  </r>
  <r>
    <x v="2"/>
    <x v="0"/>
    <n v="10"/>
    <n v="1.776499994704593"/>
    <n v="96.21747286040916"/>
    <s v="Alto"/>
    <n v="-0.81949842918253013"/>
    <n v="20.62510489032724"/>
    <s v="Normal"/>
    <n v="-0.38669851338686129"/>
    <n v="34.948970842416053"/>
    <x v="1"/>
  </r>
  <r>
    <x v="2"/>
    <x v="1"/>
    <n v="10"/>
    <n v="2.5449192365828419"/>
    <n v="99.45348492209672"/>
    <s v="Alto"/>
    <n v="-1.2653296717214157"/>
    <n v="10.287658716284273"/>
    <s v="Normal"/>
    <n v="3.4780933136428684"/>
    <n v="99.97475029532842"/>
    <x v="0"/>
  </r>
  <r>
    <x v="2"/>
    <x v="1"/>
    <n v="8"/>
    <n v="1.898868359126398"/>
    <n v="97.120910677775356"/>
    <s v="Alto"/>
    <n v="-0.83431005119467561"/>
    <n v="20.205314467032231"/>
    <s v="Normal"/>
    <n v="3.8578177022793705"/>
    <n v="99.994279803875713"/>
    <x v="0"/>
  </r>
  <r>
    <x v="2"/>
    <x v="0"/>
    <n v="5"/>
    <n v="3.0949939079669861"/>
    <n v="99.901591530214532"/>
    <s v="Alto"/>
    <n v="-6.2105641732824396E-3"/>
    <n v="49.75223592936991"/>
    <s v="Normal"/>
    <n v="3.5318949339453044E-2"/>
    <n v="51.408729331554312"/>
    <x v="1"/>
  </r>
  <r>
    <x v="2"/>
    <x v="1"/>
    <n v="5"/>
    <n v="-0.61139319580076734"/>
    <n v="27.046965305525404"/>
    <s v="Normal"/>
    <n v="-1.7666891149816752"/>
    <n v="3.8640153654482368"/>
    <s v="Piernas cortas"/>
    <n v="-1.0043697079802139"/>
    <n v="15.76002226547919"/>
    <x v="1"/>
  </r>
  <r>
    <x v="2"/>
    <x v="0"/>
    <n v="4"/>
    <n v="0.57011981500465603"/>
    <n v="71.570178174729747"/>
    <s v="Normal"/>
    <n v="-6.9518523693521574"/>
    <n v="1.8026029160120648E-10"/>
    <s v="Piernas cortas"/>
    <n v="0.14557516213285238"/>
    <n v="55.787161159067232"/>
    <x v="1"/>
  </r>
  <r>
    <x v="2"/>
    <x v="1"/>
    <n v="8"/>
    <n v="-0.40104283261070822"/>
    <n v="34.41942944350123"/>
    <s v="Normal"/>
    <n v="-11.996282616202869"/>
    <n v="1.8580776487074295E-31"/>
    <s v="Piernas cortas"/>
    <n v="0.4493298902304565"/>
    <n v="67.340315066071682"/>
    <x v="1"/>
  </r>
  <r>
    <x v="2"/>
    <x v="1"/>
    <n v="8"/>
    <n v="-0.42919691113583019"/>
    <n v="33.388996534627339"/>
    <s v="Normal"/>
    <n v="-3.2637163681582511"/>
    <n v="5.4980593197514235E-2"/>
    <s v="Piernas cortas"/>
    <n v="0.1264478892879497"/>
    <n v="55.031130191549124"/>
    <x v="1"/>
  </r>
  <r>
    <x v="2"/>
    <x v="0"/>
    <n v="7"/>
    <n v="1.1300613194632538"/>
    <n v="87.077480643734276"/>
    <s v="Normal"/>
    <n v="0.83438088128160715"/>
    <n v="79.796680632744156"/>
    <s v="Normal"/>
    <n v="-0.66990559979016351"/>
    <n v="25.145898489957219"/>
    <x v="1"/>
  </r>
  <r>
    <x v="2"/>
    <x v="1"/>
    <n v="5"/>
    <n v="1.9500312184973925"/>
    <n v="97.441380087890963"/>
    <s v="Alto"/>
    <n v="0.16179482231841832"/>
    <n v="56.426628474334827"/>
    <s v="Normal"/>
    <n v="-6.202155883204126E-2"/>
    <n v="47.527283179233542"/>
    <x v="1"/>
  </r>
  <r>
    <x v="2"/>
    <x v="1"/>
    <n v="6"/>
    <n v="0.61522240124341421"/>
    <n v="73.079607207472719"/>
    <s v="Normal"/>
    <n v="0.46777943323662668"/>
    <n v="68.002883510122231"/>
    <s v="Normal"/>
    <n v="-0.64275022981407648"/>
    <n v="26.019309120900303"/>
    <x v="1"/>
  </r>
  <r>
    <x v="2"/>
    <x v="0"/>
    <n v="5"/>
    <n v="0.50247743330772954"/>
    <n v="69.233413875691326"/>
    <s v="Normal"/>
    <n v="-0.86297997845882879"/>
    <n v="19.407423758012268"/>
    <s v="Normal"/>
    <n v="0.6485873164653021"/>
    <n v="74.169742206916794"/>
    <x v="1"/>
  </r>
  <r>
    <x v="3"/>
    <x v="0"/>
    <n v="6"/>
    <n v="7.6927593022313973E-2"/>
    <n v="53.065942673674236"/>
    <s v="Normal"/>
    <n v="-0.58255870213208572"/>
    <n v="28.009520665689834"/>
    <s v="Normal"/>
    <n v="-0.27151484809074455"/>
    <n v="39.299754067635192"/>
    <x v="1"/>
  </r>
  <r>
    <x v="3"/>
    <x v="0"/>
    <n v="6"/>
    <n v="0.85377781288916599"/>
    <n v="80.338594494470598"/>
    <s v="Normal"/>
    <n v="1.8908834842679973"/>
    <n v="97.068005021083422"/>
    <s v="Piernas largas"/>
    <n v="-1.5515767375382301"/>
    <n v="6.038176642050324"/>
    <x v="3"/>
  </r>
  <r>
    <x v="3"/>
    <x v="1"/>
    <n v="6"/>
    <n v="-0.8645805307860901"/>
    <n v="19.363453113734135"/>
    <s v="Normal"/>
    <n v="-1.5880862706434249"/>
    <n v="5.6133416216224408"/>
    <s v="Normal"/>
    <n v="2.3221530512388999"/>
    <n v="98.988765202599751"/>
    <x v="0"/>
  </r>
  <r>
    <x v="3"/>
    <x v="1"/>
    <n v="6"/>
    <n v="-8.9409150730916709E-2"/>
    <n v="46.437837568375599"/>
    <s v="Normal"/>
    <n v="-1.810943477259453"/>
    <n v="3.5074800784873039"/>
    <s v="Piernas cortas"/>
    <n v="4.3394351764013841"/>
    <n v="99.999285753022022"/>
    <x v="0"/>
  </r>
  <r>
    <x v="3"/>
    <x v="1"/>
    <n v="6"/>
    <n v="2.5462903340959037E-2"/>
    <n v="51.015713113397169"/>
    <s v="Normal"/>
    <n v="-1.4287489485117075"/>
    <n v="7.6538201758508766"/>
    <s v="Normal"/>
    <n v="-0.59213042113651093"/>
    <n v="27.688162864166777"/>
    <x v="1"/>
  </r>
  <r>
    <x v="3"/>
    <x v="0"/>
    <n v="6"/>
    <n v="-1.5680572579246085E-2"/>
    <n v="49.374461296441815"/>
    <s v="Normal"/>
    <n v="-1.5359760902487016"/>
    <n v="6.2272122271055457"/>
    <s v="Normal"/>
    <n v="0.59055735984838353"/>
    <n v="72.259147889874924"/>
    <x v="1"/>
  </r>
  <r>
    <x v="3"/>
    <x v="0"/>
    <n v="5"/>
    <n v="-0.12617502285587384"/>
    <n v="44.979669110364831"/>
    <s v="Normal"/>
    <n v="-0.35724898376481951"/>
    <n v="36.045270915972331"/>
    <s v="Normal"/>
    <n v="1.492635781721446"/>
    <n v="93.223372415688274"/>
    <x v="0"/>
  </r>
  <r>
    <x v="3"/>
    <x v="0"/>
    <n v="5"/>
    <n v="0.4640079326134175"/>
    <n v="67.867896886073268"/>
    <s v="Normal"/>
    <n v="-0.85507855327440718"/>
    <n v="19.625383086221067"/>
    <s v="Normal"/>
    <n v="0.62261590989129134"/>
    <n v="73.323152320027688"/>
    <x v="1"/>
  </r>
  <r>
    <x v="3"/>
    <x v="1"/>
    <n v="5"/>
    <n v="-9.2904188652212061E-2"/>
    <n v="46.298983903956625"/>
    <s v="Normal"/>
    <n v="-1.5394588488953105"/>
    <n v="6.1846158362228474"/>
    <s v="Normal"/>
    <n v="0.88250942930472298"/>
    <n v="81.124930854620004"/>
    <x v="1"/>
  </r>
  <r>
    <x v="3"/>
    <x v="0"/>
    <n v="5"/>
    <n v="1.1552358383617705"/>
    <n v="87.60030687958178"/>
    <s v="Normal"/>
    <n v="-0.79431684312053141"/>
    <n v="21.350550052477839"/>
    <s v="Normal"/>
    <n v="0.64200472285934973"/>
    <n v="73.956494175421227"/>
    <x v="1"/>
  </r>
  <r>
    <x v="3"/>
    <x v="1"/>
    <n v="6"/>
    <n v="-0.8645805307860901"/>
    <n v="19.363453113734135"/>
    <s v="Normal"/>
    <n v="-1.5296358873514977"/>
    <n v="6.3053440614684844"/>
    <s v="Normal"/>
    <n v="0.34452390736795324"/>
    <n v="63.477384010574752"/>
    <x v="1"/>
  </r>
  <r>
    <x v="3"/>
    <x v="1"/>
    <n v="6"/>
    <n v="0.61888622007340455"/>
    <n v="73.200434150012967"/>
    <s v="Normal"/>
    <n v="-0.87711557703452447"/>
    <n v="19.021193235796293"/>
    <s v="Normal"/>
    <n v="1.6901484908677959"/>
    <n v="95.4500225056956"/>
    <x v="0"/>
  </r>
  <r>
    <x v="3"/>
    <x v="1"/>
    <n v="6"/>
    <n v="-0.95387953284974436"/>
    <n v="17.007231238764128"/>
    <s v="Normal"/>
    <n v="-1.4713108800584991"/>
    <n v="7.0603531133077126"/>
    <s v="Normal"/>
    <n v="2.0875931982587415"/>
    <n v="98.158272695884236"/>
    <x v="0"/>
  </r>
  <r>
    <x v="3"/>
    <x v="0"/>
    <n v="6"/>
    <n v="-0.41495574673538188"/>
    <n v="33.908714955400143"/>
    <s v="Normal"/>
    <n v="-1.823700644263857"/>
    <n v="3.4098670705639202"/>
    <s v="Piernas cortas"/>
    <n v="-0.47439222794983377"/>
    <n v="31.761011714375609"/>
    <x v="1"/>
  </r>
  <r>
    <x v="3"/>
    <x v="0"/>
    <n v="6"/>
    <n v="-0.54555495821280986"/>
    <n v="29.268594645056485"/>
    <s v="Normal"/>
    <n v="-0.6412329106916631"/>
    <n v="26.068568512934881"/>
    <s v="Normal"/>
    <n v="2.3440815477604797"/>
    <n v="99.046299975549729"/>
    <x v="0"/>
  </r>
  <r>
    <x v="3"/>
    <x v="1"/>
    <n v="6"/>
    <n v="0.61339786493946635"/>
    <n v="73.0193351278904"/>
    <s v="Normal"/>
    <n v="-1.58856985547086"/>
    <n v="5.6078769167621338"/>
    <s v="Normal"/>
    <n v="2.6178895586603099"/>
    <n v="99.557622823585817"/>
    <x v="0"/>
  </r>
  <r>
    <x v="3"/>
    <x v="1"/>
    <n v="6"/>
    <n v="-2.5208274307548595"/>
    <n v="0.58539627332319788"/>
    <s v="Desnutricion"/>
    <n v="-2.1965308952989084"/>
    <n v="1.4026983157248973"/>
    <s v="Piernas cortas"/>
    <n v="1.0131066152609067"/>
    <n v="84.449538058021005"/>
    <x v="1"/>
  </r>
  <r>
    <x v="3"/>
    <x v="1"/>
    <n v="5"/>
    <n v="-0.19615046250424198"/>
    <n v="42.224619998627603"/>
    <s v="Normal"/>
    <n v="-1.6892160355265684"/>
    <n v="4.5589018543779245"/>
    <s v="Piernas cortas"/>
    <n v="2.4681112457832022"/>
    <n v="99.320859500228877"/>
    <x v="0"/>
  </r>
  <r>
    <x v="3"/>
    <x v="0"/>
    <n v="6"/>
    <n v="-1.1516014491664313"/>
    <n v="12.474244281325797"/>
    <s v="Normal"/>
    <n v="-1.5785796533550576"/>
    <n v="5.7216252318618652"/>
    <s v="Normal"/>
    <n v="-0.23650726911139458"/>
    <n v="40.651953366309876"/>
    <x v="1"/>
  </r>
  <r>
    <x v="3"/>
    <x v="1"/>
    <n v="6"/>
    <n v="0.212939402931688"/>
    <n v="58.431288599212735"/>
    <s v="Normal"/>
    <n v="-0.48695253376379172"/>
    <n v="31.314598443946405"/>
    <s v="Normal"/>
    <n v="-2.9019318637102446E-2"/>
    <n v="48.842459151882892"/>
    <x v="1"/>
  </r>
  <r>
    <x v="3"/>
    <x v="1"/>
    <n v="6"/>
    <n v="1.9841477757223556"/>
    <n v="97.638031576916319"/>
    <s v="Alto"/>
    <n v="-1.3536858103695399"/>
    <n v="8.7918318520048011"/>
    <s v="Normal"/>
    <n v="1.6395659971001701"/>
    <n v="94.945228104945571"/>
    <x v="0"/>
  </r>
  <r>
    <x v="3"/>
    <x v="0"/>
    <n v="6"/>
    <n v="-0.61028419087743091"/>
    <n v="27.083678375208336"/>
    <s v="Normal"/>
    <n v="-2.5017874902020218"/>
    <n v="0.61784035791575598"/>
    <s v="Piernas cortas"/>
    <n v="0.77356388309896384"/>
    <n v="78.040563144043603"/>
    <x v="1"/>
  </r>
  <r>
    <x v="3"/>
    <x v="0"/>
    <n v="6"/>
    <n v="1.630628032756013"/>
    <n v="94.851558480253857"/>
    <s v="Normal"/>
    <n v="-1.0149952497906631"/>
    <n v="15.505404592688807"/>
    <s v="Normal"/>
    <n v="-0.25119283841084294"/>
    <n v="40.083251060961636"/>
    <x v="1"/>
  </r>
  <r>
    <x v="3"/>
    <x v="1"/>
    <n v="6"/>
    <n v="-1.1700810988310337"/>
    <n v="12.098416701208818"/>
    <s v="Normal"/>
    <n v="-9.0025042409134226E-2"/>
    <n v="46.413365732983813"/>
    <s v="Normal"/>
    <n v="0.78805223676097624"/>
    <n v="78.466692416401287"/>
    <x v="1"/>
  </r>
  <r>
    <x v="3"/>
    <x v="0"/>
    <n v="6"/>
    <n v="0.56689319401605742"/>
    <n v="71.460662576089177"/>
    <s v="Normal"/>
    <n v="-0.7196514427286389"/>
    <n v="23.586981503808541"/>
    <s v="Normal"/>
    <n v="0.67473749067938538"/>
    <n v="75.007871954375531"/>
    <x v="1"/>
  </r>
  <r>
    <x v="3"/>
    <x v="1"/>
    <n v="6"/>
    <n v="0.71056037611537526"/>
    <n v="76.132164771867878"/>
    <s v="Normal"/>
    <n v="-0.77962024952508646"/>
    <n v="21.780721661183492"/>
    <s v="Normal"/>
    <n v="0.7208317628503178"/>
    <n v="76.449348477541974"/>
    <x v="1"/>
  </r>
  <r>
    <x v="3"/>
    <x v="0"/>
    <n v="6"/>
    <n v="0.29132588192748249"/>
    <n v="61.45989527143287"/>
    <s v="Normal"/>
    <n v="-1.2946529744569908"/>
    <n v="9.7719984531577424"/>
    <s v="Normal"/>
    <n v="1.560884476650868"/>
    <n v="94.072449469457851"/>
    <x v="0"/>
  </r>
  <r>
    <x v="3"/>
    <x v="0"/>
    <n v="5"/>
    <n v="0.56214821705856122"/>
    <n v="71.299248046176842"/>
    <s v="Normal"/>
    <n v="-0.99060846443420458"/>
    <n v="16.093840146221279"/>
    <s v="Normal"/>
    <n v="2.5492082317435907"/>
    <n v="99.460160938769036"/>
    <x v="0"/>
  </r>
  <r>
    <x v="3"/>
    <x v="1"/>
    <n v="5"/>
    <n v="0.84456377394689619"/>
    <n v="80.082277883765414"/>
    <s v="Normal"/>
    <n v="0.7964232090296004"/>
    <n v="78.710695362571968"/>
    <s v="Normal"/>
    <n v="0.78717343896007597"/>
    <n v="78.440982822944051"/>
    <x v="1"/>
  </r>
  <r>
    <x v="3"/>
    <x v="0"/>
    <n v="6"/>
    <n v="0.17742992716514014"/>
    <n v="57.041464912427372"/>
    <s v="Normal"/>
    <n v="-1.684449787570395"/>
    <n v="4.6047387875448509"/>
    <s v="Piernas cortas"/>
    <n v="-0.50017408082294723"/>
    <n v="30.847625357166329"/>
    <x v="1"/>
  </r>
  <r>
    <x v="3"/>
    <x v="0"/>
    <n v="6"/>
    <n v="-0.10689348990141691"/>
    <n v="45.743673895312568"/>
    <s v="Normal"/>
    <n v="-1.05532998205599"/>
    <n v="14.563721667478951"/>
    <s v="Normal"/>
    <n v="1.1228277033860308"/>
    <n v="86.924466144909758"/>
    <x v="0"/>
  </r>
  <r>
    <x v="3"/>
    <x v="1"/>
    <n v="6"/>
    <n v="-1.2586464062583185"/>
    <n v="10.407903864451699"/>
    <s v="Normal"/>
    <n v="-1.6560883705780167"/>
    <n v="4.8851962042845045"/>
    <s v="Piernas cortas"/>
    <n v="-1.3755346351060278"/>
    <n v="8.448287781050988"/>
    <x v="3"/>
  </r>
  <r>
    <x v="3"/>
    <x v="0"/>
    <n v="6"/>
    <n v="0.19318415336292494"/>
    <n v="57.659262562120929"/>
    <s v="Normal"/>
    <n v="-1.7372627455491434"/>
    <n v="4.1170402073573076"/>
    <s v="Piernas cortas"/>
    <n v="0.65400497537659119"/>
    <n v="74.344569991395176"/>
    <x v="1"/>
  </r>
  <r>
    <x v="3"/>
    <x v="0"/>
    <n v="5"/>
    <n v="-0.53052210128022403"/>
    <n v="29.78749947816538"/>
    <s v="Normal"/>
    <n v="0.62408025191826766"/>
    <n v="73.371255880487567"/>
    <s v="Normal"/>
    <n v="-0.26947844625418482"/>
    <n v="39.378076317116644"/>
    <x v="1"/>
  </r>
  <r>
    <x v="3"/>
    <x v="1"/>
    <n v="6"/>
    <n v="-0.36627407113532234"/>
    <n v="35.708028776585778"/>
    <s v="Normal"/>
    <n v="-1.2644465681754677"/>
    <n v="10.303489365346859"/>
    <s v="Normal"/>
    <n v="2.2526607619954038"/>
    <n v="98.785972661483328"/>
    <x v="0"/>
  </r>
  <r>
    <x v="3"/>
    <x v="0"/>
    <n v="6"/>
    <n v="0.27706301118125604"/>
    <n v="60.913413840554199"/>
    <s v="Normal"/>
    <n v="-1.9517409968195727"/>
    <n v="2.5484481300882185"/>
    <s v="Piernas cortas"/>
    <n v="0.22547884817071959"/>
    <n v="58.919661077849341"/>
    <x v="1"/>
  </r>
  <r>
    <x v="3"/>
    <x v="1"/>
    <n v="6"/>
    <n v="-0.75801104561160371"/>
    <n v="22.422218513677358"/>
    <s v="Normal"/>
    <n v="-0.1990421446739479"/>
    <n v="42.111488871069405"/>
    <s v="Normal"/>
    <n v="1.1192276362120066"/>
    <n v="86.84784808807197"/>
    <x v="0"/>
  </r>
  <r>
    <x v="3"/>
    <x v="0"/>
    <n v="5"/>
    <n v="-0.33161609450149321"/>
    <n v="37.008958250973713"/>
    <s v="Normal"/>
    <n v="-1.1510182455369857"/>
    <n v="12.486236471272349"/>
    <s v="Normal"/>
    <n v="-0.12416917212206098"/>
    <n v="45.059066519539527"/>
    <x v="1"/>
  </r>
  <r>
    <x v="3"/>
    <x v="1"/>
    <n v="6"/>
    <n v="-1.2797823836950899"/>
    <n v="10.031084055229632"/>
    <s v="Normal"/>
    <n v="-1.7514641743215669"/>
    <n v="3.9932993577604403"/>
    <s v="Piernas cortas"/>
    <n v="0.73154659356563911"/>
    <n v="76.777732216526346"/>
    <x v="1"/>
  </r>
  <r>
    <x v="3"/>
    <x v="0"/>
    <n v="7"/>
    <n v="1.7590863988474952"/>
    <n v="96.071858263968807"/>
    <s v="Alto"/>
    <n v="1.3526390574554881"/>
    <n v="91.191451580148382"/>
    <s v="Normal"/>
    <n v="-1.1438575089614904"/>
    <n v="12.634136762308781"/>
    <x v="3"/>
  </r>
  <r>
    <x v="3"/>
    <x v="1"/>
    <n v="6"/>
    <n v="2.1622048610085467"/>
    <n v="98.469880548371393"/>
    <s v="Alto"/>
    <n v="-1.098947752137807"/>
    <n v="13.589542810912555"/>
    <s v="Normal"/>
    <n v="5.5578323524055664"/>
    <n v="99.999998634272274"/>
    <x v="0"/>
  </r>
  <r>
    <x v="3"/>
    <x v="0"/>
    <n v="6"/>
    <n v="-1.6383840902634794"/>
    <n v="5.0670797940563279"/>
    <s v="Normal"/>
    <n v="-1.2632771714609095"/>
    <n v="10.324479368017665"/>
    <s v="Normal"/>
    <n v="0.74944213919387404"/>
    <n v="77.320461971257117"/>
    <x v="1"/>
  </r>
  <r>
    <x v="3"/>
    <x v="0"/>
    <n v="7"/>
    <n v="6.61972484897453E-2"/>
    <n v="52.638960632064745"/>
    <s v="Normal"/>
    <n v="-0.2587521264673508"/>
    <n v="39.791324882575729"/>
    <s v="Normal"/>
    <n v="0.16939400789845213"/>
    <n v="56.725663179812258"/>
    <x v="1"/>
  </r>
  <r>
    <x v="3"/>
    <x v="0"/>
    <n v="7"/>
    <n v="-0.66488463128092945"/>
    <n v="25.306214318074844"/>
    <s v="Normal"/>
    <n v="-0.64514797825414649"/>
    <n v="25.941564727696907"/>
    <s v="Normal"/>
    <n v="0.78191280108269556"/>
    <n v="78.286708930558333"/>
    <x v="1"/>
  </r>
  <r>
    <x v="3"/>
    <x v="0"/>
    <n v="7"/>
    <n v="-0.23370490872529148"/>
    <n v="40.760703833311425"/>
    <s v="Normal"/>
    <n v="-4.0451399848090439"/>
    <n v="2.6145934203358132E-3"/>
    <s v="Piernas cortas"/>
    <n v="3.246706926429634"/>
    <n v="99.941625728138135"/>
    <x v="0"/>
  </r>
  <r>
    <x v="3"/>
    <x v="0"/>
    <n v="7"/>
    <n v="1.3065776966316867"/>
    <n v="90.432191226418297"/>
    <s v="Normal"/>
    <n v="-1.526879421093482"/>
    <n v="6.339549883514958"/>
    <s v="Normal"/>
    <n v="-0.12825267497479337"/>
    <n v="44.897450781070027"/>
    <x v="1"/>
  </r>
  <r>
    <x v="3"/>
    <x v="0"/>
    <n v="7"/>
    <n v="-0.77961686557016974"/>
    <n v="21.780821282306878"/>
    <s v="Normal"/>
    <n v="-2.6453847299302566"/>
    <n v="0.40799041466387981"/>
    <s v="Piernas cortas"/>
    <n v="1.2574044992593816"/>
    <n v="89.569639957428933"/>
    <x v="0"/>
  </r>
  <r>
    <x v="3"/>
    <x v="0"/>
    <n v="7"/>
    <n v="0.40581392263037702"/>
    <n v="65.756033596982675"/>
    <s v="Normal"/>
    <n v="-0.55139177290538077"/>
    <n v="29.068256961088125"/>
    <s v="Normal"/>
    <n v="0.39197618423579378"/>
    <n v="65.246209459357132"/>
    <x v="1"/>
  </r>
  <r>
    <x v="3"/>
    <x v="1"/>
    <n v="7"/>
    <n v="-0.79107504517717742"/>
    <n v="21.445010023415193"/>
    <s v="Normal"/>
    <n v="-0.64349802644643883"/>
    <n v="25.995049746953789"/>
    <s v="Normal"/>
    <n v="-1.7282034213898232"/>
    <n v="4.1975880278951303"/>
    <x v="2"/>
  </r>
  <r>
    <x v="3"/>
    <x v="1"/>
    <n v="7"/>
    <n v="-0.51720860410298564"/>
    <n v="30.250527320234756"/>
    <s v="Normal"/>
    <n v="-0.7336420060491492"/>
    <n v="23.158347624567888"/>
    <s v="Normal"/>
    <n v="-0.11487585928721458"/>
    <n v="45.427175994873537"/>
    <x v="1"/>
  </r>
  <r>
    <x v="3"/>
    <x v="1"/>
    <n v="7"/>
    <n v="-0.31330802490340465"/>
    <n v="37.702332692771677"/>
    <s v="Normal"/>
    <n v="-0.47660106212495235"/>
    <n v="31.682311347311444"/>
    <s v="Normal"/>
    <n v="0.17755125650682246"/>
    <n v="57.046229607768787"/>
    <x v="1"/>
  </r>
  <r>
    <x v="3"/>
    <x v="1"/>
    <n v="7"/>
    <n v="0.99603894484217037"/>
    <n v="84.038438843186242"/>
    <s v="Normal"/>
    <n v="-0.91883308691979271"/>
    <n v="17.909144166967998"/>
    <s v="Normal"/>
    <n v="0.40007829605829592"/>
    <n v="65.545057525915396"/>
    <x v="1"/>
  </r>
  <r>
    <x v="3"/>
    <x v="1"/>
    <n v="7"/>
    <n v="-0.70639896334762187"/>
    <n v="23.997003268664525"/>
    <s v="Normal"/>
    <n v="-2.3005776085062344"/>
    <n v="1.0707758948231161"/>
    <s v="Piernas cortas"/>
    <n v="1.0669076252109804"/>
    <n v="85.699322438864414"/>
    <x v="0"/>
  </r>
  <r>
    <x v="3"/>
    <x v="1"/>
    <n v="6"/>
    <n v="-1.6813417565690345"/>
    <n v="4.6348275784594835"/>
    <s v="Desnutricion"/>
    <n v="-1.6560883705780167"/>
    <n v="4.8851962042845045"/>
    <s v="Piernas cortas"/>
    <n v="0.65565198578079653"/>
    <n v="74.397596565546451"/>
    <x v="1"/>
  </r>
  <r>
    <x v="3"/>
    <x v="0"/>
    <n v="8"/>
    <n v="-0.16602346048835437"/>
    <n v="43.406924379261994"/>
    <s v="Normal"/>
    <n v="-0.68963087565141745"/>
    <n v="24.521317283405736"/>
    <s v="Normal"/>
    <n v="1.8285444058844078"/>
    <n v="96.626605621213045"/>
    <x v="0"/>
  </r>
  <r>
    <x v="3"/>
    <x v="0"/>
    <n v="8"/>
    <n v="-1.3133065112379985"/>
    <n v="9.4539842679487318"/>
    <s v="Normal"/>
    <n v="-0.88265402572048923"/>
    <n v="18.871161450548712"/>
    <s v="Normal"/>
    <n v="-0.93232864514641411"/>
    <n v="17.558335415779798"/>
    <x v="1"/>
  </r>
  <r>
    <x v="3"/>
    <x v="1"/>
    <n v="7"/>
    <n v="-2.3916320452694682"/>
    <n v="0.83868245304184763"/>
    <s v="Desnutricion"/>
    <n v="-2.2423058176079675"/>
    <n v="1.2470807012294169"/>
    <s v="Piernas cortas"/>
    <n v="1.4009148853229625"/>
    <n v="91.938023651842457"/>
    <x v="0"/>
  </r>
  <r>
    <x v="3"/>
    <x v="0"/>
    <n v="8"/>
    <n v="-2.0979924910418788"/>
    <n v="1.7952904348930629"/>
    <s v="Desnutricion"/>
    <n v="-1.2548319975218831"/>
    <n v="10.476987712922796"/>
    <s v="Normal"/>
    <n v="-0.3464136819283119"/>
    <n v="36.451592211635209"/>
    <x v="1"/>
  </r>
  <r>
    <x v="3"/>
    <x v="1"/>
    <n v="8"/>
    <n v="-1.4957079713051564"/>
    <n v="6.7364886069583241"/>
    <s v="Normal"/>
    <n v="-1.2949353193842263"/>
    <n v="9.7671271577250511"/>
    <s v="Normal"/>
    <n v="3.3079326909996751E-2"/>
    <n v="51.319433576864171"/>
    <x v="1"/>
  </r>
  <r>
    <x v="3"/>
    <x v="0"/>
    <n v="7"/>
    <n v="-0.27631471798675322"/>
    <n v="39.115317624362845"/>
    <s v="Normal"/>
    <n v="-1.2273641282371863"/>
    <n v="10.984288130982886"/>
    <s v="Normal"/>
    <n v="1.1811515024576846"/>
    <n v="88.122872836176739"/>
    <x v="0"/>
  </r>
  <r>
    <x v="3"/>
    <x v="0"/>
    <n v="8"/>
    <n v="-1.0710449366256951"/>
    <n v="14.207461245193739"/>
    <s v="Normal"/>
    <n v="-1.9343090272812833"/>
    <n v="2.6537571993343856"/>
    <s v="Piernas cortas"/>
    <n v="-0.40746045798792169"/>
    <n v="34.183491530214042"/>
    <x v="1"/>
  </r>
  <r>
    <x v="3"/>
    <x v="0"/>
    <n v="8"/>
    <n v="0.42161047149011194"/>
    <n v="66.334531911918731"/>
    <s v="Normal"/>
    <n v="-1.5629810082253919"/>
    <n v="5.9028530973571964"/>
    <s v="Normal"/>
    <n v="3.0510651745886563"/>
    <n v="99.885984464524029"/>
    <x v="0"/>
  </r>
  <r>
    <x v="3"/>
    <x v="1"/>
    <n v="8"/>
    <n v="1.2006945297436887E-2"/>
    <n v="50.478996304511583"/>
    <s v="Normal"/>
    <n v="0.15434658209953905"/>
    <n v="56.133176493295565"/>
    <s v="Normal"/>
    <n v="2.0330710318869082E-2"/>
    <n v="50.811022122280001"/>
    <x v="1"/>
  </r>
  <r>
    <x v="3"/>
    <x v="1"/>
    <n v="8"/>
    <n v="-1.9150253999603546"/>
    <n v="2.7744632216557048"/>
    <s v="Desnutricion"/>
    <n v="-0.13939629451240709"/>
    <n v="44.456850016236231"/>
    <s v="Normal"/>
    <n v="-1.522572559259018"/>
    <n v="6.3932839685279328"/>
    <x v="3"/>
  </r>
  <r>
    <x v="3"/>
    <x v="0"/>
    <n v="8"/>
    <n v="0.59298304796961854"/>
    <n v="72.34037513742382"/>
    <s v="Normal"/>
    <n v="-0.13951170204580543"/>
    <n v="44.452290473701652"/>
    <s v="Normal"/>
    <n v="-0.23986095416631842"/>
    <n v="40.521902567672903"/>
    <x v="1"/>
  </r>
  <r>
    <x v="3"/>
    <x v="1"/>
    <n v="8"/>
    <n v="3.220501028983698E-2"/>
    <n v="51.284571969014571"/>
    <s v="Normal"/>
    <n v="-3.5125790171084151E-2"/>
    <n v="48.598971825775806"/>
    <s v="Normal"/>
    <n v="1.4337857759675872"/>
    <n v="92.418329734370104"/>
    <x v="0"/>
  </r>
  <r>
    <x v="3"/>
    <x v="1"/>
    <n v="8"/>
    <n v="3.220501028983698E-2"/>
    <n v="51.284571969014571"/>
    <s v="Normal"/>
    <n v="-1.1031729138973292"/>
    <n v="13.497604076161249"/>
    <s v="Normal"/>
    <n v="0.87177256212324372"/>
    <n v="80.83337671039213"/>
    <x v="1"/>
  </r>
  <r>
    <x v="3"/>
    <x v="0"/>
    <n v="8"/>
    <n v="0.33607478291570914"/>
    <n v="63.159276305231174"/>
    <s v="Normal"/>
    <n v="-1.6090734369609043"/>
    <n v="5.3800142380494007"/>
    <s v="Normal"/>
    <n v="2.4277220269033468"/>
    <n v="99.240300818193461"/>
    <x v="0"/>
  </r>
  <r>
    <x v="3"/>
    <x v="0"/>
    <n v="8"/>
    <n v="-0.58098018780060001"/>
    <n v="28.062690321212703"/>
    <s v="Normal"/>
    <n v="-0.99350853339432521"/>
    <n v="16.023109699233189"/>
    <s v="Normal"/>
    <n v="0.94693548580433129"/>
    <n v="82.816417290968388"/>
    <x v="1"/>
  </r>
  <r>
    <x v="3"/>
    <x v="0"/>
    <n v="8"/>
    <n v="0.67718792797972793"/>
    <n v="75.085663691838775"/>
    <s v="Normal"/>
    <n v="-2.0810083814800646"/>
    <n v="1.8716569447293556"/>
    <s v="Piernas cortas"/>
    <n v="-0.61594869432957333"/>
    <n v="26.896419096986811"/>
    <x v="1"/>
  </r>
  <r>
    <x v="3"/>
    <x v="1"/>
    <n v="8"/>
    <n v="-0.30166698612300724"/>
    <n v="38.145296885554686"/>
    <s v="Normal"/>
    <n v="-0.40640878181368839"/>
    <n v="34.222113410770085"/>
    <s v="Normal"/>
    <n v="0.82086893775008252"/>
    <n v="79.413953701684932"/>
    <x v="1"/>
  </r>
  <r>
    <x v="3"/>
    <x v="0"/>
    <n v="8"/>
    <n v="-0.84371915114966745"/>
    <n v="19.941318160798076"/>
    <s v="Normal"/>
    <n v="-0.43989233784572818"/>
    <n v="33.000754280557274"/>
    <s v="Normal"/>
    <n v="-0.95047162900631144"/>
    <n v="17.093633153145895"/>
    <x v="1"/>
  </r>
  <r>
    <x v="3"/>
    <x v="0"/>
    <n v="8"/>
    <n v="0.66977728703659012"/>
    <n v="74.850011271610484"/>
    <s v="Normal"/>
    <n v="-0.25843846036675949"/>
    <n v="39.803426869567289"/>
    <s v="Normal"/>
    <n v="-0.4718614873970764"/>
    <n v="31.851282953171218"/>
    <x v="1"/>
  </r>
  <r>
    <x v="3"/>
    <x v="0"/>
    <n v="8"/>
    <n v="8.4356169373759393E-2"/>
    <n v="53.3613372602344"/>
    <s v="Normal"/>
    <n v="-1.3687621564938435"/>
    <n v="8.5536816923383956"/>
    <s v="Normal"/>
    <n v="0.58393434584930914"/>
    <n v="72.036775777001978"/>
    <x v="1"/>
  </r>
  <r>
    <x v="3"/>
    <x v="1"/>
    <n v="8"/>
    <n v="-1.6045333056949733"/>
    <n v="5.429827457475648"/>
    <s v="Normal"/>
    <n v="-0.90875896776351162"/>
    <n v="18.17386850234746"/>
    <s v="Normal"/>
    <n v="-1.2592470460689176"/>
    <n v="10.397055672876462"/>
    <x v="3"/>
  </r>
  <r>
    <x v="3"/>
    <x v="1"/>
    <n v="7"/>
    <n v="-6.5141728859479109E-2"/>
    <n v="47.403057807193534"/>
    <s v="Normal"/>
    <n v="-0.59597362035337287"/>
    <n v="27.559642482751105"/>
    <s v="Normal"/>
    <n v="0.97663720212365124"/>
    <n v="83.56256027049686"/>
    <x v="1"/>
  </r>
  <r>
    <x v="3"/>
    <x v="1"/>
    <n v="7"/>
    <n v="7.2281137860061281E-2"/>
    <n v="52.881091238243492"/>
    <s v="Normal"/>
    <n v="-1.3284113585817752"/>
    <n v="9.2021124555012737"/>
    <s v="Normal"/>
    <n v="0.85436199457241113"/>
    <n v="80.354777646544306"/>
    <x v="1"/>
  </r>
  <r>
    <x v="3"/>
    <x v="1"/>
    <n v="6"/>
    <n v="0.42385206973847728"/>
    <n v="66.416314939265675"/>
    <s v="Normal"/>
    <n v="0.50545699537019351"/>
    <n v="69.338105197802818"/>
    <s v="Normal"/>
    <n v="0.33547573501428801"/>
    <n v="63.136687703922497"/>
    <x v="1"/>
  </r>
  <r>
    <x v="3"/>
    <x v="1"/>
    <n v="6"/>
    <n v="-0.23982833424249264"/>
    <n v="40.523167017248106"/>
    <s v="Normal"/>
    <n v="-1.1239650859487014"/>
    <n v="13.051391891309095"/>
    <s v="Normal"/>
    <n v="2.057867950685988"/>
    <n v="98.019859449147958"/>
    <x v="0"/>
  </r>
  <r>
    <x v="3"/>
    <x v="0"/>
    <n v="7"/>
    <n v="1.564148812738331"/>
    <n v="94.110868754957878"/>
    <s v="Normal"/>
    <n v="-1.5062503521426041"/>
    <n v="6.6001458977757528"/>
    <s v="Normal"/>
    <n v="2.7949559483125781"/>
    <n v="99.740466061777724"/>
    <x v="0"/>
  </r>
  <r>
    <x v="3"/>
    <x v="0"/>
    <n v="7"/>
    <n v="-1.4287477893612748"/>
    <n v="7.6538368399733461"/>
    <s v="Normal"/>
    <n v="-1.0784942512943891"/>
    <n v="14.04066229288255"/>
    <s v="Normal"/>
    <n v="0.86032255718773021"/>
    <n v="80.519436906371865"/>
    <x v="1"/>
  </r>
  <r>
    <x v="3"/>
    <x v="0"/>
    <n v="6"/>
    <n v="-0.34465060142624099"/>
    <n v="36.517852972022347"/>
    <s v="Normal"/>
    <n v="-1.3537745906753984"/>
    <n v="8.7904151261252839"/>
    <s v="Normal"/>
    <n v="8.5274509209912946E-2"/>
    <n v="53.397842179723497"/>
    <x v="1"/>
  </r>
  <r>
    <x v="3"/>
    <x v="0"/>
    <n v="7"/>
    <n v="-0.74681185984923282"/>
    <n v="22.758856781345909"/>
    <s v="Normal"/>
    <n v="-2.137347450586748"/>
    <n v="1.6284871065690674"/>
    <s v="Piernas cortas"/>
    <n v="2.5642002996967124"/>
    <n v="99.48293076868903"/>
    <x v="0"/>
  </r>
  <r>
    <x v="3"/>
    <x v="0"/>
    <n v="7"/>
    <n v="-0.58247154436659376"/>
    <n v="28.012455157564411"/>
    <s v="Normal"/>
    <n v="-1.8935303808310331"/>
    <n v="2.9143685976793465"/>
    <s v="Piernas cortas"/>
    <n v="0.28655496791912788"/>
    <n v="61.27734503531633"/>
    <x v="1"/>
  </r>
  <r>
    <x v="3"/>
    <x v="1"/>
    <n v="7"/>
    <n v="-0.62496322156117412"/>
    <n v="26.599759843552071"/>
    <s v="Normal"/>
    <n v="-1.6011525987573034"/>
    <n v="5.4671562324416483"/>
    <s v="Normal"/>
    <n v="5.1618504342533969E-2"/>
    <n v="52.058366266910404"/>
    <x v="1"/>
  </r>
  <r>
    <x v="3"/>
    <x v="1"/>
    <n v="6"/>
    <n v="0.51810219721473039"/>
    <n v="69.780651634261034"/>
    <s v="Normal"/>
    <n v="-0.77962024952508646"/>
    <n v="21.780721661183492"/>
    <s v="Normal"/>
    <n v="2.838118184170829"/>
    <n v="99.773098117842139"/>
    <x v="0"/>
  </r>
  <r>
    <x v="3"/>
    <x v="0"/>
    <n v="6"/>
    <n v="-2.6359146453575364"/>
    <n v="0.41955417875598627"/>
    <s v="Desnutricion"/>
    <n v="0.17921892315666321"/>
    <n v="57.11170971264815"/>
    <s v="Normal"/>
    <n v="-0.21568779489198964"/>
    <n v="41.461555778459271"/>
    <x v="1"/>
  </r>
  <r>
    <x v="3"/>
    <x v="0"/>
    <n v="7"/>
    <n v="1.564148812738331"/>
    <n v="94.110868754957878"/>
    <s v="Normal"/>
    <n v="-0.50452567228027023"/>
    <n v="30.694601323155112"/>
    <s v="Normal"/>
    <n v="1.0975521583816386"/>
    <n v="86.379995337175473"/>
    <x v="0"/>
  </r>
  <r>
    <x v="3"/>
    <x v="0"/>
    <n v="7"/>
    <n v="-0.55517436829932187"/>
    <n v="28.938769953683675"/>
    <s v="Normal"/>
    <n v="-2.3734794490320406"/>
    <n v="0.88106868151052087"/>
    <s v="Piernas cortas"/>
    <n v="2.4536041115797897"/>
    <n v="99.292837041905429"/>
    <x v="0"/>
  </r>
  <r>
    <x v="3"/>
    <x v="0"/>
    <n v="7"/>
    <n v="2.0468565890862207"/>
    <n v="97.966391625281545"/>
    <s v="Alto"/>
    <n v="-1.2083788178027466"/>
    <n v="11.345079184732208"/>
    <s v="Normal"/>
    <n v="1.5603653607096559"/>
    <n v="94.066321713710337"/>
    <x v="0"/>
  </r>
  <r>
    <x v="3"/>
    <x v="0"/>
    <n v="6"/>
    <n v="0.67336483463434915"/>
    <n v="74.964239261456484"/>
    <s v="Normal"/>
    <n v="-8.3948597728730701E-2"/>
    <n v="46.654865024873736"/>
    <s v="Normal"/>
    <n v="1.6083636545629599E-2"/>
    <n v="50.641616601356674"/>
    <x v="1"/>
  </r>
  <r>
    <x v="3"/>
    <x v="0"/>
    <n v="7"/>
    <n v="2.0353705655043459"/>
    <n v="97.909319963934635"/>
    <s v="Alto"/>
    <n v="0.36407348162629055"/>
    <n v="64.209843074619485"/>
    <s v="Normal"/>
    <n v="2.9863273406310602E-2"/>
    <n v="51.191195182357298"/>
    <x v="1"/>
  </r>
  <r>
    <x v="3"/>
    <x v="1"/>
    <n v="7"/>
    <n v="-1.1425634765452815"/>
    <n v="12.660993851236407"/>
    <s v="Normal"/>
    <n v="-0.77613743824663461"/>
    <n v="21.88339202569292"/>
    <s v="Normal"/>
    <n v="0.35798053615115666"/>
    <n v="63.98210602336313"/>
    <x v="1"/>
  </r>
  <r>
    <x v="3"/>
    <x v="1"/>
    <n v="6"/>
    <n v="0.42385206973847728"/>
    <n v="66.416314939265675"/>
    <s v="Normal"/>
    <n v="-0.77962024952508646"/>
    <n v="21.780721661183492"/>
    <s v="Normal"/>
    <n v="0.67839148383062808"/>
    <n v="75.123824634978135"/>
    <x v="1"/>
  </r>
  <r>
    <x v="3"/>
    <x v="1"/>
    <n v="7"/>
    <n v="-0.85250312339965584"/>
    <n v="19.696745309378297"/>
    <s v="Normal"/>
    <n v="0.56092598398245996"/>
    <n v="71.257600217759887"/>
    <s v="Normal"/>
    <n v="-0.88134459028451351"/>
    <n v="18.906566920502662"/>
    <x v="1"/>
  </r>
  <r>
    <x v="3"/>
    <x v="1"/>
    <n v="7"/>
    <n v="0.71741060173254012"/>
    <n v="76.343961004076704"/>
    <s v="Normal"/>
    <n v="-1.6256487054302686"/>
    <n v="5.2012203881254448"/>
    <s v="Normal"/>
    <n v="2.0491326953762692"/>
    <n v="97.977542941423152"/>
    <x v="0"/>
  </r>
  <r>
    <x v="3"/>
    <x v="1"/>
    <n v="7"/>
    <n v="-0.18125124095433801"/>
    <n v="42.808518806493105"/>
    <s v="Normal"/>
    <n v="-1.6002569752093097"/>
    <n v="5.4770793654197512"/>
    <s v="Normal"/>
    <n v="-0.94798076488538952"/>
    <n v="17.156962328403015"/>
    <x v="1"/>
  </r>
  <r>
    <x v="3"/>
    <x v="1"/>
    <n v="7"/>
    <n v="-1.1677015815795611"/>
    <n v="12.146357931326019"/>
    <s v="Normal"/>
    <n v="-1.7452436849849895"/>
    <n v="4.0471229997195977"/>
    <s v="Piernas cortas"/>
    <n v="-0.43225534373682856"/>
    <n v="33.27779197333944"/>
    <x v="1"/>
  </r>
  <r>
    <x v="3"/>
    <x v="1"/>
    <n v="6"/>
    <n v="0.71753264286939189"/>
    <n v="76.347724889512008"/>
    <s v="Normal"/>
    <n v="-1.2334782503873891"/>
    <n v="10.869869319235935"/>
    <s v="Normal"/>
    <n v="0.70491071517428372"/>
    <n v="75.956709926115522"/>
    <x v="1"/>
  </r>
  <r>
    <x v="3"/>
    <x v="1"/>
    <n v="6"/>
    <n v="-0.23982833424249264"/>
    <n v="40.523167017248106"/>
    <s v="Normal"/>
    <n v="-0.31640576377336022"/>
    <n v="37.584727133249544"/>
    <s v="Normal"/>
    <n v="0.16157661085412248"/>
    <n v="56.418036145160769"/>
    <x v="1"/>
  </r>
  <r>
    <x v="3"/>
    <x v="1"/>
    <n v="7"/>
    <n v="-0.12625845779689318"/>
    <n v="44.976366945676958"/>
    <s v="Normal"/>
    <n v="-0.99685437745038152"/>
    <n v="15.941759963992505"/>
    <s v="Normal"/>
    <n v="0.57785650411810219"/>
    <n v="71.831949838058435"/>
    <x v="1"/>
  </r>
  <r>
    <x v="3"/>
    <x v="0"/>
    <n v="7"/>
    <n v="-1.8928467703625289"/>
    <n v="2.9189124864264415"/>
    <s v="Desnutricion"/>
    <n v="-1.89836580239955"/>
    <n v="2.8823955619677371"/>
    <s v="Piernas cortas"/>
    <n v="0.66063823105428854"/>
    <n v="74.557782743348511"/>
    <x v="1"/>
  </r>
  <r>
    <x v="3"/>
    <x v="0"/>
    <n v="7"/>
    <n v="-1.4603036529601865"/>
    <n v="7.2103319275707651"/>
    <s v="Normal"/>
    <n v="-1.0298485283894496"/>
    <n v="15.154055803356069"/>
    <s v="Normal"/>
    <n v="-2.217184367531646"/>
    <n v="1.3305247691867137"/>
    <x v="2"/>
  </r>
  <r>
    <x v="3"/>
    <x v="0"/>
    <n v="6"/>
    <n v="-0.34465060142624099"/>
    <n v="36.517852972022347"/>
    <s v="Normal"/>
    <n v="-1.7710487085968503"/>
    <n v="3.8276301118862195"/>
    <s v="Piernas cortas"/>
    <n v="0.57076774918265927"/>
    <n v="71.592145638118438"/>
    <x v="1"/>
  </r>
  <r>
    <x v="3"/>
    <x v="0"/>
    <n v="7"/>
    <n v="0.4005176729795133"/>
    <n v="65.561236536577169"/>
    <s v="Normal"/>
    <n v="-0.90853638241886403"/>
    <n v="18.179745033655408"/>
    <s v="Normal"/>
    <n v="-1.3481373171431046"/>
    <n v="8.8807110466918342"/>
    <x v="3"/>
  </r>
  <r>
    <x v="3"/>
    <x v="0"/>
    <n v="6"/>
    <n v="-0.79742604536204686"/>
    <n v="21.260181891250703"/>
    <s v="Normal"/>
    <n v="0.45363106822109717"/>
    <n v="67.495280589704151"/>
    <s v="Normal"/>
    <n v="-1.5543074615602859"/>
    <n v="6.005554727347258"/>
    <x v="3"/>
  </r>
  <r>
    <x v="3"/>
    <x v="0"/>
    <n v="6"/>
    <n v="0.1218182546357016"/>
    <n v="54.847852174308699"/>
    <s v="Normal"/>
    <n v="-1.381177684977311"/>
    <n v="8.3612167119447527"/>
    <s v="Normal"/>
    <n v="7.0644535396096525E-2"/>
    <n v="52.815966759383628"/>
    <x v="1"/>
  </r>
  <r>
    <x v="3"/>
    <x v="0"/>
    <n v="7"/>
    <n v="-0.49949532341071279"/>
    <n v="30.871524026627057"/>
    <s v="Normal"/>
    <n v="-2.4449393038232463"/>
    <n v="0.72438260645559827"/>
    <s v="Piernas cortas"/>
    <n v="1.4899422384832786"/>
    <n v="93.188028789057938"/>
    <x v="0"/>
  </r>
  <r>
    <x v="3"/>
    <x v="1"/>
    <n v="7"/>
    <n v="0.36446706782026667"/>
    <n v="64.224536939328985"/>
    <s v="Normal"/>
    <n v="-0.99214720593328909"/>
    <n v="16.05628608531562"/>
    <s v="Normal"/>
    <n v="-0.73581343108121045"/>
    <n v="23.092212314161987"/>
    <x v="1"/>
  </r>
  <r>
    <x v="3"/>
    <x v="1"/>
    <n v="7"/>
    <n v="-0.2267335866530461"/>
    <n v="41.031545439582182"/>
    <s v="Normal"/>
    <n v="0.26662184885344892"/>
    <n v="60.511983426667527"/>
    <s v="Normal"/>
    <n v="-0.40136474366771846"/>
    <n v="34.407580136116898"/>
    <x v="1"/>
  </r>
  <r>
    <x v="3"/>
    <x v="1"/>
    <n v="6"/>
    <n v="0.33101029058095705"/>
    <n v="62.968164372110472"/>
    <s v="Normal"/>
    <n v="-0.56986739212235282"/>
    <n v="28.438382130125095"/>
    <s v="Normal"/>
    <n v="-0.81758435161156984"/>
    <n v="20.679728293415952"/>
    <x v="1"/>
  </r>
  <r>
    <x v="3"/>
    <x v="1"/>
    <n v="7"/>
    <n v="-0.74924978202010695"/>
    <n v="22.685333464171674"/>
    <s v="Normal"/>
    <n v="-1.4332142682597524"/>
    <n v="7.5898306657461401"/>
    <s v="Normal"/>
    <n v="2.4248706187671605"/>
    <n v="99.234307834860644"/>
    <x v="0"/>
  </r>
  <r>
    <x v="3"/>
    <x v="0"/>
    <n v="6"/>
    <n v="-0.71428874109402618"/>
    <n v="23.752432639489314"/>
    <s v="Normal"/>
    <n v="-1.5966231632149328"/>
    <n v="5.5174866230992849"/>
    <s v="Normal"/>
    <n v="0.22774208618163191"/>
    <n v="59.00766239961861"/>
    <x v="1"/>
  </r>
  <r>
    <x v="3"/>
    <x v="0"/>
    <n v="6"/>
    <n v="-0.79742604536204686"/>
    <n v="21.260181891250703"/>
    <s v="Normal"/>
    <n v="-2.3968322140694061"/>
    <n v="0.82687472393489725"/>
    <s v="Piernas cortas"/>
    <n v="3.1421023334792504"/>
    <n v="99.916130300773148"/>
    <x v="0"/>
  </r>
  <r>
    <x v="3"/>
    <x v="1"/>
    <n v="7"/>
    <n v="0.80898937773565893"/>
    <n v="79.07393718699754"/>
    <s v="Normal"/>
    <n v="-1.0967461971309826"/>
    <n v="13.637617779417353"/>
    <s v="Normal"/>
    <n v="-0.67046186091667082"/>
    <n v="25.128170564841746"/>
    <x v="1"/>
  </r>
  <r>
    <x v="3"/>
    <x v="0"/>
    <n v="6"/>
    <n v="1.6883591667465629"/>
    <n v="95.432884807435101"/>
    <s v="Alto"/>
    <n v="-1.5387940636864426"/>
    <n v="6.1927289786532187"/>
    <s v="Normal"/>
    <n v="3.972463598179758"/>
    <n v="99.99644334454166"/>
    <x v="0"/>
  </r>
  <r>
    <x v="3"/>
    <x v="1"/>
    <n v="6"/>
    <n v="-0.43010787585030746"/>
    <n v="33.355858559162158"/>
    <s v="Normal"/>
    <n v="-0.1763591010728148"/>
    <n v="43.000591680899511"/>
    <s v="Normal"/>
    <n v="0.9588694544462355"/>
    <n v="83.118774276218957"/>
    <x v="1"/>
  </r>
  <r>
    <x v="3"/>
    <x v="1"/>
    <n v="7"/>
    <n v="-1.4356054275424708"/>
    <n v="7.5557324723698267"/>
    <s v="Normal"/>
    <n v="-1.7522105940360444"/>
    <n v="3.9868801328916623"/>
    <s v="Piernas cortas"/>
    <n v="0.58710178108892142"/>
    <n v="72.143232427475596"/>
    <x v="1"/>
  </r>
  <r>
    <x v="3"/>
    <x v="1"/>
    <n v="7"/>
    <n v="0.62193981062914749"/>
    <n v="73.300927684163568"/>
    <s v="Normal"/>
    <n v="-1.2786419093095494"/>
    <n v="10.05115923335743"/>
    <s v="Normal"/>
    <n v="3.302349498123982"/>
    <n v="99.952060737731557"/>
    <x v="0"/>
  </r>
  <r>
    <x v="3"/>
    <x v="1"/>
    <n v="7"/>
    <n v="0.62193981062914749"/>
    <n v="73.300927684163568"/>
    <s v="Normal"/>
    <n v="-1.385152720115099"/>
    <n v="8.3002887111040931"/>
    <s v="Normal"/>
    <n v="0.87112091394190361"/>
    <n v="80.815593202977425"/>
    <x v="1"/>
  </r>
  <r>
    <x v="3"/>
    <x v="0"/>
    <n v="7"/>
    <n v="-1.1469263443865076"/>
    <n v="12.570603181891752"/>
    <s v="Normal"/>
    <n v="0.38480082906457097"/>
    <n v="64.980750758373091"/>
    <s v="Normal"/>
    <n v="-0.34867341906320665"/>
    <n v="36.36672509491595"/>
    <x v="1"/>
  </r>
  <r>
    <x v="3"/>
    <x v="1"/>
    <n v="7"/>
    <n v="-1.0351853586641016"/>
    <n v="15.029117754276161"/>
    <s v="Normal"/>
    <n v="-0.42285659037804618"/>
    <n v="33.619994810214997"/>
    <s v="Normal"/>
    <n v="-1.3229954074419426"/>
    <n v="9.2918452552575079"/>
    <x v="3"/>
  </r>
  <r>
    <x v="3"/>
    <x v="0"/>
    <n v="7"/>
    <n v="0.15666482597304815"/>
    <n v="56.224549524384692"/>
    <s v="Normal"/>
    <n v="-1.8598235547289328"/>
    <n v="3.1455246837001973"/>
    <s v="Piernas cortas"/>
    <n v="2.2211397512387685"/>
    <n v="98.68292513124311"/>
    <x v="0"/>
  </r>
  <r>
    <x v="3"/>
    <x v="1"/>
    <n v="7"/>
    <n v="-1.2433953940120481"/>
    <n v="10.686108338135039"/>
    <s v="Normal"/>
    <n v="-0.6234534338277079"/>
    <n v="26.649329686498735"/>
    <s v="Normal"/>
    <n v="1.4110953073650165"/>
    <n v="92.089174324866477"/>
    <x v="0"/>
  </r>
  <r>
    <x v="3"/>
    <x v="1"/>
    <n v="8"/>
    <n v="3.220501028983698E-2"/>
    <n v="51.284571969014571"/>
    <s v="Normal"/>
    <n v="0.36151941530740339"/>
    <n v="64.114440314587"/>
    <s v="Normal"/>
    <n v="1.0701602855654235"/>
    <n v="85.772641640963101"/>
    <x v="0"/>
  </r>
  <r>
    <x v="3"/>
    <x v="1"/>
    <n v="8"/>
    <n v="0.71127744655428016"/>
    <n v="76.154383767694796"/>
    <s v="Normal"/>
    <n v="-0.2839785073191427"/>
    <n v="38.821342577926721"/>
    <s v="Normal"/>
    <n v="2.7779086040166043"/>
    <n v="99.726449977126592"/>
    <x v="0"/>
  </r>
  <r>
    <x v="3"/>
    <x v="0"/>
    <n v="8"/>
    <n v="-0.58098018780060001"/>
    <n v="28.062690321212703"/>
    <s v="Normal"/>
    <n v="-1.6566929398120429"/>
    <n v="4.8790785569900326"/>
    <s v="Piernas cortas"/>
    <n v="0.63234087140535844"/>
    <n v="73.641791903099246"/>
    <x v="1"/>
  </r>
  <r>
    <x v="3"/>
    <x v="1"/>
    <n v="8"/>
    <n v="-1.1507622027809281"/>
    <n v="12.491503922813383"/>
    <s v="Normal"/>
    <n v="-0.85030378801783268"/>
    <n v="19.757810554864257"/>
    <s v="Normal"/>
    <n v="-1.354558965155594E-2"/>
    <n v="49.459625682469884"/>
    <x v="1"/>
  </r>
  <r>
    <x v="3"/>
    <x v="1"/>
    <n v="8"/>
    <n v="-0.10515339267014054"/>
    <n v="45.812704643738513"/>
    <s v="Normal"/>
    <n v="-1.5922706935501181"/>
    <n v="5.5661947449578797"/>
    <s v="Normal"/>
    <n v="-0.12265106862445628"/>
    <n v="45.119170639214929"/>
    <x v="1"/>
  </r>
  <r>
    <x v="3"/>
    <x v="1"/>
    <n v="8"/>
    <n v="-1.1507622027809281"/>
    <n v="12.491503922813383"/>
    <s v="Normal"/>
    <n v="-1.4071748733362246"/>
    <n v="7.9687770214492426"/>
    <s v="Normal"/>
    <n v="-0.43116348027614232"/>
    <n v="33.317475292918488"/>
    <x v="1"/>
  </r>
  <r>
    <x v="3"/>
    <x v="1"/>
    <n v="8"/>
    <n v="-8.0785204169758363E-3"/>
    <n v="49.677717169758807"/>
    <s v="Normal"/>
    <n v="-1.4080466585012346"/>
    <n v="7.9558627192624689"/>
    <s v="Normal"/>
    <n v="2.2195989819568474"/>
    <n v="98.677699927427412"/>
    <x v="0"/>
  </r>
  <r>
    <x v="3"/>
    <x v="1"/>
    <n v="8"/>
    <n v="-0.74579951630025032"/>
    <n v="22.789426610046533"/>
    <s v="Normal"/>
    <n v="-1.4777710734899836"/>
    <n v="6.9734531674744709"/>
    <s v="Normal"/>
    <n v="-0.4973007639227795"/>
    <n v="30.948848656700566"/>
    <x v="1"/>
  </r>
  <r>
    <x v="3"/>
    <x v="0"/>
    <n v="7"/>
    <n v="-0.89301575006078837"/>
    <n v="18.59243691215368"/>
    <s v="Normal"/>
    <n v="0.33930509652015151"/>
    <n v="63.28100481601264"/>
    <s v="Normal"/>
    <n v="-0.49331833530051966"/>
    <n v="31.089383748165851"/>
    <x v="1"/>
  </r>
  <r>
    <x v="3"/>
    <x v="1"/>
    <n v="7"/>
    <n v="-0.34374024090075989"/>
    <n v="36.552082265171343"/>
    <s v="Normal"/>
    <n v="-5.8898565479825263E-2"/>
    <n v="47.65164503255798"/>
    <s v="Normal"/>
    <n v="1.1195551912308359"/>
    <n v="86.854832032376393"/>
    <x v="0"/>
  </r>
  <r>
    <x v="3"/>
    <x v="0"/>
    <n v="8"/>
    <n v="-2.0240996963775419"/>
    <n v="2.1479947431373159"/>
    <s v="Desnutricion"/>
    <n v="-1.1353780200860497"/>
    <n v="12.810848251304105"/>
    <s v="Normal"/>
    <n v="0.82108393738040253"/>
    <n v="79.420077065119315"/>
    <x v="1"/>
  </r>
  <r>
    <x v="3"/>
    <x v="1"/>
    <n v="8"/>
    <n v="0.6612753854212744"/>
    <n v="74.578213805017782"/>
    <s v="Normal"/>
    <n v="-0.43733248626695914"/>
    <n v="33.093511940776104"/>
    <s v="Normal"/>
    <n v="0.33389381661542267"/>
    <n v="63.077015703983406"/>
    <x v="1"/>
  </r>
  <r>
    <x v="3"/>
    <x v="0"/>
    <n v="8"/>
    <n v="-0.17895604500987727"/>
    <n v="42.898610772940835"/>
    <s v="Normal"/>
    <n v="-2.2503322025326953"/>
    <n v="1.221393260211395"/>
    <s v="Piernas cortas"/>
    <n v="1.67521509936761"/>
    <n v="95.305398197232222"/>
    <x v="0"/>
  </r>
  <r>
    <x v="3"/>
    <x v="1"/>
    <n v="8"/>
    <n v="1.0232644435598164"/>
    <n v="84.690858477926156"/>
    <s v="Normal"/>
    <n v="-0.5440796369664278"/>
    <n v="29.31933362271668"/>
    <s v="Normal"/>
    <n v="3.1355992170285485"/>
    <n v="99.914248297702343"/>
    <x v="0"/>
  </r>
  <r>
    <x v="3"/>
    <x v="0"/>
    <n v="8"/>
    <n v="-9.0649702744721908E-2"/>
    <n v="46.388546869803029"/>
    <s v="Normal"/>
    <n v="-1.10301115143285"/>
    <n v="13.501116124179614"/>
    <s v="Normal"/>
    <n v="0.33373514059284837"/>
    <n v="63.071028498042068"/>
    <x v="1"/>
  </r>
  <r>
    <x v="3"/>
    <x v="0"/>
    <n v="8"/>
    <n v="1.276615798683959"/>
    <n v="89.913103928984398"/>
    <s v="Normal"/>
    <n v="-0.59983138383362089"/>
    <n v="27.430930764719974"/>
    <s v="Normal"/>
    <n v="1.896292044823163"/>
    <n v="97.103928118821585"/>
    <x v="0"/>
  </r>
  <r>
    <x v="3"/>
    <x v="0"/>
    <n v="8"/>
    <n v="-0.94519064113764739"/>
    <n v="17.228077828794184"/>
    <s v="Normal"/>
    <n v="-1.0899752229645032"/>
    <n v="13.786202926679058"/>
    <s v="Normal"/>
    <n v="0.27791164376650451"/>
    <n v="60.94599072818361"/>
    <x v="1"/>
  </r>
  <r>
    <x v="3"/>
    <x v="1"/>
    <n v="8"/>
    <n v="-0.65389652214146177"/>
    <n v="25.658923737614899"/>
    <s v="Normal"/>
    <n v="-0.86721005143803109"/>
    <n v="19.291346496324902"/>
    <s v="Normal"/>
    <n v="0.31811127049229276"/>
    <n v="62.479973262804123"/>
    <x v="1"/>
  </r>
  <r>
    <x v="3"/>
    <x v="0"/>
    <n v="8"/>
    <n v="2.0528442093343191"/>
    <n v="97.995615533590254"/>
    <s v="Alto"/>
    <n v="-1.0903858429707807"/>
    <n v="13.777160769193941"/>
    <s v="Normal"/>
    <n v="2.567558275914767"/>
    <n v="99.487912136393916"/>
    <x v="0"/>
  </r>
  <r>
    <x v="3"/>
    <x v="1"/>
    <n v="8"/>
    <n v="-0.65389652214146177"/>
    <n v="25.658923737614899"/>
    <s v="Normal"/>
    <n v="4.127059534698501E-2"/>
    <n v="51.645991269791857"/>
    <s v="Normal"/>
    <n v="-1.2538125939934819"/>
    <n v="10.495506526157428"/>
    <x v="3"/>
  </r>
  <r>
    <x v="3"/>
    <x v="0"/>
    <n v="8"/>
    <n v="0.84733137361670063"/>
    <n v="80.159477795412869"/>
    <s v="Normal"/>
    <n v="-0.78387260022447136"/>
    <n v="21.655743431555575"/>
    <s v="Normal"/>
    <n v="1.4107560533944519"/>
    <n v="92.084172165245533"/>
    <x v="0"/>
  </r>
  <r>
    <x v="3"/>
    <x v="0"/>
    <n v="8"/>
    <n v="-0.17352930020515261"/>
    <n v="43.11176994956687"/>
    <s v="Normal"/>
    <n v="-1.6566929398120429"/>
    <n v="4.8790785569900326"/>
    <s v="Piernas cortas"/>
    <n v="0.892131889082319"/>
    <n v="81.383887791847442"/>
    <x v="1"/>
  </r>
  <r>
    <x v="3"/>
    <x v="1"/>
    <n v="8"/>
    <n v="-1.1507622027809281"/>
    <n v="12.491503922813383"/>
    <s v="Normal"/>
    <n v="-2.0324318947511872"/>
    <n v="2.1054975970270706"/>
    <s v="Piernas cortas"/>
    <n v="0.52333658827332286"/>
    <n v="69.962997818962663"/>
    <x v="1"/>
  </r>
  <r>
    <x v="3"/>
    <x v="1"/>
    <n v="7"/>
    <n v="0.21082494305002958"/>
    <n v="58.34880628872461"/>
    <s v="Normal"/>
    <n v="-0.91883308691979271"/>
    <n v="17.909144166967998"/>
    <s v="Normal"/>
    <n v="2.3298466150231993"/>
    <n v="99.009287029057958"/>
    <x v="0"/>
  </r>
  <r>
    <x v="3"/>
    <x v="0"/>
    <n v="8"/>
    <n v="-7.2791023680143282E-3"/>
    <n v="49.709608394621057"/>
    <s v="Normal"/>
    <n v="-2.2779504927103944"/>
    <n v="1.136476370749812"/>
    <s v="Piernas cortas"/>
    <n v="2.8700756476445966"/>
    <n v="99.794813195614367"/>
    <x v="0"/>
  </r>
  <r>
    <x v="3"/>
    <x v="0"/>
    <n v="8"/>
    <n v="-0.52230993029359829"/>
    <n v="30.072727812082334"/>
    <s v="Normal"/>
    <n v="-1.5024974281613379"/>
    <n v="6.6484345822764066"/>
    <s v="Normal"/>
    <n v="-0.65896814821346561"/>
    <n v="25.495811126504226"/>
    <x v="1"/>
  </r>
  <r>
    <x v="3"/>
    <x v="1"/>
    <n v="8"/>
    <n v="1.2833659259600396"/>
    <n v="90.031804714749512"/>
    <s v="Normal"/>
    <n v="0.29652297974256903"/>
    <n v="61.65846398342898"/>
    <s v="Normal"/>
    <n v="-0.19497254598793337"/>
    <n v="42.270722013698879"/>
    <x v="1"/>
  </r>
  <r>
    <x v="3"/>
    <x v="1"/>
    <n v="8"/>
    <n v="0.13011627640528184"/>
    <n v="55.176278355753048"/>
    <s v="Normal"/>
    <n v="-0.53321408922011848"/>
    <n v="29.694269480555636"/>
    <s v="Normal"/>
    <n v="0.2821739314675174"/>
    <n v="61.109492693229171"/>
    <x v="1"/>
  </r>
  <r>
    <x v="3"/>
    <x v="1"/>
    <n v="8"/>
    <n v="-1.1092549779653615"/>
    <n v="13.36601006976657"/>
    <s v="Normal"/>
    <n v="-45.330926481621709"/>
    <n v="0"/>
    <s v="Piernas cortas"/>
    <n v="2.5488887155601132"/>
    <n v="99.459666108139871"/>
    <x v="0"/>
  </r>
  <r>
    <x v="3"/>
    <x v="0"/>
    <n v="9"/>
    <n v="-0.24482029883436127"/>
    <n v="40.329778796247354"/>
    <s v="Normal"/>
    <n v="-0.93995573349505623"/>
    <n v="17.36201336626506"/>
    <s v="Normal"/>
    <n v="1.9772229452215917"/>
    <n v="97.599178245648602"/>
    <x v="0"/>
  </r>
  <r>
    <x v="3"/>
    <x v="0"/>
    <n v="9"/>
    <n v="-0.24482029883436127"/>
    <n v="40.329778796247354"/>
    <s v="Normal"/>
    <n v="-0.83662861015338752"/>
    <n v="20.140067932244047"/>
    <s v="Normal"/>
    <n v="0.31554024906494055"/>
    <n v="62.382425182627223"/>
    <x v="1"/>
  </r>
  <r>
    <x v="3"/>
    <x v="0"/>
    <n v="9"/>
    <n v="-1.2110890746573957"/>
    <n v="11.293063406764576"/>
    <s v="Normal"/>
    <n v="-2.3158087916841823"/>
    <n v="1.0284355499245028"/>
    <s v="Piernas cortas"/>
    <n v="-0.44874180621830045"/>
    <n v="32.680896138960641"/>
    <x v="1"/>
  </r>
  <r>
    <x v="3"/>
    <x v="0"/>
    <n v="9"/>
    <n v="0.32147360733456298"/>
    <n v="62.607424501381089"/>
    <s v="Normal"/>
    <n v="-0.99556735357076798"/>
    <n v="15.973020175495495"/>
    <s v="Normal"/>
    <n v="0.29517867329723757"/>
    <n v="61.607130360544858"/>
    <x v="1"/>
  </r>
  <r>
    <x v="3"/>
    <x v="0"/>
    <n v="9"/>
    <n v="0.57368770025196025"/>
    <n v="71.691042349729301"/>
    <s v="Normal"/>
    <n v="-2.1854298165739392"/>
    <n v="1.4428673333492772"/>
    <s v="Piernas cortas"/>
    <n v="0.5316517493893973"/>
    <n v="70.251639197669661"/>
    <x v="1"/>
  </r>
  <r>
    <x v="3"/>
    <x v="0"/>
    <n v="9"/>
    <n v="0.56744406997767871"/>
    <n v="71.479374218247457"/>
    <s v="Normal"/>
    <n v="-0.28393387205448645"/>
    <n v="38.823052905728098"/>
    <s v="Normal"/>
    <n v="-1.1884383311841045"/>
    <n v="11.733038117893486"/>
    <x v="3"/>
  </r>
  <r>
    <x v="3"/>
    <x v="0"/>
    <n v="8"/>
    <n v="-0.82673978663923176"/>
    <n v="20.419228261921191"/>
    <s v="Normal"/>
    <n v="-1.3447403486905045"/>
    <n v="8.9354549868501802"/>
    <s v="Normal"/>
    <n v="1.9047561541174676"/>
    <n v="97.159411210017723"/>
    <x v="0"/>
  </r>
  <r>
    <x v="3"/>
    <x v="0"/>
    <n v="9"/>
    <n v="-1.0452341464070878"/>
    <n v="14.795738265013586"/>
    <s v="Normal"/>
    <n v="-0.73804412250142259"/>
    <n v="23.024381868966586"/>
    <s v="Normal"/>
    <n v="-0.6686070032665189"/>
    <n v="25.187310200306364"/>
    <x v="1"/>
  </r>
  <r>
    <x v="3"/>
    <x v="1"/>
    <n v="8"/>
    <n v="0.54150933748817309"/>
    <n v="70.592171828755937"/>
    <s v="Normal"/>
    <n v="-0.19840513211189742"/>
    <n v="42.136405120827725"/>
    <s v="Normal"/>
    <n v="1.7266001426992903"/>
    <n v="95.788024985052743"/>
    <x v="0"/>
  </r>
  <r>
    <x v="3"/>
    <x v="0"/>
    <n v="9"/>
    <n v="0.57368770025196025"/>
    <n v="71.691042349729301"/>
    <s v="Normal"/>
    <n v="-1.4040342201443687"/>
    <n v="8.0154329863485163"/>
    <s v="Normal"/>
    <n v="1.1416226811507122"/>
    <n v="87.319455396462715"/>
    <x v="0"/>
  </r>
  <r>
    <x v="3"/>
    <x v="0"/>
    <n v="9"/>
    <n v="-0.16281353638495782"/>
    <n v="43.533262499507117"/>
    <s v="Normal"/>
    <n v="-0.18322090111831629"/>
    <n v="42.731234761854999"/>
    <s v="Normal"/>
    <n v="0.36474893912751022"/>
    <n v="64.235058825471114"/>
    <x v="1"/>
  </r>
  <r>
    <x v="3"/>
    <x v="0"/>
    <n v="8"/>
    <n v="0.65882259763876827"/>
    <n v="74.499515279183285"/>
    <s v="Normal"/>
    <n v="1.2234514609591334E-2"/>
    <n v="50.488074339664934"/>
    <s v="Normal"/>
    <n v="-1.2078156533322197"/>
    <n v="11.355908952663169"/>
    <x v="3"/>
  </r>
  <r>
    <x v="3"/>
    <x v="0"/>
    <n v="8"/>
    <n v="-0.65593014161240959"/>
    <n v="25.593453672680756"/>
    <s v="Normal"/>
    <n v="-1.0837332184790498"/>
    <n v="13.924155128414577"/>
    <s v="Normal"/>
    <n v="0.5878357989761902"/>
    <n v="72.167874369891251"/>
    <x v="1"/>
  </r>
  <r>
    <x v="3"/>
    <x v="0"/>
    <n v="9"/>
    <n v="0.23831408907715468"/>
    <n v="59.418125269778663"/>
    <s v="Normal"/>
    <n v="-1.1990960978322018"/>
    <n v="11.524529062283356"/>
    <s v="Normal"/>
    <n v="1.3712156523633725"/>
    <n v="91.484612987029365"/>
    <x v="0"/>
  </r>
  <r>
    <x v="3"/>
    <x v="0"/>
    <n v="9"/>
    <n v="0.23314426228526869"/>
    <n v="59.217530728271562"/>
    <s v="Normal"/>
    <n v="-0.13688216160100475"/>
    <n v="44.556196954271307"/>
    <s v="Normal"/>
    <n v="0.66303910206639349"/>
    <n v="74.634724436311473"/>
    <x v="1"/>
  </r>
  <r>
    <x v="3"/>
    <x v="1"/>
    <n v="9"/>
    <n v="-9.9108936235136405E-2"/>
    <n v="46.052588846696537"/>
    <s v="Normal"/>
    <n v="-2.0637321293971045"/>
    <n v="1.9521560632430217"/>
    <s v="Piernas cortas"/>
    <n v="1.3131534520801931"/>
    <n v="90.543437730822561"/>
    <x v="0"/>
  </r>
  <r>
    <x v="3"/>
    <x v="0"/>
    <n v="9"/>
    <n v="0.15071046937844887"/>
    <n v="55.98979428982345"/>
    <s v="Normal"/>
    <n v="0.25170901203479568"/>
    <n v="59.936700467777285"/>
    <s v="Normal"/>
    <n v="0.39056483374507517"/>
    <n v="65.194053819745378"/>
    <x v="1"/>
  </r>
  <r>
    <x v="3"/>
    <x v="1"/>
    <n v="7"/>
    <n v="3.2823471376583348E-2"/>
    <n v="51.309231957832303"/>
    <s v="Normal"/>
    <n v="-0.57759661039999144"/>
    <n v="28.176824796786676"/>
    <s v="Normal"/>
    <n v="2.5030039918891509"/>
    <n v="99.384279224350308"/>
    <x v="0"/>
  </r>
  <r>
    <x v="3"/>
    <x v="1"/>
    <n v="9"/>
    <n v="-0.19097265594165122"/>
    <n v="42.427350813109207"/>
    <s v="Normal"/>
    <n v="-1.5735993118265394"/>
    <n v="5.7790056229727975"/>
    <s v="Normal"/>
    <n v="1.8512250211134862"/>
    <n v="96.793140621534903"/>
    <x v="0"/>
  </r>
  <r>
    <x v="3"/>
    <x v="1"/>
    <n v="9"/>
    <n v="0.60120028928447222"/>
    <n v="72.61467040862388"/>
    <s v="Normal"/>
    <n v="-1.7405689779939355"/>
    <n v="4.0879579668998876"/>
    <s v="Piernas cortas"/>
    <n v="2.7488845763842966"/>
    <n v="99.701007802010764"/>
    <x v="0"/>
  </r>
  <r>
    <x v="3"/>
    <x v="0"/>
    <n v="9"/>
    <n v="-2.0163130545099222"/>
    <n v="2.1883625344283537"/>
    <s v="Desnutricion"/>
    <n v="-2.2261283970245822"/>
    <n v="1.3002791170046404"/>
    <s v="Piernas cortas"/>
    <n v="-0.51917685052796758"/>
    <n v="30.181871034496265"/>
    <x v="1"/>
  </r>
  <r>
    <x v="3"/>
    <x v="0"/>
    <n v="9"/>
    <n v="0.31607673084814658"/>
    <n v="62.402786593151149"/>
    <s v="Normal"/>
    <n v="-1.6414041696236255"/>
    <n v="5.0356772463965411"/>
    <s v="Normal"/>
    <n v="2.7246367573117114"/>
    <n v="99.678138674967428"/>
    <x v="0"/>
  </r>
  <r>
    <x v="3"/>
    <x v="0"/>
    <n v="9"/>
    <n v="-0.81036184752004081"/>
    <n v="20.886611938829958"/>
    <s v="Normal"/>
    <n v="-1.2728057150542316"/>
    <n v="10.15434963450805"/>
    <s v="Normal"/>
    <n v="-0.53051504294208862"/>
    <n v="29.787744100690176"/>
    <x v="1"/>
  </r>
  <r>
    <x v="3"/>
    <x v="1"/>
    <n v="9"/>
    <n v="-2.1097895244839338"/>
    <n v="1.7438244587711795"/>
    <s v="Desnutricion"/>
    <n v="-1.0878598246858566"/>
    <n v="13.832849716311443"/>
    <s v="Normal"/>
    <n v="-0.59698671865809605"/>
    <n v="27.525812394459624"/>
    <x v="1"/>
  </r>
  <r>
    <x v="3"/>
    <x v="0"/>
    <n v="8"/>
    <n v="-1.2360876882438003"/>
    <n v="10.821298538608563"/>
    <s v="Normal"/>
    <n v="-0.88265402572048923"/>
    <n v="18.871161450548712"/>
    <s v="Normal"/>
    <n v="-0.18891367489805144"/>
    <n v="42.508023777134255"/>
    <x v="1"/>
  </r>
  <r>
    <x v="3"/>
    <x v="1"/>
    <n v="8"/>
    <n v="0.72451703450151561"/>
    <n v="76.562581345907532"/>
    <s v="Normal"/>
    <n v="-0.66194689969106779"/>
    <n v="25.400262660197075"/>
    <s v="Normal"/>
    <n v="-2.7181814147920581E-2"/>
    <n v="48.915736027738951"/>
    <x v="1"/>
  </r>
  <r>
    <x v="3"/>
    <x v="1"/>
    <n v="9"/>
    <n v="-1.2871462810243259"/>
    <n v="9.9021653401519565"/>
    <s v="Normal"/>
    <n v="-0.4964151630108935"/>
    <n v="30.980076460404383"/>
    <s v="Normal"/>
    <n v="-0.58752064516572566"/>
    <n v="27.842704454790585"/>
    <x v="1"/>
  </r>
  <r>
    <x v="3"/>
    <x v="1"/>
    <n v="9"/>
    <n v="-0.73118609421763059"/>
    <n v="23.23327463731157"/>
    <s v="Normal"/>
    <n v="-1.6826451482406846"/>
    <n v="4.6221903052231417"/>
    <s v="Piernas cortas"/>
    <n v="2.3711566126941075"/>
    <n v="99.113374224700195"/>
    <x v="0"/>
  </r>
  <r>
    <x v="3"/>
    <x v="0"/>
    <n v="8"/>
    <n v="-0.24583117853516676"/>
    <n v="40.290646027303865"/>
    <s v="Normal"/>
    <n v="-2.302546498881759"/>
    <n v="1.0652186162327328"/>
    <s v="Piernas cortas"/>
    <n v="2.6209198728662932"/>
    <n v="99.561535648804551"/>
    <x v="0"/>
  </r>
  <r>
    <x v="3"/>
    <x v="0"/>
    <n v="8"/>
    <n v="0.4143398279372541"/>
    <n v="66.068737524182936"/>
    <s v="Normal"/>
    <n v="-0.97434648250860079"/>
    <n v="16.494226619295311"/>
    <s v="Normal"/>
    <n v="6.9114943104085225E-2"/>
    <n v="52.755093670251775"/>
    <x v="1"/>
  </r>
  <r>
    <x v="3"/>
    <x v="1"/>
    <n v="8"/>
    <n v="-0.11567806070851852"/>
    <n v="45.395384726148741"/>
    <s v="Normal"/>
    <n v="-0.64056850082928241"/>
    <n v="26.090153515056759"/>
    <s v="Normal"/>
    <n v="2.0226633612679428"/>
    <n v="97.844606660364647"/>
    <x v="0"/>
  </r>
  <r>
    <x v="3"/>
    <x v="1"/>
    <n v="9"/>
    <n v="-0.55427775401662149"/>
    <n v="28.969438623630161"/>
    <s v="Normal"/>
    <n v="-1.957341309940581"/>
    <n v="2.5153676861963614"/>
    <s v="Piernas cortas"/>
    <n v="0.60716436563056964"/>
    <n v="72.812908099022238"/>
    <x v="1"/>
  </r>
  <r>
    <x v="3"/>
    <x v="1"/>
    <n v="10"/>
    <n v="-0.12740777377898166"/>
    <n v="44.930883189904186"/>
    <s v="Normal"/>
    <n v="-1.3418815842768506"/>
    <n v="8.9817196871915606"/>
    <s v="Normal"/>
    <n v="1.9301561605235573"/>
    <n v="97.320625418821635"/>
    <x v="0"/>
  </r>
  <r>
    <x v="3"/>
    <x v="1"/>
    <n v="10"/>
    <n v="-0.29954366622628681"/>
    <n v="38.226262985968653"/>
    <s v="Normal"/>
    <n v="0.14598589323453445"/>
    <n v="55.8033737657899"/>
    <s v="Normal"/>
    <n v="1.8176390944692637"/>
    <n v="96.544034387597961"/>
    <x v="0"/>
  </r>
  <r>
    <x v="3"/>
    <x v="0"/>
    <n v="10"/>
    <n v="0.36951987798720987"/>
    <n v="64.41298702699585"/>
    <s v="Normal"/>
    <n v="-1.5251109384176658"/>
    <n v="6.3615714686586404"/>
    <s v="Normal"/>
    <n v="0.45127290730766423"/>
    <n v="67.410356558257618"/>
    <x v="1"/>
  </r>
  <r>
    <x v="3"/>
    <x v="0"/>
    <n v="9"/>
    <n v="-0.17519375353300354"/>
    <n v="43.046369619343857"/>
    <s v="Normal"/>
    <n v="-2.4233367573487619"/>
    <n v="0.76893316261221056"/>
    <s v="Piernas cortas"/>
    <n v="2.1884820467502708"/>
    <n v="98.568274619573714"/>
    <x v="0"/>
  </r>
  <r>
    <x v="3"/>
    <x v="0"/>
    <n v="10"/>
    <n v="1.6022740201017596"/>
    <n v="94.545248597526083"/>
    <s v="Normal"/>
    <n v="-26.024676827577245"/>
    <n v="1.3018965177299046E-147"/>
    <s v="Piernas cortas"/>
    <n v="2.8442432170226613"/>
    <n v="99.777414738932478"/>
    <x v="0"/>
  </r>
  <r>
    <x v="3"/>
    <x v="0"/>
    <n v="9"/>
    <n v="-1.5112359888017823"/>
    <n v="6.5364168092147343"/>
    <s v="Normal"/>
    <n v="-1.3462518395577612"/>
    <n v="8.9110655931514486"/>
    <s v="Normal"/>
    <n v="-0.99599774651770701"/>
    <n v="15.962562004861642"/>
    <x v="1"/>
  </r>
  <r>
    <x v="3"/>
    <x v="0"/>
    <n v="9"/>
    <n v="0.22062310428577941"/>
    <n v="58.730704515345856"/>
    <s v="Normal"/>
    <n v="-0.4583810966921617"/>
    <n v="32.33393350667145"/>
    <s v="Normal"/>
    <n v="0.38165311324936591"/>
    <n v="64.864065886690838"/>
    <x v="1"/>
  </r>
  <r>
    <x v="3"/>
    <x v="0"/>
    <n v="9"/>
    <n v="-2.2147019436727216"/>
    <n v="1.3390264685427828"/>
    <s v="Desnutricion"/>
    <n v="-2.5779435167287992"/>
    <n v="0.49695121350116095"/>
    <s v="Piernas cortas"/>
    <n v="0.34196810751460405"/>
    <n v="63.381255328642453"/>
    <x v="1"/>
  </r>
  <r>
    <x v="3"/>
    <x v="0"/>
    <n v="11"/>
    <n v="-0.54695508939070769"/>
    <n v="29.220479343283923"/>
    <s v="Normal"/>
    <n v="-1.3372263169986387"/>
    <n v="9.0574387010937425"/>
    <s v="Normal"/>
    <n v="0.6914064885583745"/>
    <n v="75.534493618329606"/>
    <x v="1"/>
  </r>
  <r>
    <x v="3"/>
    <x v="0"/>
    <n v="11"/>
    <n v="0.78264969804314499"/>
    <n v="78.308357566799543"/>
    <s v="Normal"/>
    <n v="-0.57838312620413257"/>
    <n v="28.150274178653461"/>
    <s v="Normal"/>
    <n v="1.5677128268081888"/>
    <n v="94.152591658037494"/>
    <x v="0"/>
  </r>
  <r>
    <x v="3"/>
    <x v="0"/>
    <n v="11"/>
    <n v="0.13004420699078983"/>
    <n v="55.173427424536115"/>
    <s v="Normal"/>
    <n v="-1.8096703476049472"/>
    <n v="3.5173461762512312"/>
    <s v="Piernas cortas"/>
    <n v="2.2378663346864283"/>
    <n v="98.738511350051681"/>
    <x v="0"/>
  </r>
  <r>
    <x v="3"/>
    <x v="0"/>
    <n v="11"/>
    <n v="-0.99015668520199362"/>
    <n v="16.104877012926"/>
    <s v="Normal"/>
    <n v="-0.9491187872439979"/>
    <n v="17.128010009782464"/>
    <s v="Normal"/>
    <n v="-0.14003259430637144"/>
    <n v="44.43171187860014"/>
    <x v="1"/>
  </r>
  <r>
    <x v="3"/>
    <x v="0"/>
    <n v="11"/>
    <n v="1.1050667774972223"/>
    <n v="86.543467255183117"/>
    <s v="Normal"/>
    <n v="-1.2452915567919574"/>
    <n v="10.651229906024193"/>
    <s v="Normal"/>
    <n v="1.9135910806318865"/>
    <n v="97.216378719287462"/>
    <x v="0"/>
  </r>
  <r>
    <x v="3"/>
    <x v="0"/>
    <n v="11"/>
    <n v="0.87417448274492882"/>
    <n v="80.898837994562086"/>
    <s v="Normal"/>
    <n v="-0.5884416472578522"/>
    <n v="27.811794516974743"/>
    <s v="Normal"/>
    <n v="-1.2806453706069563"/>
    <n v="10.015912806084113"/>
    <x v="3"/>
  </r>
  <r>
    <x v="3"/>
    <x v="0"/>
    <n v="11"/>
    <n v="0.43953996876108403"/>
    <n v="66.986483612514164"/>
    <s v="Normal"/>
    <n v="-0.63006226413998978"/>
    <n v="26.432692386170377"/>
    <s v="Normal"/>
    <n v="-0.93960712564183879"/>
    <n v="17.370955993911991"/>
    <x v="1"/>
  </r>
  <r>
    <x v="3"/>
    <x v="1"/>
    <n v="11"/>
    <n v="6.9264247556456895E-2"/>
    <n v="52.761035815960497"/>
    <s v="Normal"/>
    <n v="-1.1586283019696633"/>
    <n v="12.330386371180049"/>
    <s v="Normal"/>
    <n v="0.48145397600729894"/>
    <n v="68.490305872302599"/>
    <x v="1"/>
  </r>
  <r>
    <x v="3"/>
    <x v="1"/>
    <n v="11"/>
    <n v="1.0907870143614924"/>
    <n v="86.231669413814231"/>
    <s v="Normal"/>
    <n v="-1.2880589442331849"/>
    <n v="9.8862722714879592"/>
    <s v="Normal"/>
    <n v="2.2368332275072831"/>
    <n v="98.735137900760634"/>
    <x v="0"/>
  </r>
  <r>
    <x v="3"/>
    <x v="1"/>
    <n v="10"/>
    <n v="-0.17860703049505014"/>
    <n v="42.912313686254613"/>
    <s v="Normal"/>
    <n v="-0.88567679038822478"/>
    <n v="18.789585931867048"/>
    <s v="Normal"/>
    <n v="2.0643957924336771"/>
    <n v="98.050989745351515"/>
    <x v="0"/>
  </r>
  <r>
    <x v="3"/>
    <x v="1"/>
    <n v="10"/>
    <n v="-0.64818258459662226"/>
    <n v="25.843343226295957"/>
    <s v="Normal"/>
    <n v="-0.29661414069363973"/>
    <n v="38.338055688525365"/>
    <s v="Normal"/>
    <n v="0.20824881775879861"/>
    <n v="58.248265351388142"/>
    <x v="1"/>
  </r>
  <r>
    <x v="3"/>
    <x v="1"/>
    <n v="11"/>
    <n v="1.3043766112685957"/>
    <n v="90.394739714500801"/>
    <s v="Normal"/>
    <n v="-0.58165256758666006"/>
    <n v="28.040036346182546"/>
    <s v="Normal"/>
    <n v="2.8239454056366027"/>
    <n v="99.762817678779086"/>
    <x v="0"/>
  </r>
  <r>
    <x v="3"/>
    <x v="1"/>
    <n v="11"/>
    <n v="0.50625122623439178"/>
    <n v="69.36598510740437"/>
    <s v="Normal"/>
    <n v="-0.99964269805178541"/>
    <n v="15.874172598829611"/>
    <s v="Normal"/>
    <n v="1.7998860524099654"/>
    <n v="96.406068378417558"/>
    <x v="0"/>
  </r>
  <r>
    <x v="3"/>
    <x v="1"/>
    <n v="11"/>
    <n v="2.0541578032572874"/>
    <n v="98.001978950773989"/>
    <s v="Alto"/>
    <n v="-1.2220018283563789"/>
    <n v="11.085346778648633"/>
    <s v="Normal"/>
    <n v="2.4082976054354273"/>
    <n v="99.198644492920835"/>
    <x v="0"/>
  </r>
  <r>
    <x v="3"/>
    <x v="1"/>
    <n v="11"/>
    <n v="-0.16530508186935369"/>
    <n v="43.435192954783481"/>
    <s v="Normal"/>
    <n v="-1.0505764274614131"/>
    <n v="14.672658609723896"/>
    <s v="Normal"/>
    <n v="1.2600916851055859"/>
    <n v="89.618185527263421"/>
    <x v="0"/>
  </r>
  <r>
    <x v="3"/>
    <x v="1"/>
    <n v="10"/>
    <n v="0.41046976197617463"/>
    <n v="65.926930970827243"/>
    <s v="Normal"/>
    <n v="-1.18112689525278"/>
    <n v="11.877615852694392"/>
    <s v="Normal"/>
    <n v="0.93528280835744804"/>
    <n v="82.517871367032797"/>
    <x v="1"/>
  </r>
  <r>
    <x v="3"/>
    <x v="1"/>
    <n v="10"/>
    <n v="-1.0779374962304551"/>
    <n v="14.053082528440028"/>
    <s v="Normal"/>
    <n v="-1.0694355994243516"/>
    <n v="14.24367166693759"/>
    <s v="Normal"/>
    <n v="-0.5484521493500556"/>
    <n v="29.16907384600378"/>
    <x v="1"/>
  </r>
  <r>
    <x v="3"/>
    <x v="0"/>
    <n v="11"/>
    <n v="-0.91173817906500387"/>
    <n v="18.095328038246461"/>
    <s v="Normal"/>
    <n v="-1.6518049781971667"/>
    <n v="4.9287156770057212"/>
    <s v="Piernas cortas"/>
    <n v="7.4739738033312533E-2"/>
    <n v="52.978910515126017"/>
    <x v="1"/>
  </r>
  <r>
    <x v="3"/>
    <x v="0"/>
    <n v="11"/>
    <n v="-8.8809469309322875E-2"/>
    <n v="46.461666600502966"/>
    <s v="Normal"/>
    <n v="-0.56995314228313965"/>
    <n v="28.435473984957895"/>
    <s v="Normal"/>
    <n v="-0.78593022750477526"/>
    <n v="21.595418228134147"/>
    <x v="1"/>
  </r>
  <r>
    <x v="3"/>
    <x v="0"/>
    <n v="10"/>
    <n v="-1.728726789060977"/>
    <n v="4.1929002212457736"/>
    <s v="Desnutricion"/>
    <n v="-0.79554824511177402"/>
    <n v="21.314732928400431"/>
    <s v="Normal"/>
    <n v="-0.16028054023539082"/>
    <n v="43.633004366699609"/>
    <x v="1"/>
  </r>
  <r>
    <x v="3"/>
    <x v="0"/>
    <n v="11"/>
    <n v="-7.9217637014703413E-2"/>
    <n v="46.842975818408163"/>
    <s v="Normal"/>
    <n v="-2.6096972044492501"/>
    <n v="0.45311198227622285"/>
    <s v="Piernas cortas"/>
    <n v="2.0963414365363904"/>
    <n v="98.197404327438136"/>
    <x v="0"/>
  </r>
  <r>
    <x v="3"/>
    <x v="1"/>
    <n v="11"/>
    <n v="1.5354845599285853"/>
    <n v="93.766757657191718"/>
    <s v="Normal"/>
    <n v="-1.4909433635011742"/>
    <n v="6.7988182589724371"/>
    <s v="Normal"/>
    <n v="1.5379718187697067"/>
    <n v="93.797224728672887"/>
    <x v="0"/>
  </r>
  <r>
    <x v="3"/>
    <x v="1"/>
    <n v="11"/>
    <n v="-0.9731320230348891"/>
    <n v="16.524384512405351"/>
    <s v="Normal"/>
    <n v="-0.25309734933604705"/>
    <n v="40.009649356749797"/>
    <s v="Normal"/>
    <n v="-0.25810560050646525"/>
    <n v="39.816270470559957"/>
    <x v="1"/>
  </r>
  <r>
    <x v="3"/>
    <x v="1"/>
    <n v="10"/>
    <n v="-2.8718619539148543E-2"/>
    <n v="48.854450312360967"/>
    <s v="Normal"/>
    <n v="-1.2115386940868684"/>
    <n v="11.284450712198884"/>
    <s v="Normal"/>
    <n v="2.3881166575292934"/>
    <n v="99.153251736475156"/>
    <x v="0"/>
  </r>
  <r>
    <x v="3"/>
    <x v="1"/>
    <n v="11"/>
    <n v="0.1318458832022916"/>
    <n v="55.244690311867771"/>
    <s v="Normal"/>
    <n v="-0.49155395058302709"/>
    <n v="31.151735196734371"/>
    <s v="Normal"/>
    <n v="1.9456084226726069"/>
    <n v="97.414910275225992"/>
    <x v="0"/>
  </r>
  <r>
    <x v="3"/>
    <x v="1"/>
    <n v="10"/>
    <n v="0.71294186099697376"/>
    <n v="76.205913289990988"/>
    <s v="Normal"/>
    <n v="-0.22132135614805964"/>
    <n v="41.24211112315416"/>
    <s v="Normal"/>
    <n v="0.31013517822131176"/>
    <n v="62.177091906727924"/>
    <x v="1"/>
  </r>
  <r>
    <x v="3"/>
    <x v="1"/>
    <n v="11"/>
    <n v="0.94961534370324729"/>
    <n v="82.884613042035483"/>
    <s v="Normal"/>
    <n v="-1.3298797306027823"/>
    <n v="9.177895038122184"/>
    <s v="Normal"/>
    <n v="1.3051498648122286"/>
    <n v="90.407908902150297"/>
    <x v="0"/>
  </r>
  <r>
    <x v="3"/>
    <x v="1"/>
    <n v="11"/>
    <n v="1.0975189872984887"/>
    <n v="86.379270738469287"/>
    <s v="Normal"/>
    <n v="-0.84835680741834862"/>
    <n v="19.811964476551619"/>
    <s v="Normal"/>
    <n v="2.8261845180596765"/>
    <n v="99.764469397904051"/>
    <x v="0"/>
  </r>
  <r>
    <x v="3"/>
    <x v="1"/>
    <n v="11"/>
    <n v="1.1667317712884884"/>
    <n v="87.834064597420706"/>
    <s v="Normal"/>
    <n v="-1.0567429216942898"/>
    <n v="14.531446518505128"/>
    <s v="Normal"/>
    <n v="2.1509173165981639"/>
    <n v="98.425863676076958"/>
    <x v="0"/>
  </r>
  <r>
    <x v="3"/>
    <x v="0"/>
    <n v="11"/>
    <n v="-9.7208853299697889E-2"/>
    <n v="46.128026871448014"/>
    <s v="Normal"/>
    <n v="-0.42178974109158968"/>
    <n v="33.658924722099925"/>
    <s v="Normal"/>
    <n v="-1.4264852964067669"/>
    <n v="7.6864154083359644"/>
    <x v="3"/>
  </r>
  <r>
    <x v="3"/>
    <x v="0"/>
    <n v="10"/>
    <n v="9.2998300419165708E-2"/>
    <n v="53.704754427931114"/>
    <s v="Normal"/>
    <n v="-0.99069926320800616"/>
    <n v="16.091622548248253"/>
    <s v="Normal"/>
    <n v="-0.25747480439681431"/>
    <n v="39.84061314967169"/>
    <x v="1"/>
  </r>
  <r>
    <x v="3"/>
    <x v="0"/>
    <n v="11"/>
    <n v="-0.17480723742030388"/>
    <n v="43.061555063336414"/>
    <s v="Normal"/>
    <n v="-1.5898856785512485"/>
    <n v="5.5930288198704119"/>
    <s v="Normal"/>
    <n v="1.4911288867728616"/>
    <n v="93.203617022490405"/>
    <x v="0"/>
  </r>
  <r>
    <x v="3"/>
    <x v="0"/>
    <n v="11"/>
    <n v="-3.877095390171609"/>
    <n v="5.2855460282553611E-3"/>
    <s v="Desnutricion"/>
    <n v="-1.4955005601214912"/>
    <n v="6.7391926917991105"/>
    <s v="Normal"/>
    <n v="8.4638097503329776E-2"/>
    <n v="53.372544485311771"/>
    <x v="1"/>
  </r>
  <r>
    <x v="3"/>
    <x v="0"/>
    <n v="11"/>
    <n v="-0.83498212356341395"/>
    <n v="20.186388680691998"/>
    <s v="Normal"/>
    <n v="-0.33710955272804816"/>
    <n v="36.801715822923555"/>
    <s v="Normal"/>
    <n v="1.3394366285271408E-2"/>
    <n v="50.534341925360678"/>
    <x v="1"/>
  </r>
  <r>
    <x v="3"/>
    <x v="0"/>
    <n v="11"/>
    <n v="0.5765223724432742"/>
    <n v="71.786892384152154"/>
    <s v="Normal"/>
    <n v="-1.5205307477214942"/>
    <n v="6.4188818498322542"/>
    <s v="Normal"/>
    <n v="1.7533806308884534"/>
    <n v="96.023165327072263"/>
    <x v="0"/>
  </r>
  <r>
    <x v="3"/>
    <x v="0"/>
    <n v="10"/>
    <n v="1.1556625232957434"/>
    <n v="87.609038848271013"/>
    <s v="Normal"/>
    <n v="-0.94336073138699583"/>
    <n v="17.274821085366458"/>
    <s v="Normal"/>
    <n v="-0.83371290119557995"/>
    <n v="20.222139319967813"/>
    <x v="1"/>
  </r>
  <r>
    <x v="3"/>
    <x v="0"/>
    <n v="6"/>
    <n v="-1.7244329968939307"/>
    <n v="4.2314852524537478"/>
    <s v="Desnutricion"/>
    <n v="-0.7196514427286389"/>
    <n v="23.586981503808541"/>
    <s v="Normal"/>
    <n v="-0.36264972569081277"/>
    <n v="35.843327979705563"/>
    <x v="1"/>
  </r>
  <r>
    <x v="3"/>
    <x v="0"/>
    <n v="6"/>
    <n v="-1.4249183959844971"/>
    <n v="7.7090395668449041"/>
    <s v="Normal"/>
    <n v="-1.3580790696885945"/>
    <n v="8.7219297916357856"/>
    <s v="Normal"/>
    <n v="-1.1219353922417254"/>
    <n v="13.094495554065761"/>
    <x v="3"/>
  </r>
  <r>
    <x v="3"/>
    <x v="0"/>
    <n v="6"/>
    <n v="0.47914477299026131"/>
    <n v="68.408218008120713"/>
    <s v="Normal"/>
    <n v="-0.97959606342077532"/>
    <n v="16.364277444152382"/>
    <s v="Normal"/>
    <n v="1.5198741444523924"/>
    <n v="93.572869507656677"/>
    <x v="0"/>
  </r>
  <r>
    <x v="3"/>
    <x v="1"/>
    <n v="5"/>
    <n v="0.11132572704840477"/>
    <n v="54.432097251476222"/>
    <s v="Normal"/>
    <n v="-0.47442832586698863"/>
    <n v="31.759724888035713"/>
    <s v="Normal"/>
    <n v="0.69564656403277236"/>
    <n v="75.667490118358245"/>
    <x v="1"/>
  </r>
  <r>
    <x v="3"/>
    <x v="1"/>
    <n v="6"/>
    <n v="-1.9029268865925002"/>
    <n v="2.8525043055317134"/>
    <s v="Desnutricion"/>
    <n v="-50.092415434976282"/>
    <n v="0"/>
    <s v="Piernas cortas"/>
    <n v="2.958643855795445E-2"/>
    <n v="51.180155947852192"/>
    <x v="1"/>
  </r>
  <r>
    <x v="3"/>
    <x v="1"/>
    <n v="5"/>
    <n v="-0.29979384521168606"/>
    <n v="38.216720516623802"/>
    <s v="Normal"/>
    <n v="0.82980233180768836"/>
    <n v="79.667472388085983"/>
    <s v="Normal"/>
    <n v="-6.656733754359415E-3"/>
    <n v="49.734436706880572"/>
    <x v="1"/>
  </r>
  <r>
    <x v="3"/>
    <x v="1"/>
    <n v="5"/>
    <n v="-1.2234389432009878"/>
    <n v="11.058197603949713"/>
    <s v="Normal"/>
    <n v="-0.89474865102173939"/>
    <n v="18.546073259994323"/>
    <s v="Normal"/>
    <n v="1.2750410370541092"/>
    <n v="89.885264131632255"/>
    <x v="0"/>
  </r>
  <r>
    <x v="3"/>
    <x v="1"/>
    <n v="5"/>
    <n v="-0.71330259722779321"/>
    <n v="23.782926533835031"/>
    <s v="Normal"/>
    <n v="-2.4508812877855322E-3"/>
    <n v="49.902224080892815"/>
    <s v="Normal"/>
    <n v="1.258589330440703"/>
    <n v="89.591064858979294"/>
    <x v="0"/>
  </r>
  <r>
    <x v="3"/>
    <x v="1"/>
    <n v="5"/>
    <n v="-0.29713410435282889"/>
    <n v="38.318206399995312"/>
    <s v="Normal"/>
    <n v="0.22017937267416324"/>
    <n v="58.713426966323112"/>
    <s v="Normal"/>
    <n v="-4.630062975402615E-2"/>
    <n v="48.153531868906533"/>
    <x v="1"/>
  </r>
  <r>
    <x v="3"/>
    <x v="1"/>
    <n v="6"/>
    <n v="-0.26302339034765504"/>
    <n v="39.626627539150803"/>
    <s v="Normal"/>
    <n v="-0.14165732623690222"/>
    <n v="44.367534182991534"/>
    <s v="Normal"/>
    <n v="0.2357528382287363"/>
    <n v="59.318776685884977"/>
    <x v="1"/>
  </r>
  <r>
    <x v="3"/>
    <x v="1"/>
    <n v="6"/>
    <n v="-0.16072756619205489"/>
    <n v="43.615398850882094"/>
    <s v="Normal"/>
    <n v="-1.2067494532365608"/>
    <n v="11.376432381586062"/>
    <s v="Normal"/>
    <n v="0.38171724009558428"/>
    <n v="64.866444452442352"/>
    <x v="1"/>
  </r>
  <r>
    <x v="3"/>
    <x v="1"/>
    <n v="6"/>
    <n v="-0.56214255837346561"/>
    <n v="28.700944708732912"/>
    <s v="Normal"/>
    <n v="-2.1610495555843214"/>
    <n v="1.5345755808819324"/>
    <s v="Piernas cortas"/>
    <n v="1.0335649926813248"/>
    <n v="84.933021391908653"/>
    <x v="1"/>
  </r>
  <r>
    <x v="3"/>
    <x v="0"/>
    <n v="7"/>
    <n v="-0.90839489847226518"/>
    <n v="18.183481004523692"/>
    <s v="Normal"/>
    <n v="-1.8935303808310331"/>
    <n v="2.9143685976793465"/>
    <s v="Piernas cortas"/>
    <n v="0.23212620129399403"/>
    <n v="59.178000254372456"/>
    <x v="1"/>
  </r>
  <r>
    <x v="3"/>
    <x v="0"/>
    <n v="6"/>
    <n v="-0.27213079126086148"/>
    <n v="39.276072731347611"/>
    <s v="Normal"/>
    <n v="-1.0869213675695961"/>
    <n v="13.853578108987"/>
    <s v="Normal"/>
    <n v="1.1451476835162469"/>
    <n v="87.392600711661018"/>
    <x v="0"/>
  </r>
  <r>
    <x v="3"/>
    <x v="0"/>
    <n v="6"/>
    <n v="-1.211225246574763"/>
    <n v="11.290454467501711"/>
    <s v="Normal"/>
    <n v="-1.6662606248169013E-2"/>
    <n v="49.335288945402041"/>
    <s v="Normal"/>
    <n v="0.45371268393936937"/>
    <n v="67.498218178646667"/>
    <x v="1"/>
  </r>
  <r>
    <x v="3"/>
    <x v="0"/>
    <n v="6"/>
    <n v="-0.20879107232362731"/>
    <n v="41.730567049975519"/>
    <s v="Normal"/>
    <n v="3.7636446632641839E-2"/>
    <n v="51.50112258566687"/>
    <s v="Normal"/>
    <n v="-5.7267996351186047E-3"/>
    <n v="49.771534998215664"/>
    <x v="1"/>
  </r>
  <r>
    <x v="3"/>
    <x v="0"/>
    <n v="6"/>
    <n v="0.17742992716514014"/>
    <n v="57.041464912427372"/>
    <s v="Normal"/>
    <n v="-1.9879118988122686"/>
    <n v="2.3410717271577512"/>
    <s v="Piernas cortas"/>
    <n v="2.6386467336032253"/>
    <n v="99.583811652724634"/>
    <x v="0"/>
  </r>
  <r>
    <x v="3"/>
    <x v="1"/>
    <n v="6"/>
    <n v="-0.39598082278089197"/>
    <n v="34.605958778750292"/>
    <s v="Normal"/>
    <n v="-1.5880862706434249"/>
    <n v="5.6133416216224408"/>
    <s v="Normal"/>
    <n v="3.6225512843527321"/>
    <n v="99.985414419882886"/>
    <x v="0"/>
  </r>
  <r>
    <x v="3"/>
    <x v="0"/>
    <n v="5"/>
    <n v="1.4585379665070666"/>
    <n v="92.765384094469269"/>
    <s v="Normal"/>
    <n v="-0.60852140766700957"/>
    <n v="27.14208560120916"/>
    <s v="Normal"/>
    <n v="0.15983102866069274"/>
    <n v="56.349290952753975"/>
    <x v="1"/>
  </r>
  <r>
    <x v="3"/>
    <x v="0"/>
    <n v="7"/>
    <n v="-0.81268284298324978"/>
    <n v="20.819996025336728"/>
    <s v="Normal"/>
    <n v="-1.2083788178027466"/>
    <n v="11.345079184732208"/>
    <s v="Normal"/>
    <n v="1.2633966198553479"/>
    <n v="89.677666085050333"/>
    <x v="0"/>
  </r>
  <r>
    <x v="3"/>
    <x v="1"/>
    <n v="8"/>
    <n v="-2.9641712613873783"/>
    <n v="0.15174966292112738"/>
    <s v="Desnutricion"/>
    <n v="-2.4478135726592165"/>
    <n v="0.71863000112102082"/>
    <s v="Piernas cortas"/>
    <n v="3.2448723337535861"/>
    <n v="99.941248354571584"/>
    <x v="0"/>
  </r>
  <r>
    <x v="3"/>
    <x v="1"/>
    <n v="5"/>
    <n v="-0.19615046250424198"/>
    <n v="42.224619998627603"/>
    <s v="Normal"/>
    <n v="9.0132146339575656E-3"/>
    <n v="50.359570371510017"/>
    <s v="Normal"/>
    <n v="0.30262892377675205"/>
    <n v="61.891366525545081"/>
    <x v="1"/>
  </r>
  <r>
    <x v="3"/>
    <x v="0"/>
    <n v="6"/>
    <n v="0.10350699086469869"/>
    <n v="54.121969930478109"/>
    <s v="Normal"/>
    <n v="-1.6185689939979411"/>
    <n v="5.2770015432088053"/>
    <s v="Normal"/>
    <n v="1.0027095488519284"/>
    <n v="84.19994893356629"/>
    <x v="1"/>
  </r>
  <r>
    <x v="3"/>
    <x v="0"/>
    <n v="6"/>
    <n v="-0.93974998814578248"/>
    <n v="17.36729087369784"/>
    <s v="Normal"/>
    <n v="-1.5113243100648266"/>
    <n v="6.5352921574870004"/>
    <s v="Normal"/>
    <n v="0.16191835111046779"/>
    <n v="56.431492429168351"/>
    <x v="1"/>
  </r>
  <r>
    <x v="3"/>
    <x v="0"/>
    <n v="10"/>
    <n v="-1.1934623643046909"/>
    <n v="11.634417164410845"/>
    <s v="Normal"/>
    <n v="-1.1405543671422154"/>
    <n v="12.702770805687818"/>
    <s v="Normal"/>
    <n v="0.80966898864579495"/>
    <n v="79.09347770091793"/>
    <x v="1"/>
  </r>
  <r>
    <x v="3"/>
    <x v="1"/>
    <n v="6"/>
    <n v="-0.58814659874371178"/>
    <n v="27.821694877581315"/>
    <s v="Normal"/>
    <n v="-1.181548552597488"/>
    <n v="11.869243876403855"/>
    <s v="Normal"/>
    <n v="1.1722033972577941"/>
    <n v="87.944229760308929"/>
    <x v="0"/>
  </r>
  <r>
    <x v="3"/>
    <x v="0"/>
    <n v="6"/>
    <n v="-8.4311900198080145E-2"/>
    <n v="46.640422555109453"/>
    <s v="Normal"/>
    <n v="-0.76793832504086779"/>
    <n v="22.126191350594475"/>
    <s v="Normal"/>
    <n v="0.23933530533313635"/>
    <n v="59.457720446804998"/>
    <x v="1"/>
  </r>
  <r>
    <x v="3"/>
    <x v="1"/>
    <n v="6"/>
    <n v="-0.43010787585030746"/>
    <n v="33.355858559162158"/>
    <s v="Normal"/>
    <n v="-0.33647165986643079"/>
    <n v="36.825760959223956"/>
    <s v="Normal"/>
    <n v="-0.10213159308062368"/>
    <n v="45.932611223513739"/>
    <x v="1"/>
  </r>
  <r>
    <x v="3"/>
    <x v="1"/>
    <n v="6"/>
    <n v="0.71156937379658669"/>
    <n v="76.163426119887006"/>
    <s v="Normal"/>
    <n v="-6.929275923827885E-2"/>
    <n v="47.237829458836153"/>
    <s v="Normal"/>
    <n v="1.0030463194225108"/>
    <n v="84.208074343639439"/>
    <x v="1"/>
  </r>
  <r>
    <x v="3"/>
    <x v="1"/>
    <n v="7"/>
    <n v="0.34541578607697576"/>
    <n v="63.51090944522123"/>
    <s v="Normal"/>
    <n v="-0.30241293823836507"/>
    <n v="38.116864646111971"/>
    <s v="Normal"/>
    <n v="-0.56208902417312812"/>
    <n v="28.702768304048575"/>
    <x v="1"/>
  </r>
  <r>
    <x v="3"/>
    <x v="0"/>
    <n v="7"/>
    <n v="-1.8673389527508482"/>
    <n v="3.0927134507507263"/>
    <s v="Desnutricion"/>
    <n v="-1.8658525119138842"/>
    <n v="3.1031001558232698"/>
    <s v="Piernas cortas"/>
    <n v="1.9623017038697643"/>
    <n v="97.51363155182969"/>
    <x v="0"/>
  </r>
  <r>
    <x v="3"/>
    <x v="0"/>
    <n v="7"/>
    <n v="5.9529734521651598E-2"/>
    <n v="52.37349086287044"/>
    <s v="Normal"/>
    <n v="-1.5136019832673309"/>
    <n v="6.5063408912232319"/>
    <s v="Normal"/>
    <n v="-1.0666209014085866"/>
    <n v="14.307152911839815"/>
    <x v="3"/>
  </r>
  <r>
    <x v="3"/>
    <x v="1"/>
    <n v="7"/>
    <n v="0.18256096489539675"/>
    <n v="57.242874248759904"/>
    <s v="Normal"/>
    <n v="-0.96150531220404567"/>
    <n v="16.814907788448117"/>
    <s v="Normal"/>
    <n v="1.0982293771649423"/>
    <n v="86.394782932792211"/>
    <x v="0"/>
  </r>
  <r>
    <x v="3"/>
    <x v="1"/>
    <n v="7"/>
    <n v="0.64142628514840128"/>
    <n v="73.937712008737137"/>
    <s v="Normal"/>
    <n v="-1.0521021909762518"/>
    <n v="14.6376333523082"/>
    <s v="Normal"/>
    <n v="0.90714331160197947"/>
    <n v="81.783449161398366"/>
    <x v="1"/>
  </r>
  <r>
    <x v="3"/>
    <x v="1"/>
    <n v="7"/>
    <n v="-0.98678879490676707"/>
    <n v="16.187309447769668"/>
    <s v="Normal"/>
    <n v="-0.76770407228986415"/>
    <n v="22.133150813768697"/>
    <s v="Normal"/>
    <n v="0.64615228693611204"/>
    <n v="74.090963199138031"/>
    <x v="1"/>
  </r>
  <r>
    <x v="3"/>
    <x v="1"/>
    <n v="7"/>
    <n v="-0.29763256664382709"/>
    <n v="38.29918079160219"/>
    <s v="Normal"/>
    <n v="-1.3799050578469667"/>
    <n v="8.3807939554342443"/>
    <s v="Normal"/>
    <n v="0.15635259970219248"/>
    <n v="56.212245123015038"/>
    <x v="1"/>
  </r>
  <r>
    <x v="3"/>
    <x v="1"/>
    <n v="7"/>
    <n v="-1.3537113107981802E-2"/>
    <n v="49.459963816629269"/>
    <s v="Normal"/>
    <n v="-1.4368351236487285"/>
    <n v="7.5382423820954738"/>
    <s v="Normal"/>
    <n v="-0.25879387859941688"/>
    <n v="39.7897140596897"/>
    <x v="1"/>
  </r>
  <r>
    <x v="3"/>
    <x v="1"/>
    <n v="7"/>
    <n v="-0.80587600823397054"/>
    <n v="21.015717306019923"/>
    <s v="Normal"/>
    <n v="-0.47660106212495235"/>
    <n v="31.682311347311444"/>
    <s v="Normal"/>
    <n v="-0.54734735625674857"/>
    <n v="29.207005752545967"/>
    <x v="1"/>
  </r>
  <r>
    <x v="3"/>
    <x v="0"/>
    <n v="7"/>
    <n v="-0.90839489847226518"/>
    <n v="18.183481004523692"/>
    <s v="Normal"/>
    <n v="-0.82032277502037976"/>
    <n v="20.601606314533594"/>
    <s v="Normal"/>
    <n v="-0.17502505047015582"/>
    <n v="43.052997498494825"/>
    <x v="1"/>
  </r>
  <r>
    <x v="3"/>
    <x v="0"/>
    <n v="7"/>
    <n v="-0.40235170258089481"/>
    <n v="34.371260456426327"/>
    <s v="Normal"/>
    <n v="-1.8026090130241887"/>
    <n v="3.5724820266997503"/>
    <s v="Piernas cortas"/>
    <n v="0.55270601657458329"/>
    <n v="70.976763359448285"/>
    <x v="1"/>
  </r>
  <r>
    <x v="3"/>
    <x v="0"/>
    <n v="7"/>
    <n v="0.24605225785309945"/>
    <n v="59.717911011954698"/>
    <s v="Normal"/>
    <n v="-0.88125409904892604"/>
    <n v="18.909015198962091"/>
    <s v="Normal"/>
    <n v="-1.481927684480675"/>
    <n v="6.9179768901526426"/>
    <x v="3"/>
  </r>
  <r>
    <x v="3"/>
    <x v="1"/>
    <n v="6"/>
    <n v="-0.44437634117413966"/>
    <n v="32.838525779916296"/>
    <s v="Normal"/>
    <n v="-0.62836388161339807"/>
    <n v="26.488279609456406"/>
    <s v="Normal"/>
    <n v="1.1573150377264163"/>
    <n v="87.642816404559312"/>
    <x v="0"/>
  </r>
  <r>
    <x v="3"/>
    <x v="0"/>
    <n v="7"/>
    <n v="-2.534357303990924E-2"/>
    <n v="48.9890459410272"/>
    <s v="Normal"/>
    <n v="-1.3987774026824795"/>
    <n v="8.0939872338358416"/>
    <s v="Normal"/>
    <n v="-0.3999472064664697"/>
    <n v="34.459770087695389"/>
    <x v="1"/>
  </r>
  <r>
    <x v="3"/>
    <x v="0"/>
    <n v="7"/>
    <n v="-0.74681185984923282"/>
    <n v="22.758856781345909"/>
    <s v="Normal"/>
    <n v="-48.351344325517339"/>
    <n v="0"/>
    <s v="Piernas cortas"/>
    <n v="1.239092647430051"/>
    <n v="89.234440519668482"/>
    <x v="0"/>
  </r>
  <r>
    <x v="3"/>
    <x v="0"/>
    <n v="7"/>
    <n v="-0.77961686557016974"/>
    <n v="21.780821282306878"/>
    <s v="Normal"/>
    <n v="-2.5190220385049993"/>
    <n v="0.58840645346994558"/>
    <s v="Piernas cortas"/>
    <n v="0.41258044209962536"/>
    <n v="66.004298352993303"/>
    <x v="1"/>
  </r>
  <r>
    <x v="3"/>
    <x v="1"/>
    <n v="7"/>
    <n v="-0.1974652803360131"/>
    <n v="42.173172438472974"/>
    <s v="Normal"/>
    <n v="-1.0822662594868644"/>
    <n v="13.956711692053405"/>
    <s v="Normal"/>
    <n v="4.0263208597422082"/>
    <n v="99.997167181691765"/>
    <x v="0"/>
  </r>
  <r>
    <x v="3"/>
    <x v="1"/>
    <n v="7"/>
    <n v="-1.1673026841932701"/>
    <n v="12.154407753231638"/>
    <s v="Normal"/>
    <n v="-1.1405948702820627"/>
    <n v="12.701927646377309"/>
    <s v="Normal"/>
    <n v="-0.59187236415936895"/>
    <n v="27.69680304877885"/>
    <x v="1"/>
  </r>
  <r>
    <x v="3"/>
    <x v="1"/>
    <n v="7"/>
    <n v="-2.0003122702030245"/>
    <n v="2.2733277442086481"/>
    <s v="Desnutricion"/>
    <n v="0.56739902416297505"/>
    <n v="71.477844363424282"/>
    <s v="Normal"/>
    <n v="-0.56348076404935088"/>
    <n v="28.655377753512905"/>
    <x v="1"/>
  </r>
  <r>
    <x v="3"/>
    <x v="0"/>
    <n v="7"/>
    <n v="-0.10957876980485322"/>
    <n v="45.637172424492547"/>
    <s v="Normal"/>
    <n v="-0.83118733312883264"/>
    <n v="20.293390471919178"/>
    <s v="Normal"/>
    <n v="0.16767286505655188"/>
    <n v="56.657967776047457"/>
    <x v="1"/>
  </r>
  <r>
    <x v="3"/>
    <x v="0"/>
    <n v="7"/>
    <n v="-0.37856410321285261"/>
    <n v="35.250579147851838"/>
    <s v="Normal"/>
    <n v="-0.87269183134020945"/>
    <n v="19.141553565985252"/>
    <s v="Normal"/>
    <n v="-0.47281829057297453"/>
    <n v="31.817141183173913"/>
    <x v="1"/>
  </r>
  <r>
    <x v="3"/>
    <x v="0"/>
    <n v="7"/>
    <n v="-1.1228310697236956"/>
    <n v="13.075462356041589"/>
    <s v="Normal"/>
    <n v="-3.3964805198538439"/>
    <n v="3.4129207875459026E-2"/>
    <s v="Piernas cortas"/>
    <n v="-0.99346490194978265"/>
    <n v="16.024172328779397"/>
    <x v="1"/>
  </r>
  <r>
    <x v="3"/>
    <x v="1"/>
    <n v="8"/>
    <n v="-1.0870874770828844"/>
    <n v="13.849907585261526"/>
    <s v="Normal"/>
    <n v="-0.59701403581563484"/>
    <n v="27.524900483900971"/>
    <s v="Normal"/>
    <n v="0.13673840100194495"/>
    <n v="55.438121250433049"/>
    <x v="1"/>
  </r>
  <r>
    <x v="3"/>
    <x v="1"/>
    <n v="7"/>
    <n v="-0.26313764821558111"/>
    <n v="39.622224352195524"/>
    <s v="Normal"/>
    <n v="-0.52827522764158341"/>
    <n v="29.865416137426475"/>
    <s v="Normal"/>
    <n v="-7.0013381853586187E-2"/>
    <n v="47.209150429831695"/>
    <x v="1"/>
  </r>
  <r>
    <x v="3"/>
    <x v="1"/>
    <n v="6"/>
    <n v="-2.2554855273801748"/>
    <n v="1.2051434847085931"/>
    <s v="Desnutricion"/>
    <n v="2.4519137579817458E-2"/>
    <n v="50.978074063892485"/>
    <s v="Normal"/>
    <n v="-0.61203673670848457"/>
    <n v="27.025672604083113"/>
    <x v="1"/>
  </r>
  <r>
    <x v="3"/>
    <x v="1"/>
    <n v="7"/>
    <n v="-1.7442591716309268"/>
    <n v="4.0556953774766802"/>
    <s v="Desnutricion"/>
    <n v="-0.82017866074138668"/>
    <n v="20.605713250906017"/>
    <s v="Normal"/>
    <n v="-0.69252117261317525"/>
    <n v="24.430504715675301"/>
    <x v="1"/>
  </r>
  <r>
    <x v="4"/>
    <x v="1"/>
    <n v="6"/>
    <n v="0.31506138687639623"/>
    <n v="62.364247730867064"/>
    <s v="Normal"/>
    <n v="-0.46559625357521961"/>
    <n v="32.075226256379388"/>
    <s v="Normal"/>
    <n v="-1.4491622288761421"/>
    <n v="7.364614147614108"/>
    <x v="3"/>
  </r>
  <r>
    <x v="4"/>
    <x v="1"/>
    <n v="6"/>
    <n v="0.31506138687639623"/>
    <n v="62.364247730867064"/>
    <s v="Normal"/>
    <n v="-1.2067494532365608"/>
    <n v="11.376432381586062"/>
    <s v="Normal"/>
    <n v="-0.98525484417808118"/>
    <n v="16.224945360436895"/>
    <x v="1"/>
  </r>
  <r>
    <x v="4"/>
    <x v="1"/>
    <n v="6"/>
    <n v="0.12058415789450147"/>
    <n v="54.798979128067479"/>
    <s v="Normal"/>
    <n v="-1.1515318498549438"/>
    <n v="12.475675001841632"/>
    <s v="Normal"/>
    <n v="1.0077859395355671"/>
    <n v="84.32213813369755"/>
    <x v="1"/>
  </r>
  <r>
    <x v="4"/>
    <x v="0"/>
    <n v="6"/>
    <n v="0.10350699086469869"/>
    <n v="54.121969930478109"/>
    <s v="Normal"/>
    <n v="-0.23105440998320104"/>
    <n v="40.863626618598325"/>
    <s v="Normal"/>
    <n v="3.8892994296416301E-2"/>
    <n v="51.551214895688211"/>
    <x v="1"/>
  </r>
  <r>
    <x v="4"/>
    <x v="0"/>
    <n v="6"/>
    <n v="1.0426014461786028"/>
    <n v="85.143354040173904"/>
    <s v="Normal"/>
    <n v="-1.7967928717935491"/>
    <n v="3.6184254214803859"/>
    <s v="Piernas cortas"/>
    <n v="-0.41804615236417358"/>
    <n v="33.795668690690214"/>
    <x v="1"/>
  </r>
  <r>
    <x v="4"/>
    <x v="1"/>
    <n v="6"/>
    <n v="-0.470514655313854"/>
    <n v="31.899368311230848"/>
    <s v="Normal"/>
    <n v="-8.6389202619475261E-2"/>
    <n v="46.557851495171811"/>
    <s v="Normal"/>
    <n v="0.86784874072544882"/>
    <n v="80.726142831057274"/>
    <x v="1"/>
  </r>
  <r>
    <x v="4"/>
    <x v="1"/>
    <n v="6"/>
    <n v="1.3537901249855119E-2"/>
    <n v="50.540067622801367"/>
    <s v="Normal"/>
    <n v="-1.2372624522057718"/>
    <n v="10.799483134896921"/>
    <s v="Normal"/>
    <n v="-0.78698669938749888"/>
    <n v="21.564482612743994"/>
    <x v="1"/>
  </r>
  <r>
    <x v="4"/>
    <x v="1"/>
    <n v="6"/>
    <n v="-0.16072756619205489"/>
    <n v="43.615398850882094"/>
    <s v="Normal"/>
    <n v="-2.356504092947858"/>
    <n v="0.92239321738119029"/>
    <s v="Piernas cortas"/>
    <n v="3.5176598894155933"/>
    <n v="99.978231501054665"/>
    <x v="0"/>
  </r>
  <r>
    <x v="4"/>
    <x v="1"/>
    <n v="6"/>
    <n v="-1.0418904035180829"/>
    <n v="14.87312469084805"/>
    <s v="Normal"/>
    <n v="-1.0964262744651228"/>
    <n v="13.644613544556039"/>
    <s v="Normal"/>
    <n v="0.19979487053214348"/>
    <n v="57.917949341448541"/>
    <x v="1"/>
  </r>
  <r>
    <x v="4"/>
    <x v="0"/>
    <n v="6"/>
    <n v="-1.000941079161539"/>
    <n v="15.842764747315874"/>
    <s v="Normal"/>
    <n v="-48.379783326543887"/>
    <n v="0"/>
    <s v="Piernas cortas"/>
    <n v="7.6238238631857511E-2"/>
    <n v="53.038521941493919"/>
    <x v="1"/>
  </r>
  <r>
    <x v="4"/>
    <x v="0"/>
    <n v="5"/>
    <n v="3.0178841045291596"/>
    <n v="99.872726883974863"/>
    <s v="Alto"/>
    <n v="-0.34721134259538661"/>
    <n v="36.421627507237794"/>
    <s v="Normal"/>
    <n v="0.32488520335076915"/>
    <n v="62.736602201428646"/>
    <x v="1"/>
  </r>
  <r>
    <x v="4"/>
    <x v="0"/>
    <n v="6"/>
    <n v="-1.1516014491664313"/>
    <n v="12.474244281325797"/>
    <s v="Normal"/>
    <n v="-3.5226476067068053"/>
    <n v="2.1362952306310481E-2"/>
    <s v="Piernas cortas"/>
    <n v="-0.57760219584746064"/>
    <n v="28.176636204840388"/>
    <x v="1"/>
  </r>
  <r>
    <x v="4"/>
    <x v="0"/>
    <n v="6"/>
    <n v="-0.40190157206801103"/>
    <n v="34.387823286290008"/>
    <s v="Normal"/>
    <n v="-2.5456565615899924"/>
    <n v="0.54536220150561465"/>
    <s v="Piernas cortas"/>
    <n v="0.61185992946494516"/>
    <n v="72.968478247321428"/>
    <x v="1"/>
  </r>
  <r>
    <x v="4"/>
    <x v="1"/>
    <n v="6"/>
    <n v="1.4174684012348333"/>
    <n v="92.182698672909524"/>
    <s v="Normal"/>
    <n v="-1.2970829755194049"/>
    <n v="9.7301319269617075"/>
    <s v="Normal"/>
    <n v="0.37690276643751602"/>
    <n v="64.687706726535595"/>
    <x v="1"/>
  </r>
  <r>
    <x v="4"/>
    <x v="0"/>
    <n v="6"/>
    <n v="0.65956525792245291"/>
    <n v="74.523357232213669"/>
    <s v="Normal"/>
    <n v="-1.463757114958792"/>
    <n v="7.1630161879348755"/>
    <s v="Normal"/>
    <n v="3.1188984233051662"/>
    <n v="99.909235734820712"/>
    <x v="0"/>
  </r>
  <r>
    <x v="4"/>
    <x v="0"/>
    <n v="5"/>
    <n v="-0.42633115178012104"/>
    <n v="33.493328073307339"/>
    <s v="Normal"/>
    <n v="-0.93047097824682756"/>
    <n v="17.606364184246047"/>
    <s v="Normal"/>
    <n v="-4.9975977813799755E-2"/>
    <n v="48.007076566126955"/>
    <x v="1"/>
  </r>
  <r>
    <x v="4"/>
    <x v="1"/>
    <n v="5"/>
    <n v="0.7339780348286028"/>
    <n v="76.851893737323905"/>
    <s v="Normal"/>
    <n v="-2.529978810913482"/>
    <n v="0.57034707591397649"/>
    <s v="Piernas cortas"/>
    <n v="-1.0324925982888116"/>
    <n v="15.092070664249027"/>
    <x v="1"/>
  </r>
  <r>
    <x v="4"/>
    <x v="0"/>
    <n v="5"/>
    <n v="0.4640079326134175"/>
    <n v="67.867896886073268"/>
    <s v="Normal"/>
    <n v="-0.36660955823485936"/>
    <n v="35.695513874861916"/>
    <s v="Normal"/>
    <n v="1.7519045201465815"/>
    <n v="96.010488640622697"/>
    <x v="0"/>
  </r>
  <r>
    <x v="4"/>
    <x v="0"/>
    <n v="5"/>
    <n v="0.4640079326134175"/>
    <n v="67.867896886073268"/>
    <s v="Normal"/>
    <n v="-0.96591475083245937"/>
    <n v="16.704342027147021"/>
    <s v="Normal"/>
    <n v="1.2918924669926311"/>
    <n v="90.180280657774972"/>
    <x v="0"/>
  </r>
  <r>
    <x v="4"/>
    <x v="1"/>
    <n v="6"/>
    <n v="1.0248330372151211"/>
    <n v="84.727901248385649"/>
    <s v="Normal"/>
    <n v="0.41442139047626975"/>
    <n v="66.071723691719214"/>
    <s v="Normal"/>
    <n v="-2.6003898159861518"/>
    <n v="0.46558958476264284"/>
    <x v="2"/>
  </r>
  <r>
    <x v="4"/>
    <x v="1"/>
    <n v="6"/>
    <n v="-0.3543052684587702"/>
    <n v="36.155505992930273"/>
    <s v="Normal"/>
    <n v="-0.40202421918324582"/>
    <n v="34.383310112907026"/>
    <s v="Normal"/>
    <n v="-1.1382244271840718"/>
    <n v="12.751339060254367"/>
    <x v="3"/>
  </r>
  <r>
    <x v="4"/>
    <x v="1"/>
    <n v="6"/>
    <n v="-6.8306637055047414E-2"/>
    <n v="47.277077043270175"/>
    <s v="Normal"/>
    <n v="-0.14165732623690222"/>
    <n v="44.367534182991534"/>
    <s v="Normal"/>
    <n v="-1.524390510278844"/>
    <n v="6.3705594626813093"/>
    <x v="3"/>
  </r>
  <r>
    <x v="4"/>
    <x v="0"/>
    <n v="6"/>
    <n v="-0.17198952530893982"/>
    <n v="43.172288194217401"/>
    <s v="Normal"/>
    <n v="-1.0323069376484142"/>
    <n v="15.096417604585586"/>
    <s v="Normal"/>
    <n v="1.6438933429948255"/>
    <n v="94.990088225546941"/>
    <x v="0"/>
  </r>
  <r>
    <x v="4"/>
    <x v="0"/>
    <n v="6"/>
    <n v="-0.18446056047331005"/>
    <n v="42.682608219932327"/>
    <s v="Normal"/>
    <n v="-0.47942297261557959"/>
    <n v="31.581887692325694"/>
    <s v="Normal"/>
    <n v="1.5380242950411205"/>
    <n v="93.797866270084157"/>
    <x v="0"/>
  </r>
  <r>
    <x v="4"/>
    <x v="1"/>
    <n v="6"/>
    <n v="-0.18702359874800226"/>
    <n v="42.582106513250451"/>
    <s v="Normal"/>
    <n v="-1.2081667661890687"/>
    <n v="11.34915611577715"/>
    <s v="Normal"/>
    <n v="-0.44386873876659239"/>
    <n v="32.856874364346524"/>
    <x v="1"/>
  </r>
  <r>
    <x v="4"/>
    <x v="1"/>
    <n v="6"/>
    <n v="5.0275754011962031"/>
    <n v="99.999975163990044"/>
    <s v="Alto"/>
    <n v="-0.5644642112121171"/>
    <n v="28.621912497200917"/>
    <s v="Normal"/>
    <n v="1.1338980325276398"/>
    <n v="87.15813387420171"/>
    <x v="0"/>
  </r>
  <r>
    <x v="4"/>
    <x v="1"/>
    <n v="6"/>
    <n v="-1.4108478656351806"/>
    <n v="7.9144738648871558"/>
    <s v="Normal"/>
    <n v="3.4141887495487082"/>
    <n v="99.96801387973052"/>
    <s v="Piernas largas"/>
    <n v="2.5661836107227769"/>
    <n v="99.485878085990549"/>
    <x v="0"/>
  </r>
  <r>
    <x v="4"/>
    <x v="0"/>
    <n v="6"/>
    <n v="-0.19688220295394107"/>
    <n v="42.195986053917792"/>
    <s v="Normal"/>
    <n v="-1.778210684885188"/>
    <n v="3.7684629359902133"/>
    <s v="Piernas cortas"/>
    <n v="1.616709267891137"/>
    <n v="94.702947378563195"/>
    <x v="0"/>
  </r>
  <r>
    <x v="4"/>
    <x v="1"/>
    <n v="6"/>
    <n v="0.71753264286939189"/>
    <n v="76.347724889512008"/>
    <s v="Normal"/>
    <n v="0.57418057130825972"/>
    <n v="71.707719236943319"/>
    <s v="Normal"/>
    <n v="-0.29157004267439968"/>
    <n v="38.530769154966116"/>
    <x v="1"/>
  </r>
  <r>
    <x v="4"/>
    <x v="0"/>
    <n v="5"/>
    <n v="0.26683236806725691"/>
    <n v="60.520088430457896"/>
    <s v="Normal"/>
    <n v="-0.84770602759135927"/>
    <n v="19.830085433372798"/>
    <s v="Normal"/>
    <n v="1.8786456907669273"/>
    <n v="96.985355601993149"/>
    <x v="0"/>
  </r>
  <r>
    <x v="4"/>
    <x v="1"/>
    <n v="6"/>
    <n v="-2.2900822911259362"/>
    <n v="1.1008273368782633"/>
    <s v="Desnutricion"/>
    <n v="-1.2372624522057718"/>
    <n v="10.799483134896921"/>
    <s v="Normal"/>
    <n v="0.49317404680158455"/>
    <n v="68.905519287006186"/>
    <x v="1"/>
  </r>
  <r>
    <x v="4"/>
    <x v="1"/>
    <n v="5"/>
    <n v="1.242053410471214"/>
    <n v="89.28915717504141"/>
    <s v="Normal"/>
    <n v="-0.92667273389787208"/>
    <n v="17.704823918034318"/>
    <s v="Normal"/>
    <n v="1.3638074990373166"/>
    <n v="91.368592024985446"/>
    <x v="0"/>
  </r>
  <r>
    <x v="4"/>
    <x v="1"/>
    <n v="6"/>
    <n v="-0.470514655313854"/>
    <n v="31.899368311230848"/>
    <s v="Normal"/>
    <n v="-0.82751839283936213"/>
    <n v="20.397165074356817"/>
    <s v="Normal"/>
    <n v="0.92017901842181438"/>
    <n v="82.126039159502653"/>
    <x v="1"/>
  </r>
  <r>
    <x v="4"/>
    <x v="1"/>
    <n v="6"/>
    <n v="-0.89635094433121743"/>
    <n v="18.503267921199996"/>
    <s v="Normal"/>
    <n v="9.2043211579359366E-2"/>
    <n v="53.666814629445255"/>
    <s v="Normal"/>
    <n v="-0.2332775352095508"/>
    <n v="40.777295086932732"/>
    <x v="1"/>
  </r>
  <r>
    <x v="4"/>
    <x v="1"/>
    <n v="5"/>
    <n v="0.62568032205316293"/>
    <n v="73.423767862051506"/>
    <s v="Normal"/>
    <n v="-0.5808215638148756"/>
    <n v="28.068036007804487"/>
    <s v="Normal"/>
    <n v="0.69627218010945169"/>
    <n v="75.687080398429998"/>
    <x v="1"/>
  </r>
  <r>
    <x v="4"/>
    <x v="1"/>
    <n v="5"/>
    <n v="-9.2904188652212061E-2"/>
    <n v="46.298983903956625"/>
    <s v="Normal"/>
    <n v="-0.89718214270705421"/>
    <n v="18.481086617970494"/>
    <s v="Normal"/>
    <n v="0.46940730706825118"/>
    <n v="68.061073681215262"/>
    <x v="1"/>
  </r>
  <r>
    <x v="4"/>
    <x v="0"/>
    <n v="6"/>
    <n v="-0.61028419087743091"/>
    <n v="27.083678375208336"/>
    <s v="Normal"/>
    <n v="-0.9632523432754162"/>
    <n v="16.771045147430101"/>
    <s v="Normal"/>
    <n v="0.19308076128005452"/>
    <n v="57.655214028723293"/>
    <x v="1"/>
  </r>
  <r>
    <x v="4"/>
    <x v="1"/>
    <n v="5"/>
    <n v="0.51978555844963847"/>
    <n v="69.839347701209888"/>
    <s v="Normal"/>
    <n v="-1.082585812822479"/>
    <n v="13.949615363769469"/>
    <s v="Normal"/>
    <n v="-0.30142457883235269"/>
    <n v="38.154537706908521"/>
    <x v="1"/>
  </r>
  <r>
    <x v="4"/>
    <x v="0"/>
    <n v="6"/>
    <n v="-0.68282824152542509"/>
    <n v="24.735769090530908"/>
    <s v="Normal"/>
    <n v="-0.76793832504086779"/>
    <n v="22.126191350594475"/>
    <s v="Normal"/>
    <n v="0.90397927367922881"/>
    <n v="81.699680414779252"/>
    <x v="1"/>
  </r>
  <r>
    <x v="4"/>
    <x v="1"/>
    <n v="5"/>
    <n v="0.7339780348286028"/>
    <n v="76.851893737323905"/>
    <s v="Normal"/>
    <n v="-0.39000461903616351"/>
    <n v="34.826656568001226"/>
    <s v="Normal"/>
    <n v="1.321791404476752"/>
    <n v="90.688118931234399"/>
    <x v="0"/>
  </r>
  <r>
    <x v="4"/>
    <x v="0"/>
    <n v="6"/>
    <n v="0.57514134049879284"/>
    <n v="71.740214455094474"/>
    <s v="Normal"/>
    <n v="-1.3537745906753984"/>
    <n v="8.7904151261252839"/>
    <s v="Normal"/>
    <n v="2.4437094321203072"/>
    <n v="99.273143530249413"/>
    <x v="0"/>
  </r>
  <r>
    <x v="4"/>
    <x v="1"/>
    <n v="5"/>
    <n v="-0.60706585478293662"/>
    <n v="27.190360458181328"/>
    <s v="Normal"/>
    <n v="-2.9251751918442533E-2"/>
    <n v="48.833190340460462"/>
    <s v="Normal"/>
    <n v="-1.2092088636664717"/>
    <n v="11.329130664187586"/>
    <x v="3"/>
  </r>
  <r>
    <x v="4"/>
    <x v="0"/>
    <n v="5"/>
    <n v="0.75984409082629767"/>
    <n v="77.632610785199446"/>
    <s v="Normal"/>
    <n v="-0.29618619821030923"/>
    <n v="38.354394423024921"/>
    <s v="Normal"/>
    <n v="-0.3432680599333911"/>
    <n v="36.56984035420782"/>
    <x v="1"/>
  </r>
  <r>
    <x v="4"/>
    <x v="0"/>
    <n v="5"/>
    <n v="1.2493508453750826"/>
    <n v="89.423161072454576"/>
    <s v="Normal"/>
    <n v="0.37007527995348311"/>
    <n v="64.433679983009199"/>
    <s v="Normal"/>
    <n v="-0.94425697240546858"/>
    <n v="17.251917392311789"/>
    <x v="1"/>
  </r>
  <r>
    <x v="4"/>
    <x v="0"/>
    <n v="7"/>
    <n v="-2.6744975493369747"/>
    <n v="0.37420661610475248"/>
    <s v="Desnutricion"/>
    <n v="-1.0096809178921233"/>
    <n v="15.632409380719"/>
    <s v="Normal"/>
    <n v="-0.58185538569070361"/>
    <n v="28.033204690440549"/>
    <x v="1"/>
  </r>
  <r>
    <x v="4"/>
    <x v="1"/>
    <n v="5"/>
    <n v="-1.5225135985565221"/>
    <n v="6.3940220351556665"/>
    <s v="Normal"/>
    <n v="0.44779244770265109"/>
    <n v="67.28485027897483"/>
    <s v="Normal"/>
    <n v="1.9717335980593174"/>
    <n v="97.567998696499103"/>
    <x v="0"/>
  </r>
  <r>
    <x v="4"/>
    <x v="0"/>
    <n v="6"/>
    <n v="-2.4298858451273865E-2"/>
    <n v="49.030711184364634"/>
    <s v="Normal"/>
    <n v="-1.3592549417224753"/>
    <n v="8.7032908372192015"/>
    <s v="Normal"/>
    <n v="-6.129372885708869E-2"/>
    <n v="47.556264253032801"/>
    <x v="1"/>
  </r>
  <r>
    <x v="4"/>
    <x v="0"/>
    <n v="6"/>
    <n v="-0.75092763122766371"/>
    <n v="22.6348105081744"/>
    <s v="Normal"/>
    <n v="-1.507542193053288"/>
    <n v="6.5835868637315231"/>
    <s v="Normal"/>
    <n v="-0.74689708149391698"/>
    <n v="22.756284389821001"/>
    <x v="1"/>
  </r>
  <r>
    <x v="4"/>
    <x v="0"/>
    <n v="6"/>
    <n v="-5.9383537114395856E-3"/>
    <n v="49.763095355222951"/>
    <s v="Normal"/>
    <n v="-1.4786381504551176"/>
    <n v="6.9618525338651027"/>
    <s v="Normal"/>
    <n v="3.3556159589118617"/>
    <n v="99.960405774737779"/>
    <x v="0"/>
  </r>
  <r>
    <x v="4"/>
    <x v="0"/>
    <n v="6"/>
    <n v="0.7578370432585565"/>
    <n v="77.572572835999836"/>
    <s v="Normal"/>
    <n v="-0.27064054812501454"/>
    <n v="39.33337531778772"/>
    <s v="Normal"/>
    <n v="2.0702102028103844"/>
    <n v="98.078366788096687"/>
    <x v="0"/>
  </r>
  <r>
    <x v="4"/>
    <x v="0"/>
    <n v="6"/>
    <n v="1.7125562894710467"/>
    <n v="95.660289970237287"/>
    <s v="Alto"/>
    <n v="-0.24831927490557587"/>
    <n v="40.194369337155322"/>
    <s v="Normal"/>
    <n v="0.89087652456571809"/>
    <n v="81.350229220447218"/>
    <x v="1"/>
  </r>
  <r>
    <x v="4"/>
    <x v="0"/>
    <n v="7"/>
    <n v="1.2966293765519399"/>
    <n v="90.262063015818711"/>
    <s v="Normal"/>
    <n v="-0.40675365362755983"/>
    <n v="34.209446476209479"/>
    <s v="Normal"/>
    <n v="1.4387501108023328"/>
    <n v="92.488933201958233"/>
    <x v="0"/>
  </r>
  <r>
    <x v="4"/>
    <x v="1"/>
    <n v="7"/>
    <n v="-0.11267571439188419"/>
    <n v="45.51438278606993"/>
    <s v="Normal"/>
    <n v="-0.83754718057680355"/>
    <n v="20.114253418940482"/>
    <s v="Normal"/>
    <n v="1.5046597676684446"/>
    <n v="93.379421416498687"/>
    <x v="0"/>
  </r>
  <r>
    <x v="4"/>
    <x v="1"/>
    <n v="7"/>
    <n v="-8.2224861542784619E-2"/>
    <n v="46.723395186471485"/>
    <s v="Normal"/>
    <n v="-1.1906203243984257"/>
    <n v="11.690133455444146"/>
    <s v="Normal"/>
    <n v="-1.5123682586182698"/>
    <n v="6.5220102558764568"/>
    <x v="3"/>
  </r>
  <r>
    <x v="4"/>
    <x v="0"/>
    <n v="7"/>
    <n v="-1.3603804508486625"/>
    <n v="8.6854780763371817"/>
    <s v="Normal"/>
    <n v="-1.3168333665930179"/>
    <n v="9.3947242883223083"/>
    <s v="Normal"/>
    <n v="1.7699827607064569"/>
    <n v="96.163499369953669"/>
    <x v="0"/>
  </r>
  <r>
    <x v="4"/>
    <x v="1"/>
    <n v="7"/>
    <n v="-9.8058676179082052E-2"/>
    <n v="46.094285048040362"/>
    <s v="Normal"/>
    <n v="-1.083198566635504"/>
    <n v="13.936014791446738"/>
    <s v="Normal"/>
    <n v="0.20331437004472144"/>
    <n v="58.055533779111713"/>
    <x v="1"/>
  </r>
  <r>
    <x v="4"/>
    <x v="1"/>
    <n v="7"/>
    <n v="1.7442372132682111"/>
    <n v="95.944113258244485"/>
    <s v="Alto"/>
    <n v="-0.4232896027389596"/>
    <n v="33.60419896065244"/>
    <s v="Normal"/>
    <n v="2.3023338918402367"/>
    <n v="98.934182503422036"/>
    <x v="0"/>
  </r>
  <r>
    <x v="4"/>
    <x v="0"/>
    <n v="7"/>
    <n v="0.94899947025503328"/>
    <n v="82.868955924675589"/>
    <s v="Normal"/>
    <n v="-1.4230972721663675"/>
    <n v="7.7353979516178351"/>
    <s v="Normal"/>
    <n v="2.0231798950845374"/>
    <n v="97.84726981456609"/>
    <x v="0"/>
  </r>
  <r>
    <x v="4"/>
    <x v="0"/>
    <n v="7"/>
    <n v="-0.39006596329375831"/>
    <n v="34.824388532189985"/>
    <s v="Normal"/>
    <n v="0.25165192919437146"/>
    <n v="59.934494186545685"/>
    <s v="Normal"/>
    <n v="-0.84846343131728486"/>
    <n v="19.80899648883231"/>
    <x v="1"/>
  </r>
  <r>
    <x v="4"/>
    <x v="0"/>
    <n v="7"/>
    <n v="-1.7946008818294263"/>
    <n v="3.6358656278600021"/>
    <s v="Desnutricion"/>
    <n v="-1.2424354487640734"/>
    <n v="10.703797166453036"/>
    <s v="Normal"/>
    <n v="1.6337228154171128"/>
    <n v="94.884146726879976"/>
    <x v="0"/>
  </r>
  <r>
    <x v="4"/>
    <x v="0"/>
    <n v="6"/>
    <n v="1.1339019572448925"/>
    <n v="87.158216198093342"/>
    <s v="Normal"/>
    <n v="0.44140326355673964"/>
    <n v="67.05394600066758"/>
    <s v="Normal"/>
    <n v="2.9890555642798584E-2"/>
    <n v="51.19228310045861"/>
    <x v="1"/>
  </r>
  <r>
    <x v="4"/>
    <x v="1"/>
    <n v="7"/>
    <n v="-1.8184061672781568"/>
    <n v="3.4501038224422067"/>
    <s v="Desnutricion"/>
    <n v="-0.28639882877361894"/>
    <n v="38.728633582664131"/>
    <s v="Normal"/>
    <n v="0.33132665806711559"/>
    <n v="62.980112141030361"/>
    <x v="1"/>
  </r>
  <r>
    <x v="4"/>
    <x v="0"/>
    <n v="6"/>
    <n v="-0.15983153159235083"/>
    <n v="43.650689237824743"/>
    <s v="Normal"/>
    <n v="-1.0232246348769087"/>
    <n v="15.310082389281465"/>
    <s v="Normal"/>
    <n v="0.16784401714428657"/>
    <n v="56.664700349720306"/>
    <x v="1"/>
  </r>
  <r>
    <x v="4"/>
    <x v="0"/>
    <n v="6"/>
    <n v="2.057997306414348"/>
    <n v="98.020480401590291"/>
    <s v="Alto"/>
    <n v="-1.9761220777176616"/>
    <n v="2.4070476244017933"/>
    <s v="Piernas cortas"/>
    <n v="1.4097818980305479"/>
    <n v="92.069795334668143"/>
    <x v="0"/>
  </r>
  <r>
    <x v="4"/>
    <x v="0"/>
    <n v="7"/>
    <n v="-0.69704160442495655"/>
    <n v="24.28883786965207"/>
    <s v="Normal"/>
    <n v="0.2423566919923324"/>
    <n v="59.574810553563587"/>
    <s v="Normal"/>
    <n v="1.5807982499510822"/>
    <n v="94.303791258736638"/>
    <x v="0"/>
  </r>
  <r>
    <x v="4"/>
    <x v="0"/>
    <n v="6"/>
    <n v="2.4987538241541766E-2"/>
    <n v="50.996754822548482"/>
    <s v="Normal"/>
    <n v="0.63476513963420189"/>
    <n v="73.720919881252513"/>
    <s v="Normal"/>
    <n v="1.238222707475173"/>
    <n v="89.218325299756685"/>
    <x v="0"/>
  </r>
  <r>
    <x v="4"/>
    <x v="1"/>
    <n v="7"/>
    <n v="-2.2206751198443548"/>
    <n v="1.3186486889087217"/>
    <s v="Desnutricion"/>
    <n v="1.6466242653057546"/>
    <n v="95.018235015426853"/>
    <s v="Piernas largas"/>
    <n v="-0.8048857001786015"/>
    <n v="21.044282050903391"/>
    <x v="1"/>
  </r>
  <r>
    <x v="4"/>
    <x v="1"/>
    <n v="6"/>
    <n v="0.13311078185918343"/>
    <n v="55.294711583061428"/>
    <s v="Normal"/>
    <n v="-1.3591790932857584"/>
    <n v="8.7044922257766686"/>
    <s v="Normal"/>
    <n v="0.30438048869503875"/>
    <n v="61.958098459663411"/>
    <x v="1"/>
  </r>
  <r>
    <x v="4"/>
    <x v="1"/>
    <n v="7"/>
    <n v="0.90340800956031964"/>
    <n v="81.684530469347663"/>
    <s v="Normal"/>
    <n v="0.26662184885344892"/>
    <n v="60.511983426667527"/>
    <s v="Normal"/>
    <n v="1.7985615795035932"/>
    <n v="96.395597025655889"/>
    <x v="0"/>
  </r>
  <r>
    <x v="4"/>
    <x v="0"/>
    <n v="6"/>
    <n v="0.48444708154622879"/>
    <n v="68.596569413911084"/>
    <s v="Normal"/>
    <n v="0.34564609275215213"/>
    <n v="63.519564922638025"/>
    <s v="Normal"/>
    <n v="1.4673193373902678"/>
    <n v="92.885539713546009"/>
    <x v="0"/>
  </r>
  <r>
    <x v="4"/>
    <x v="1"/>
    <n v="6"/>
    <n v="-0.23982833424249264"/>
    <n v="40.523167017248106"/>
    <s v="Normal"/>
    <n v="-0.90980981458496035"/>
    <n v="18.146140885114111"/>
    <s v="Normal"/>
    <n v="-0.46204263403400875"/>
    <n v="32.202537353495487"/>
    <x v="1"/>
  </r>
  <r>
    <x v="4"/>
    <x v="0"/>
    <n v="7"/>
    <n v="-0.37856410321285261"/>
    <n v="35.250579147851838"/>
    <s v="Normal"/>
    <n v="-0.62574750232796872"/>
    <n v="26.574028527565375"/>
    <s v="Normal"/>
    <n v="0.27688056216105345"/>
    <n v="60.906409076618239"/>
    <x v="1"/>
  </r>
  <r>
    <x v="4"/>
    <x v="1"/>
    <n v="6"/>
    <n v="-23.116042533518261"/>
    <n v="1.596799996135726E-116"/>
    <s v="Desnutricion"/>
    <n v="-1.8054792615797653E-2"/>
    <n v="49.279757116640489"/>
    <s v="Normal"/>
    <n v="-0.45029048818366374"/>
    <n v="32.625049831166642"/>
    <x v="1"/>
  </r>
  <r>
    <x v="4"/>
    <x v="0"/>
    <n v="7"/>
    <n v="0.33437018232967752"/>
    <n v="63.094988155879761"/>
    <s v="Normal"/>
    <n v="0.26240223788076422"/>
    <n v="60.349432623221787"/>
    <s v="Normal"/>
    <n v="2.5388672084823622"/>
    <n v="99.443939870631851"/>
    <x v="0"/>
  </r>
  <r>
    <x v="4"/>
    <x v="1"/>
    <n v="6"/>
    <n v="-0.53305421494675653"/>
    <n v="29.699802579663142"/>
    <s v="Normal"/>
    <n v="-0.95775713085687997"/>
    <n v="16.909262038279977"/>
    <s v="Normal"/>
    <n v="0.3928429845550559"/>
    <n v="65.27822727044132"/>
    <x v="1"/>
  </r>
  <r>
    <x v="4"/>
    <x v="0"/>
    <n v="7"/>
    <n v="-1.1435581701334261"/>
    <n v="12.640345879333861"/>
    <s v="Normal"/>
    <n v="-0.54558044914719173"/>
    <n v="29.267718324051707"/>
    <s v="Normal"/>
    <n v="1.9624813731341129"/>
    <n v="97.514676642704245"/>
    <x v="0"/>
  </r>
  <r>
    <x v="4"/>
    <x v="0"/>
    <n v="7"/>
    <n v="0.67836734813330135"/>
    <n v="75.123059674401873"/>
    <s v="Normal"/>
    <n v="-1.5748397225270805"/>
    <n v="5.7646722479109931"/>
    <s v="Normal"/>
    <n v="0.44436949926262753"/>
    <n v="67.161226929237202"/>
    <x v="1"/>
  </r>
  <r>
    <x v="4"/>
    <x v="1"/>
    <n v="7"/>
    <n v="8.4852489982233201E-2"/>
    <n v="53.381066849918483"/>
    <s v="Normal"/>
    <n v="-0.51018975593413507"/>
    <n v="30.49592641515056"/>
    <s v="Normal"/>
    <n v="1.2947934852992018"/>
    <n v="90.230426002208503"/>
    <x v="0"/>
  </r>
  <r>
    <x v="4"/>
    <x v="1"/>
    <n v="6"/>
    <n v="0.71156937379658669"/>
    <n v="76.163426119887006"/>
    <s v="Normal"/>
    <n v="-0.6301100794330623"/>
    <n v="26.431128275174419"/>
    <s v="Normal"/>
    <n v="0.15155988411974416"/>
    <n v="56.023296218053453"/>
    <x v="1"/>
  </r>
  <r>
    <x v="4"/>
    <x v="1"/>
    <n v="7"/>
    <n v="-9.8058676179082052E-2"/>
    <n v="46.094285048040362"/>
    <s v="Normal"/>
    <n v="-1.3284113585817752"/>
    <n v="9.2021124555012737"/>
    <s v="Normal"/>
    <n v="-0.17847416838365676"/>
    <n v="42.917530307045716"/>
    <x v="1"/>
  </r>
  <r>
    <x v="4"/>
    <x v="0"/>
    <n v="6"/>
    <n v="0.48951597463480001"/>
    <n v="68.776177611746675"/>
    <s v="Normal"/>
    <n v="-1.2097874023460042"/>
    <n v="11.318024070925528"/>
    <s v="Normal"/>
    <n v="0.90202174408799995"/>
    <n v="81.647734144039276"/>
    <x v="1"/>
  </r>
  <r>
    <x v="4"/>
    <x v="0"/>
    <n v="7"/>
    <n v="-0.11795903864963644"/>
    <n v="45.30500568229656"/>
    <s v="Normal"/>
    <n v="-0.51337886027686419"/>
    <n v="30.384316503724062"/>
    <s v="Normal"/>
    <n v="-1.5144055875257936"/>
    <n v="6.4961501497474208"/>
    <x v="3"/>
  </r>
  <r>
    <x v="4"/>
    <x v="1"/>
    <n v="7"/>
    <n v="0.52572169137913416"/>
    <n v="70.045920483929152"/>
    <s v="Normal"/>
    <n v="-0.8247629083861705"/>
    <n v="20.475310430853085"/>
    <s v="Normal"/>
    <n v="0.74440822807021723"/>
    <n v="77.168522866744965"/>
    <x v="1"/>
  </r>
  <r>
    <x v="4"/>
    <x v="1"/>
    <n v="7"/>
    <n v="0.26776365614355097"/>
    <n v="60.555937617235543"/>
    <s v="Normal"/>
    <n v="-1.5456776769922029"/>
    <n v="6.1091215531149841"/>
    <s v="Normal"/>
    <n v="1.6164411557912626"/>
    <n v="94.70005168733995"/>
    <x v="0"/>
  </r>
  <r>
    <x v="4"/>
    <x v="1"/>
    <n v="6"/>
    <n v="0.42385206973847728"/>
    <n v="66.416314939265675"/>
    <s v="Normal"/>
    <n v="-0.99100734473297925"/>
    <n v="16.084099693564301"/>
    <s v="Normal"/>
    <n v="3.5920403163708117"/>
    <n v="99.983595046287078"/>
    <x v="0"/>
  </r>
  <r>
    <x v="4"/>
    <x v="1"/>
    <n v="7"/>
    <n v="0.24784067641612462"/>
    <n v="59.787115934409506"/>
    <s v="Normal"/>
    <n v="-1.8747495140705766"/>
    <n v="3.0413595806075842"/>
    <s v="Piernas cortas"/>
    <n v="0.19533560842360573"/>
    <n v="57.743488877126325"/>
    <x v="1"/>
  </r>
  <r>
    <x v="4"/>
    <x v="0"/>
    <n v="7"/>
    <n v="0.76793762104681784"/>
    <n v="77.87378773617678"/>
    <s v="Normal"/>
    <n v="-1.461602847399325"/>
    <n v="7.1925036835381695"/>
    <s v="Normal"/>
    <n v="1.1007575101619966"/>
    <n v="86.44988955402907"/>
    <x v="0"/>
  </r>
  <r>
    <x v="4"/>
    <x v="1"/>
    <n v="6"/>
    <n v="0.52128983218877445"/>
    <n v="69.89175584810252"/>
    <s v="Normal"/>
    <n v="-1.1239650859487014"/>
    <n v="13.051391891309095"/>
    <s v="Normal"/>
    <n v="2.401552061091405"/>
    <n v="99.183715708567306"/>
    <x v="0"/>
  </r>
  <r>
    <x v="4"/>
    <x v="1"/>
    <n v="6"/>
    <n v="-0.43010787585030746"/>
    <n v="33.355858559162158"/>
    <s v="Normal"/>
    <n v="-0.4437414394927271"/>
    <n v="32.861476570081244"/>
    <s v="Normal"/>
    <n v="0.57167460790485281"/>
    <n v="71.622877999235087"/>
    <x v="1"/>
  </r>
  <r>
    <x v="4"/>
    <x v="1"/>
    <n v="7"/>
    <n v="0.23955283287555718"/>
    <n v="59.466153299520272"/>
    <s v="Normal"/>
    <n v="-1.0282452043754671"/>
    <n v="15.191724970622245"/>
    <s v="Normal"/>
    <n v="0.80988309637070255"/>
    <n v="79.099631607085627"/>
    <x v="1"/>
  </r>
  <r>
    <x v="4"/>
    <x v="1"/>
    <n v="7"/>
    <n v="1.731052985434073"/>
    <n v="95.82788426940516"/>
    <s v="Alto"/>
    <n v="1.0549780290435722"/>
    <n v="85.428231334816473"/>
    <s v="Normal"/>
    <n v="2.2230659282536944"/>
    <n v="98.689432264267168"/>
    <x v="0"/>
  </r>
  <r>
    <x v="4"/>
    <x v="0"/>
    <n v="7"/>
    <n v="2.7596179623372179"/>
    <n v="99.710655046266041"/>
    <s v="Alto"/>
    <n v="4.1990369880196727"/>
    <n v="99.998659737316459"/>
    <s v="Piernas largas"/>
    <n v="-2.0168733898308662"/>
    <n v="2.1854363840532605"/>
    <x v="2"/>
  </r>
  <r>
    <x v="4"/>
    <x v="0"/>
    <n v="7"/>
    <n v="0.21759112674543746"/>
    <n v="58.612615065797357"/>
    <s v="Normal"/>
    <n v="-1.334030544833354"/>
    <n v="9.1096923159098271"/>
    <s v="Normal"/>
    <n v="1.4035886459137483"/>
    <n v="91.977931095964266"/>
    <x v="0"/>
  </r>
  <r>
    <x v="4"/>
    <x v="1"/>
    <n v="7"/>
    <n v="-0.68740715911642503"/>
    <n v="24.591309373481522"/>
    <s v="Normal"/>
    <n v="-1.7452436849849895"/>
    <n v="4.0471229997195977"/>
    <s v="Piernas cortas"/>
    <n v="-0.56916382591451964"/>
    <n v="28.462248356319648"/>
    <x v="1"/>
  </r>
  <r>
    <x v="4"/>
    <x v="0"/>
    <n v="6"/>
    <n v="-0.42972832536294597"/>
    <n v="33.36966381264395"/>
    <s v="Normal"/>
    <n v="-0.71000376337924909"/>
    <n v="23.885090121710377"/>
    <s v="Normal"/>
    <n v="0.85142805129817334"/>
    <n v="80.273419258366999"/>
    <x v="1"/>
  </r>
  <r>
    <x v="4"/>
    <x v="0"/>
    <n v="7"/>
    <n v="-0.28535478809945419"/>
    <n v="38.768617099293024"/>
    <s v="Normal"/>
    <n v="-1.4244112784135001"/>
    <n v="7.7163725639022616"/>
    <s v="Normal"/>
    <n v="1.0363854495173197"/>
    <n v="84.998882209611111"/>
    <x v="1"/>
  </r>
  <r>
    <x v="4"/>
    <x v="1"/>
    <n v="7"/>
    <n v="-0.50035759200991614"/>
    <n v="30.841165423500776"/>
    <s v="Normal"/>
    <n v="-0.44075999793026088"/>
    <n v="32.969337793779651"/>
    <s v="Normal"/>
    <n v="-0.43513248150550771"/>
    <n v="33.173313386740986"/>
    <x v="1"/>
  </r>
  <r>
    <x v="4"/>
    <x v="1"/>
    <n v="6"/>
    <n v="-0.62038741745812487"/>
    <n v="26.750137717408084"/>
    <s v="Normal"/>
    <n v="-0.35689290691966108"/>
    <n v="36.05859899618725"/>
    <s v="Normal"/>
    <n v="2.734478131575437"/>
    <n v="99.687603772835601"/>
    <x v="0"/>
  </r>
  <r>
    <x v="4"/>
    <x v="0"/>
    <n v="6"/>
    <n v="0.30566711463525081"/>
    <n v="62.007094283764744"/>
    <s v="Normal"/>
    <n v="-0.39483634529754963"/>
    <n v="34.648183498221108"/>
    <s v="Normal"/>
    <n v="0.15924367467233225"/>
    <n v="56.3261552277189"/>
    <x v="1"/>
  </r>
  <r>
    <x v="4"/>
    <x v="1"/>
    <n v="7"/>
    <n v="1.5455054132705066"/>
    <n v="93.888796972812187"/>
    <s v="Normal"/>
    <n v="-0.92648744130376459"/>
    <n v="17.709636035504229"/>
    <s v="Normal"/>
    <n v="3.1019194051249328"/>
    <n v="99.903864851435429"/>
    <x v="0"/>
  </r>
  <r>
    <x v="4"/>
    <x v="0"/>
    <n v="8"/>
    <n v="4.578997414141476"/>
    <n v="99.999766395013154"/>
    <s v="Alto"/>
    <n v="3.385667477353457"/>
    <n v="99.96449731658889"/>
    <s v="Piernas largas"/>
    <n v="-4.8743949671053688"/>
    <n v="5.4571217290030488E-5"/>
    <x v="2"/>
  </r>
  <r>
    <x v="4"/>
    <x v="0"/>
    <n v="8"/>
    <n v="-0.25592031713245905"/>
    <n v="39.900618306016241"/>
    <s v="Normal"/>
    <n v="-0.39839816704536024"/>
    <n v="34.5168354411175"/>
    <s v="Normal"/>
    <n v="1.0017949170590772"/>
    <n v="84.17786736681505"/>
    <x v="1"/>
  </r>
  <r>
    <x v="4"/>
    <x v="0"/>
    <n v="7"/>
    <n v="-0.98845886127785065"/>
    <n v="16.146398626539071"/>
    <s v="Normal"/>
    <n v="-1.3521054801225616"/>
    <n v="8.8170787240335287"/>
    <s v="Normal"/>
    <n v="-0.991334685960227"/>
    <n v="16.076109064260415"/>
    <x v="1"/>
  </r>
  <r>
    <x v="4"/>
    <x v="1"/>
    <n v="8"/>
    <n v="0.57890685392313046"/>
    <n v="71.867398737077764"/>
    <s v="Normal"/>
    <n v="-0.84525217763926919"/>
    <n v="19.898502776452244"/>
    <s v="Normal"/>
    <n v="0.38824040757763073"/>
    <n v="65.108093356556509"/>
    <x v="1"/>
  </r>
  <r>
    <x v="4"/>
    <x v="0"/>
    <n v="8"/>
    <n v="-0.69398687293546124"/>
    <n v="24.384522063433501"/>
    <s v="Normal"/>
    <n v="-2.2825910343099811"/>
    <n v="1.1227234787807017"/>
    <s v="Piernas cortas"/>
    <n v="-0.50296407869639947"/>
    <n v="30.749476382626096"/>
    <x v="1"/>
  </r>
  <r>
    <x v="4"/>
    <x v="1"/>
    <n v="7"/>
    <n v="2.168841131457953"/>
    <n v="98.495262633765961"/>
    <s v="Alto"/>
    <n v="2.7948498479852648"/>
    <n v="99.740380872491144"/>
    <s v="Piernas largas"/>
    <n v="-0.38431507567430728"/>
    <n v="35.037246780580247"/>
    <x v="1"/>
  </r>
  <r>
    <x v="4"/>
    <x v="0"/>
    <n v="7"/>
    <n v="-1.7677495634223257"/>
    <n v="3.8551390057264467"/>
    <s v="Desnutricion"/>
    <n v="-0.54558044914719173"/>
    <n v="29.267718324051707"/>
    <s v="Normal"/>
    <n v="-0.19074646854593333"/>
    <n v="42.436211519821278"/>
    <x v="1"/>
  </r>
  <r>
    <x v="4"/>
    <x v="1"/>
    <n v="8"/>
    <n v="-1.1507622027809281"/>
    <n v="12.491503922813383"/>
    <s v="Normal"/>
    <n v="-1.2949353193842263"/>
    <n v="9.7671271577250511"/>
    <s v="Normal"/>
    <n v="-1.2863356034398346"/>
    <n v="9.9162981027082626"/>
    <x v="3"/>
  </r>
  <r>
    <x v="4"/>
    <x v="0"/>
    <n v="7"/>
    <n v="1.2966293765519399"/>
    <n v="90.262063015818711"/>
    <s v="Normal"/>
    <n v="9.9680110795145146E-2"/>
    <n v="53.970085441340565"/>
    <s v="Normal"/>
    <n v="0.99902277407451179"/>
    <n v="84.110817046589901"/>
    <x v="1"/>
  </r>
  <r>
    <x v="4"/>
    <x v="1"/>
    <n v="7"/>
    <n v="-0.42306331599947705"/>
    <n v="33.61245330928142"/>
    <s v="Normal"/>
    <n v="-0.84560477149221014"/>
    <n v="19.888663142053122"/>
    <s v="Normal"/>
    <n v="-0.47442753016676753"/>
    <n v="31.759753253091361"/>
    <x v="1"/>
  </r>
  <r>
    <x v="4"/>
    <x v="0"/>
    <n v="8"/>
    <n v="0.25127426412554044"/>
    <n v="59.919896438618039"/>
    <s v="Normal"/>
    <n v="-0.64367653787737389"/>
    <n v="25.989260358203207"/>
    <s v="Normal"/>
    <n v="2.2614733081825595"/>
    <n v="98.813501813327903"/>
    <x v="0"/>
  </r>
  <r>
    <x v="4"/>
    <x v="1"/>
    <n v="8"/>
    <n v="3.220501028983698E-2"/>
    <n v="51.284571969014571"/>
    <s v="Normal"/>
    <n v="-7.7749569014493156"/>
    <n v="3.7736548662460159E-13"/>
    <s v="Piernas cortas"/>
    <n v="3.0949191040402191"/>
    <n v="99.901566708368634"/>
    <x v="0"/>
  </r>
  <r>
    <x v="4"/>
    <x v="0"/>
    <n v="8"/>
    <n v="-0.61333109074731229"/>
    <n v="26.982871984483982"/>
    <s v="Normal"/>
    <n v="-1.18339292336357"/>
    <n v="11.832673030708966"/>
    <s v="Normal"/>
    <n v="0.67070982916312361"/>
    <n v="74.879730001012902"/>
    <x v="1"/>
  </r>
  <r>
    <x v="4"/>
    <x v="1"/>
    <n v="8"/>
    <n v="-0.42919691113583019"/>
    <n v="33.388996534627339"/>
    <s v="Normal"/>
    <n v="-1.1848889773991467"/>
    <n v="11.803067304546854"/>
    <s v="Normal"/>
    <n v="1.9906227169056705"/>
    <n v="97.673880956849814"/>
    <x v="0"/>
  </r>
  <r>
    <x v="4"/>
    <x v="0"/>
    <n v="8"/>
    <n v="0.16675759106880006"/>
    <n v="56.621960561076257"/>
    <s v="Normal"/>
    <n v="-0.95709768185266297"/>
    <n v="16.925897678537712"/>
    <s v="Normal"/>
    <n v="-0.67324447128753184"/>
    <n v="25.039588659611468"/>
    <x v="1"/>
  </r>
  <r>
    <x v="4"/>
    <x v="1"/>
    <n v="7"/>
    <n v="0.38882641472347579"/>
    <n v="65.129772035484081"/>
    <s v="Normal"/>
    <n v="-1.0521021909762518"/>
    <n v="14.6376333523082"/>
    <s v="Normal"/>
    <n v="1.0445409719282113"/>
    <n v="85.188241331772076"/>
    <x v="0"/>
  </r>
  <r>
    <x v="4"/>
    <x v="1"/>
    <n v="7"/>
    <n v="-1.138906490279473"/>
    <n v="12.737107914915969"/>
    <s v="Normal"/>
    <n v="-1.098492810537125"/>
    <n v="13.599467766064235"/>
    <s v="Normal"/>
    <n v="0.80968235432267333"/>
    <n v="79.093861889795434"/>
    <x v="1"/>
  </r>
  <r>
    <x v="4"/>
    <x v="0"/>
    <n v="7"/>
    <n v="-1.2429092754054014"/>
    <n v="10.695063366081291"/>
    <s v="Normal"/>
    <n v="-1.8637064725576056"/>
    <n v="3.1181467976861015"/>
    <s v="Piernas cortas"/>
    <n v="-0.93503790598695391"/>
    <n v="17.488438241087174"/>
    <x v="1"/>
  </r>
  <r>
    <x v="4"/>
    <x v="0"/>
    <n v="8"/>
    <n v="1.3484161471306733"/>
    <n v="91.123771330530914"/>
    <s v="Normal"/>
    <n v="-1.7953133080759847"/>
    <n v="3.6301897949117956"/>
    <s v="Piernas cortas"/>
    <n v="3.4758870298143973"/>
    <n v="99.974541664059899"/>
    <x v="0"/>
  </r>
  <r>
    <x v="4"/>
    <x v="0"/>
    <n v="8"/>
    <n v="-1.0242465283900308"/>
    <n v="15.285942354027169"/>
    <s v="Normal"/>
    <n v="-2.914416564961237"/>
    <n v="0.17817702503787133"/>
    <s v="Piernas cortas"/>
    <n v="1.2661405033750319"/>
    <n v="89.726860807159269"/>
    <x v="0"/>
  </r>
  <r>
    <x v="4"/>
    <x v="1"/>
    <n v="7"/>
    <n v="-0.24410252242947808"/>
    <n v="40.357570950777188"/>
    <s v="Normal"/>
    <n v="0.10858622587667977"/>
    <n v="54.323465684721917"/>
    <s v="Normal"/>
    <n v="1.0886420566942572"/>
    <n v="86.184411854771554"/>
    <x v="0"/>
  </r>
  <r>
    <x v="4"/>
    <x v="0"/>
    <n v="8"/>
    <n v="-8.653761997681568E-2"/>
    <n v="46.551952590414949"/>
    <s v="Normal"/>
    <n v="0.9138273986559432"/>
    <n v="81.959622639101852"/>
    <s v="Normal"/>
    <n v="-2.721456570731601"/>
    <n v="0.32497462316463582"/>
    <x v="2"/>
  </r>
  <r>
    <x v="4"/>
    <x v="0"/>
    <n v="8"/>
    <n v="-1.1160988288162326"/>
    <n v="13.218991671856827"/>
    <s v="Normal"/>
    <n v="-1.2256643850152915"/>
    <n v="11.016249894439021"/>
    <s v="Normal"/>
    <n v="-0.96966857953836905"/>
    <n v="16.610585848397459"/>
    <x v="1"/>
  </r>
  <r>
    <x v="4"/>
    <x v="0"/>
    <n v="8"/>
    <n v="0.92372103876438838"/>
    <n v="82.218421231086623"/>
    <s v="Normal"/>
    <n v="-0.19675558417454411"/>
    <n v="42.200940514853635"/>
    <s v="Normal"/>
    <n v="1.3851891794049012"/>
    <n v="91.700268574946008"/>
    <x v="0"/>
  </r>
  <r>
    <x v="4"/>
    <x v="0"/>
    <n v="7"/>
    <n v="-1.2235168898350083E-2"/>
    <n v="49.511899559943686"/>
    <s v="Normal"/>
    <n v="2.6461551430095251E-2"/>
    <n v="51.055539981684149"/>
    <s v="Normal"/>
    <n v="-0.20196885774770576"/>
    <n v="41.997053518437198"/>
    <x v="1"/>
  </r>
  <r>
    <x v="4"/>
    <x v="1"/>
    <n v="8"/>
    <n v="0.40279208591390442"/>
    <n v="65.64494081724807"/>
    <s v="Normal"/>
    <n v="-1.1754074473894618"/>
    <n v="11.991587270036472"/>
    <s v="Normal"/>
    <n v="0.39799887370476866"/>
    <n v="65.468449201422345"/>
    <x v="1"/>
  </r>
  <r>
    <x v="4"/>
    <x v="1"/>
    <n v="8"/>
    <n v="-0.62795779772553439"/>
    <n v="26.501579331127278"/>
    <s v="Normal"/>
    <n v="-0.42113555705950717"/>
    <n v="33.682804922569176"/>
    <s v="Normal"/>
    <n v="1.0898555749479149"/>
    <n v="86.21116157356974"/>
    <x v="0"/>
  </r>
  <r>
    <x v="4"/>
    <x v="1"/>
    <n v="8"/>
    <n v="-0.47778175413223328"/>
    <n v="31.640277444546179"/>
    <s v="Normal"/>
    <n v="-1.2278010200190865"/>
    <n v="10.976083634008669"/>
    <s v="Normal"/>
    <n v="0.72652268337618697"/>
    <n v="76.624079654828208"/>
    <x v="1"/>
  </r>
  <r>
    <x v="4"/>
    <x v="1"/>
    <n v="8"/>
    <n v="1.0232644435598164"/>
    <n v="84.690858477926156"/>
    <s v="Normal"/>
    <n v="-0.19840513211189742"/>
    <n v="42.136405120827725"/>
    <s v="Normal"/>
    <n v="1.6346747093255127"/>
    <n v="94.894137152808412"/>
    <x v="0"/>
  </r>
  <r>
    <x v="4"/>
    <x v="0"/>
    <n v="8"/>
    <n v="-0.9138819685710563"/>
    <n v="18.038943466772405"/>
    <s v="Normal"/>
    <n v="-1.1425316589265833"/>
    <n v="12.661654712787374"/>
    <s v="Normal"/>
    <n v="-0.14574352335601129"/>
    <n v="44.206193075601107"/>
    <x v="1"/>
  </r>
  <r>
    <x v="4"/>
    <x v="0"/>
    <n v="8"/>
    <n v="0.33666139407820683"/>
    <n v="63.181391541637254"/>
    <s v="Normal"/>
    <n v="-2.1631532942838874"/>
    <n v="1.5264695597147329"/>
    <s v="Piernas cortas"/>
    <n v="2.196845247315462"/>
    <n v="98.598424984046375"/>
    <x v="0"/>
  </r>
  <r>
    <x v="4"/>
    <x v="1"/>
    <n v="8"/>
    <n v="-0.65389652214146177"/>
    <n v="25.658923737614899"/>
    <s v="Normal"/>
    <n v="-2.3717788643960702"/>
    <n v="0.88513411244542717"/>
    <s v="Piernas cortas"/>
    <n v="-0.56771127476590033"/>
    <n v="28.511551724178307"/>
    <x v="1"/>
  </r>
  <r>
    <x v="4"/>
    <x v="1"/>
    <n v="8"/>
    <n v="-0.22398979627204485"/>
    <n v="41.138262146473366"/>
    <s v="Normal"/>
    <n v="-0.5117660833898543"/>
    <n v="30.44073650743012"/>
    <s v="Normal"/>
    <n v="1.576295389552042"/>
    <n v="94.252112816264642"/>
    <x v="0"/>
  </r>
  <r>
    <x v="4"/>
    <x v="1"/>
    <n v="8"/>
    <n v="-1.1507622027809281"/>
    <n v="12.491503922813383"/>
    <s v="Normal"/>
    <n v="-1.5198535839156981"/>
    <n v="6.4273889190483127"/>
    <s v="Normal"/>
    <n v="0.85550824653079061"/>
    <n v="80.386507946564862"/>
    <x v="1"/>
  </r>
  <r>
    <x v="4"/>
    <x v="1"/>
    <n v="8"/>
    <n v="-0.80222593274399978"/>
    <n v="21.121113900435429"/>
    <s v="Normal"/>
    <n v="-0.70478783135398237"/>
    <n v="24.047114121638476"/>
    <s v="Normal"/>
    <n v="1.7390921494977871"/>
    <n v="95.899072233824285"/>
    <x v="0"/>
  </r>
  <r>
    <x v="4"/>
    <x v="0"/>
    <n v="8"/>
    <n v="1.3384178850565418"/>
    <n v="90.961987405224434"/>
    <s v="Normal"/>
    <n v="-2.1356072929509171"/>
    <n v="1.6355718242641952"/>
    <s v="Piernas cortas"/>
    <n v="2.2460639546665115"/>
    <n v="98.765004413383338"/>
    <x v="0"/>
  </r>
  <r>
    <x v="4"/>
    <x v="0"/>
    <n v="7"/>
    <n v="-0.1932286993715624"/>
    <n v="42.338993170601633"/>
    <s v="Normal"/>
    <n v="-0.55139177290538077"/>
    <n v="29.068256961088125"/>
    <s v="Normal"/>
    <n v="1.00900081882597"/>
    <n v="84.351287925562346"/>
    <x v="1"/>
  </r>
  <r>
    <x v="4"/>
    <x v="0"/>
    <n v="7"/>
    <n v="-1.2429092754054014"/>
    <n v="10.695063366081291"/>
    <s v="Normal"/>
    <n v="-1.5594603935836282"/>
    <n v="5.9443725869262796"/>
    <s v="Normal"/>
    <n v="0.86967077864246156"/>
    <n v="80.77598271112403"/>
    <x v="1"/>
  </r>
  <r>
    <x v="4"/>
    <x v="0"/>
    <n v="8"/>
    <n v="-1.912587310882425"/>
    <n v="2.790045269882365"/>
    <s v="Desnutricion"/>
    <n v="-2.1053131202198467"/>
    <n v="1.7632030389725952"/>
    <s v="Piernas cortas"/>
    <n v="0.69214725437530467"/>
    <n v="75.557757064173629"/>
    <x v="1"/>
  </r>
  <r>
    <x v="4"/>
    <x v="0"/>
    <n v="7"/>
    <n v="-0.10219239270680235"/>
    <n v="45.930198294234877"/>
    <s v="Normal"/>
    <n v="-0.53357397025553011"/>
    <n v="29.681816060429544"/>
    <s v="Normal"/>
    <n v="-0.43036320715111875"/>
    <n v="33.346572753310177"/>
    <x v="1"/>
  </r>
  <r>
    <x v="4"/>
    <x v="0"/>
    <n v="8"/>
    <n v="8.4254324701043673E-2"/>
    <n v="53.357288658696753"/>
    <s v="Normal"/>
    <n v="0.52782035387729731"/>
    <n v="70.118798563441175"/>
    <s v="Normal"/>
    <n v="-0.39099059814302539"/>
    <n v="34.790209270506601"/>
    <x v="1"/>
  </r>
  <r>
    <x v="4"/>
    <x v="0"/>
    <n v="9"/>
    <n v="192.84789006980191"/>
    <n v="100"/>
    <s v="Alto"/>
    <n v="21.023558812535303"/>
    <n v="100"/>
    <s v="Piernas largas"/>
    <n v="-4194.4938673192501"/>
    <n v="0"/>
    <x v="2"/>
  </r>
  <r>
    <x v="4"/>
    <x v="1"/>
    <n v="9"/>
    <n v="0.2568142132559687"/>
    <n v="60.133890130499957"/>
    <s v="Normal"/>
    <n v="-0.45983388832990069"/>
    <n v="32.281772839342246"/>
    <s v="Normal"/>
    <n v="2.157699877735769"/>
    <n v="98.452441326302434"/>
    <x v="0"/>
  </r>
  <r>
    <x v="4"/>
    <x v="1"/>
    <n v="9"/>
    <n v="1.0703559568304764"/>
    <n v="85.777044200932835"/>
    <s v="Normal"/>
    <n v="-0.69858561633407867"/>
    <n v="24.240551764119527"/>
    <s v="Normal"/>
    <n v="1.447098734523337"/>
    <n v="92.606536379125643"/>
    <x v="0"/>
  </r>
  <r>
    <x v="4"/>
    <x v="0"/>
    <n v="9"/>
    <n v="-0.32580636488126313"/>
    <n v="37.228543139782964"/>
    <s v="Normal"/>
    <n v="-1.1298013385581731"/>
    <n v="12.927997203354538"/>
    <s v="Normal"/>
    <n v="1.6020445206033029"/>
    <n v="94.542711755381021"/>
    <x v="0"/>
  </r>
  <r>
    <x v="4"/>
    <x v="0"/>
    <n v="9"/>
    <n v="1.1411290915854848"/>
    <n v="87.309189665551841"/>
    <s v="Normal"/>
    <n v="0.12736233227613036"/>
    <n v="55.067318605455625"/>
    <s v="Normal"/>
    <n v="-0.8127431388944294"/>
    <n v="20.818267118254678"/>
    <x v="1"/>
  </r>
  <r>
    <x v="4"/>
    <x v="1"/>
    <n v="9"/>
    <n v="-1.0632036466936436"/>
    <n v="14.384480451042418"/>
    <s v="Normal"/>
    <n v="-1.1551645064310565"/>
    <n v="12.401153325244708"/>
    <s v="Normal"/>
    <n v="-0.69229434366255482"/>
    <n v="24.437625076009407"/>
    <x v="1"/>
  </r>
  <r>
    <x v="4"/>
    <x v="1"/>
    <n v="9"/>
    <n v="-1.3555134268570064"/>
    <n v="8.7627016834382445"/>
    <s v="Normal"/>
    <n v="-2.5277245152384231"/>
    <n v="0.57402197257634069"/>
    <s v="Piernas cortas"/>
    <n v="1.8462457897224716"/>
    <n v="96.757173746001399"/>
    <x v="0"/>
  </r>
  <r>
    <x v="4"/>
    <x v="1"/>
    <n v="9"/>
    <n v="1.7357105641721018"/>
    <n v="95.869248768579112"/>
    <s v="Alto"/>
    <n v="-9.6068966291466773E-2"/>
    <n v="46.173289929380658"/>
    <s v="Normal"/>
    <n v="3.2510978924473322"/>
    <n v="99.942519866408048"/>
    <x v="0"/>
  </r>
  <r>
    <x v="4"/>
    <x v="1"/>
    <n v="9"/>
    <n v="-0.74183874320747378"/>
    <n v="22.909252185027633"/>
    <s v="Normal"/>
    <n v="-0.50899205870761954"/>
    <n v="30.537889525084534"/>
    <s v="Normal"/>
    <n v="2.3187115105192535"/>
    <n v="98.979465800700481"/>
    <x v="0"/>
  </r>
  <r>
    <x v="4"/>
    <x v="0"/>
    <n v="9"/>
    <n v="-1.6004410708802943"/>
    <n v="5.4750385010032003"/>
    <s v="Normal"/>
    <n v="-6.1256719289344073"/>
    <n v="4.515085068379251E-8"/>
    <s v="Piernas cortas"/>
    <n v="3.1923207255730461"/>
    <n v="99.929432737555828"/>
    <x v="0"/>
  </r>
  <r>
    <x v="4"/>
    <x v="1"/>
    <n v="9"/>
    <n v="1.7357105641721018"/>
    <n v="95.869248768579112"/>
    <s v="Alto"/>
    <n v="0.26511416442280128"/>
    <n v="60.453924199331667"/>
    <s v="Normal"/>
    <n v="1.0850574143310785"/>
    <n v="86.105188646796847"/>
    <x v="0"/>
  </r>
  <r>
    <x v="4"/>
    <x v="0"/>
    <n v="9"/>
    <n v="-0.24482029883436127"/>
    <n v="40.329778796247354"/>
    <s v="Normal"/>
    <n v="-0.52879692725249849"/>
    <n v="29.847316477721353"/>
    <s v="Normal"/>
    <n v="-0.16610992947048051"/>
    <n v="43.403522006493191"/>
    <x v="1"/>
  </r>
  <r>
    <x v="4"/>
    <x v="1"/>
    <n v="8"/>
    <n v="-0.28371707975052435"/>
    <n v="38.831360231031297"/>
    <s v="Normal"/>
    <n v="0.20428096684430547"/>
    <n v="58.093302868991628"/>
    <s v="Normal"/>
    <n v="-0.40181274020717306"/>
    <n v="34.391092263530268"/>
    <x v="1"/>
  </r>
  <r>
    <x v="4"/>
    <x v="0"/>
    <n v="9"/>
    <n v="-0.89915269861489866"/>
    <n v="18.428566570493867"/>
    <s v="Normal"/>
    <n v="-0.65969798637951438"/>
    <n v="25.472382956757588"/>
    <s v="Normal"/>
    <n v="1.5437019701557748"/>
    <n v="93.866972559113336"/>
    <x v="0"/>
  </r>
  <r>
    <x v="4"/>
    <x v="0"/>
    <n v="9"/>
    <n v="0.54458068518218594"/>
    <n v="70.69790290850591"/>
    <s v="Normal"/>
    <n v="-1.2312068486332484"/>
    <n v="10.912275530278487"/>
    <s v="Normal"/>
    <n v="0.58202539993546643"/>
    <n v="71.972521390194672"/>
    <x v="1"/>
  </r>
  <r>
    <x v="4"/>
    <x v="1"/>
    <n v="9"/>
    <n v="-0.42047383972130631"/>
    <n v="33.706966811273972"/>
    <s v="Normal"/>
    <n v="-0.78269937992210414"/>
    <n v="21.690183322829654"/>
    <s v="Normal"/>
    <n v="0.62098758817586563"/>
    <n v="73.269610515627875"/>
    <x v="1"/>
  </r>
  <r>
    <x v="4"/>
    <x v="0"/>
    <n v="9"/>
    <n v="0.15071046937844887"/>
    <n v="55.98979428982345"/>
    <s v="Normal"/>
    <n v="-0.72953511643768543"/>
    <n v="23.283719756630802"/>
    <s v="Normal"/>
    <n v="0.50719729428789651"/>
    <n v="69.399180334809955"/>
    <x v="1"/>
  </r>
  <r>
    <x v="4"/>
    <x v="1"/>
    <n v="9"/>
    <n v="-0.63521425692507849"/>
    <n v="26.264434305772621"/>
    <s v="Normal"/>
    <n v="-1.6073942631063707"/>
    <n v="5.3983953883655147"/>
    <s v="Normal"/>
    <n v="0.78135000843554447"/>
    <n v="78.270166745264802"/>
    <x v="1"/>
  </r>
  <r>
    <x v="4"/>
    <x v="0"/>
    <n v="9"/>
    <n v="0.32147360733456298"/>
    <n v="62.607424501381089"/>
    <s v="Normal"/>
    <n v="-0.29405257414219832"/>
    <n v="38.435886494085423"/>
    <s v="Normal"/>
    <n v="2.9399961823444905E-2"/>
    <n v="51.172719837341788"/>
    <x v="1"/>
  </r>
  <r>
    <x v="4"/>
    <x v="1"/>
    <n v="8"/>
    <n v="0.98189637227990323"/>
    <n v="83.692454842204583"/>
    <s v="Normal"/>
    <n v="-0.48653676431966986"/>
    <n v="31.329332286722533"/>
    <s v="Normal"/>
    <n v="-1.1749012534643377"/>
    <n v="12.001711204317964"/>
    <x v="3"/>
  </r>
  <r>
    <x v="4"/>
    <x v="0"/>
    <n v="8"/>
    <n v="1.8062303169626003E-3"/>
    <n v="50.072058124976706"/>
    <s v="Normal"/>
    <n v="-1.2941475566183465"/>
    <n v="9.7807228719142234"/>
    <s v="Normal"/>
    <n v="1.6697789040059967"/>
    <n v="95.25184421335419"/>
    <x v="0"/>
  </r>
  <r>
    <x v="4"/>
    <x v="1"/>
    <n v="8"/>
    <n v="5.2360958333487334E-2"/>
    <n v="52.087945892170893"/>
    <s v="Normal"/>
    <n v="-0.5742048022635956"/>
    <n v="28.291461001106178"/>
    <s v="Normal"/>
    <n v="3.150418065876528"/>
    <n v="99.918481510237328"/>
    <x v="0"/>
  </r>
  <r>
    <x v="4"/>
    <x v="1"/>
    <n v="9"/>
    <n v="1.4889783841135837"/>
    <n v="93.175346954422025"/>
    <s v="Normal"/>
    <n v="-0.94065010319923525"/>
    <n v="17.344209847593"/>
    <s v="Normal"/>
    <n v="3.5335000535889467"/>
    <n v="99.979495199663248"/>
    <x v="0"/>
  </r>
  <r>
    <x v="4"/>
    <x v="0"/>
    <n v="9"/>
    <n v="0.80654594512939037"/>
    <n v="79.003593634851143"/>
    <s v="Normal"/>
    <n v="-0.85073117422601141"/>
    <n v="19.745935090516863"/>
    <s v="Normal"/>
    <n v="2.933301398304466"/>
    <n v="99.832310928156275"/>
    <x v="0"/>
  </r>
  <r>
    <x v="4"/>
    <x v="0"/>
    <n v="9"/>
    <n v="0.80654594512939037"/>
    <n v="79.003593634851143"/>
    <s v="Normal"/>
    <n v="-0.75215421377901004"/>
    <n v="22.597916224122923"/>
    <s v="Normal"/>
    <n v="2.7588843805148686"/>
    <n v="99.710004743902431"/>
    <x v="0"/>
  </r>
  <r>
    <x v="4"/>
    <x v="1"/>
    <n v="9"/>
    <n v="0.18399422505206503"/>
    <n v="57.299100733853315"/>
    <s v="Normal"/>
    <n v="-0.70459770487300066"/>
    <n v="24.053031360694234"/>
    <s v="Normal"/>
    <n v="0.93003181308101568"/>
    <n v="82.382269342071581"/>
    <x v="1"/>
  </r>
  <r>
    <x v="4"/>
    <x v="1"/>
    <n v="9"/>
    <n v="-1.3845685501798113"/>
    <n v="8.3092216801809951"/>
    <s v="Normal"/>
    <n v="-0.87504519238796541"/>
    <n v="19.077465828056596"/>
    <s v="Normal"/>
    <n v="-1.4262519194672176"/>
    <n v="7.6897818879922335"/>
    <x v="3"/>
  </r>
  <r>
    <x v="4"/>
    <x v="0"/>
    <n v="9"/>
    <n v="3.070216854838598"/>
    <n v="99.893048300680761"/>
    <s v="Alto"/>
    <n v="-0.27205284095244803"/>
    <n v="39.279069489077187"/>
    <s v="Normal"/>
    <n v="2.3193777925783348"/>
    <n v="98.981271965134994"/>
    <x v="0"/>
  </r>
  <r>
    <x v="4"/>
    <x v="0"/>
    <n v="9"/>
    <n v="-0.64867106825509913"/>
    <n v="25.827550433056434"/>
    <s v="Normal"/>
    <n v="-1.2006671420711459"/>
    <n v="11.494017238739556"/>
    <s v="Normal"/>
    <n v="-0.5645049728110404"/>
    <n v="28.620525840800838"/>
    <x v="1"/>
  </r>
  <r>
    <x v="4"/>
    <x v="0"/>
    <n v="9"/>
    <n v="-0.24624764097436619"/>
    <n v="40.274526926615131"/>
    <s v="Normal"/>
    <n v="-0.66891445685091733"/>
    <n v="25.177502380122586"/>
    <s v="Normal"/>
    <n v="-0.91217628851704502"/>
    <n v="18.083796195493306"/>
    <x v="1"/>
  </r>
  <r>
    <x v="4"/>
    <x v="1"/>
    <n v="8"/>
    <n v="-2.3001853082545969"/>
    <n v="1.0718861906260457"/>
    <s v="Desnutricion"/>
    <n v="-1.8586216750893803"/>
    <n v="3.1540391286957208"/>
    <s v="Piernas cortas"/>
    <n v="0.51840513509191233"/>
    <n v="69.7912183675638"/>
    <x v="1"/>
  </r>
  <r>
    <x v="4"/>
    <x v="0"/>
    <n v="9"/>
    <n v="-0.24425712298690319"/>
    <n v="40.351584437082913"/>
    <s v="Normal"/>
    <n v="-0.54117259669324647"/>
    <n v="29.419431184513869"/>
    <s v="Normal"/>
    <n v="0.83917179487037763"/>
    <n v="79.931354380150083"/>
    <x v="1"/>
  </r>
  <r>
    <x v="4"/>
    <x v="0"/>
    <n v="8"/>
    <n v="-1.1581581934217091"/>
    <n v="12.339974277442048"/>
    <s v="Normal"/>
    <n v="-1.3321560640545593"/>
    <n v="9.1404455324120235"/>
    <s v="Normal"/>
    <n v="1.6674992000006146"/>
    <n v="95.229240832089317"/>
    <x v="0"/>
  </r>
  <r>
    <x v="4"/>
    <x v="0"/>
    <n v="9"/>
    <n v="-1.1228542871733644"/>
    <n v="13.074969238311294"/>
    <s v="Normal"/>
    <n v="-2.0935048369937537"/>
    <n v="1.815205636687417"/>
    <s v="Piernas cortas"/>
    <n v="1.2958678758564659"/>
    <n v="90.248949581497811"/>
    <x v="0"/>
  </r>
  <r>
    <x v="4"/>
    <x v="0"/>
    <n v="9"/>
    <n v="0.24276359279184498"/>
    <n v="59.590572964893028"/>
    <s v="Normal"/>
    <n v="-0.65572139579603672"/>
    <n v="25.600169989927281"/>
    <s v="Normal"/>
    <n v="0.95811891778461122"/>
    <n v="83.099860145137455"/>
    <x v="1"/>
  </r>
  <r>
    <x v="4"/>
    <x v="1"/>
    <n v="9"/>
    <n v="-1.5545196837789637"/>
    <n v="6.0030252580267165"/>
    <s v="Normal"/>
    <n v="-0.65626867073886885"/>
    <n v="25.582563581715501"/>
    <s v="Normal"/>
    <n v="2.4693138167237856"/>
    <n v="99.323137785063338"/>
    <x v="0"/>
  </r>
  <r>
    <x v="4"/>
    <x v="0"/>
    <n v="9"/>
    <n v="-0.48698028899015505"/>
    <n v="31.31361497341959"/>
    <s v="Normal"/>
    <n v="6.2131920717397086E-2"/>
    <n v="52.477111148006038"/>
    <s v="Normal"/>
    <n v="5.4210924160355036"/>
    <n v="99.999997038203745"/>
    <x v="0"/>
  </r>
  <r>
    <x v="4"/>
    <x v="1"/>
    <n v="9"/>
    <n v="-0.16790254899984222"/>
    <n v="43.332997239360829"/>
    <s v="Normal"/>
    <n v="-1.5528065392182044"/>
    <n v="6.0234679999200322"/>
    <s v="Normal"/>
    <n v="-0.1010234592097729"/>
    <n v="45.976591884239262"/>
    <x v="1"/>
  </r>
  <r>
    <x v="4"/>
    <x v="1"/>
    <n v="9"/>
    <n v="0.43814081293934576"/>
    <n v="66.935789478048932"/>
    <s v="Normal"/>
    <n v="-2.8901354856413737"/>
    <n v="0.19253791231088141"/>
    <s v="Piernas cortas"/>
    <n v="3.3374094672336958"/>
    <n v="99.957718367010699"/>
    <x v="0"/>
  </r>
  <r>
    <x v="4"/>
    <x v="0"/>
    <n v="8"/>
    <n v="-0.24583117853516676"/>
    <n v="40.290646027303865"/>
    <s v="Normal"/>
    <n v="-1.26081738813466"/>
    <n v="10.368732378440949"/>
    <s v="Normal"/>
    <n v="1.4854707353091383"/>
    <n v="93.129041498841332"/>
    <x v="0"/>
  </r>
  <r>
    <x v="4"/>
    <x v="0"/>
    <n v="9"/>
    <n v="1.5115226709776299"/>
    <n v="93.467233153088642"/>
    <s v="Normal"/>
    <n v="-0.48729096336102101"/>
    <n v="31.302607536408988"/>
    <s v="Normal"/>
    <n v="5.736089401271615E-2"/>
    <n v="52.287114312852012"/>
    <x v="1"/>
  </r>
  <r>
    <x v="4"/>
    <x v="0"/>
    <n v="9"/>
    <n v="-0.24857498796402144"/>
    <n v="40.184477901147261"/>
    <s v="Normal"/>
    <n v="-0.65572139579603672"/>
    <n v="25.600169989927281"/>
    <s v="Normal"/>
    <n v="0.7665889092454008"/>
    <n v="77.833701418207937"/>
    <x v="1"/>
  </r>
  <r>
    <x v="4"/>
    <x v="1"/>
    <n v="8"/>
    <n v="-0.21104048474406709"/>
    <n v="41.642784022778436"/>
    <s v="Normal"/>
    <n v="1.520606091790486"/>
    <n v="93.582064140834234"/>
    <s v="Normal"/>
    <n v="3.0045866122448901"/>
    <n v="99.867028985798711"/>
    <x v="0"/>
  </r>
  <r>
    <x v="4"/>
    <x v="1"/>
    <n v="9"/>
    <n v="0.34783592144749231"/>
    <n v="63.60182946110158"/>
    <s v="Normal"/>
    <n v="-2.0902774192134213"/>
    <n v="1.8296443242566056"/>
    <s v="Piernas cortas"/>
    <n v="2.0061884401909773"/>
    <n v="97.758192662936679"/>
    <x v="0"/>
  </r>
  <r>
    <x v="4"/>
    <x v="1"/>
    <n v="9"/>
    <n v="-0.16601209495540967"/>
    <n v="43.407371592736062"/>
    <s v="Normal"/>
    <n v="-1.6161769876109875"/>
    <n v="5.3028026360326281"/>
    <s v="Normal"/>
    <n v="2.0928321544785984"/>
    <n v="98.18179298165721"/>
    <x v="0"/>
  </r>
  <r>
    <x v="4"/>
    <x v="0"/>
    <n v="9"/>
    <n v="0.81514343459287419"/>
    <n v="79.25048940888108"/>
    <s v="Normal"/>
    <n v="-1.4681826972639798"/>
    <n v="7.1027301476889475"/>
    <s v="Normal"/>
    <n v="2.4411012001201962"/>
    <n v="99.267872458060197"/>
    <x v="0"/>
  </r>
  <r>
    <x v="4"/>
    <x v="0"/>
    <n v="9"/>
    <n v="1.5115226709776299"/>
    <n v="93.467233153088642"/>
    <s v="Normal"/>
    <n v="-0.76912680554440305"/>
    <n v="22.090901829036515"/>
    <s v="Normal"/>
    <n v="2.7994849424788328"/>
    <n v="99.744078981568506"/>
    <x v="0"/>
  </r>
  <r>
    <x v="4"/>
    <x v="1"/>
    <n v="9"/>
    <n v="-2.1708108085826243"/>
    <n v="1.4972738286011595"/>
    <s v="Desnutricion"/>
    <n v="-7.6101192120174082"/>
    <n v="1.3692160983285001E-12"/>
    <s v="Piernas cortas"/>
    <n v="-0.15771584022950758"/>
    <n v="43.734035900949372"/>
    <x v="1"/>
  </r>
  <r>
    <x v="4"/>
    <x v="1"/>
    <n v="9"/>
    <n v="-0.82800828658300452"/>
    <n v="20.383290349694917"/>
    <s v="Normal"/>
    <n v="-2.5224627358310157"/>
    <n v="0.58268148315387802"/>
    <s v="Piernas cortas"/>
    <n v="0.70173367826219468"/>
    <n v="75.857736701233918"/>
    <x v="1"/>
  </r>
  <r>
    <x v="4"/>
    <x v="0"/>
    <n v="9"/>
    <n v="-1.0389107815960827"/>
    <n v="14.942311581790976"/>
    <s v="Normal"/>
    <n v="6.2131920717397086E-2"/>
    <n v="52.477111148006038"/>
    <s v="Normal"/>
    <n v="-2.1538725025961303"/>
    <n v="1.5625085953067936"/>
    <x v="2"/>
  </r>
  <r>
    <x v="4"/>
    <x v="1"/>
    <n v="10"/>
    <n v="-0.58314083844685682"/>
    <n v="27.989924692899553"/>
    <s v="Normal"/>
    <n v="0.1885568925215593"/>
    <n v="57.477993928077552"/>
    <s v="Normal"/>
    <n v="-0.60172185529737932"/>
    <n v="27.367964976548109"/>
    <x v="1"/>
  </r>
  <r>
    <x v="4"/>
    <x v="0"/>
    <n v="10"/>
    <n v="1.3075066224654683"/>
    <n v="90.447964637775726"/>
    <s v="Normal"/>
    <n v="-1.1370506684042754"/>
    <n v="12.775855240217449"/>
    <s v="Normal"/>
    <n v="0.93027808615828089"/>
    <n v="82.388643954213762"/>
    <x v="1"/>
  </r>
  <r>
    <x v="4"/>
    <x v="1"/>
    <n v="10"/>
    <n v="-0.14624598647895667"/>
    <n v="44.18636019137945"/>
    <s v="Normal"/>
    <n v="0.90162338404350184"/>
    <n v="81.637151761066363"/>
    <s v="Normal"/>
    <n v="0.18368387714179185"/>
    <n v="57.286927106361276"/>
    <x v="1"/>
  </r>
  <r>
    <x v="4"/>
    <x v="0"/>
    <n v="9"/>
    <n v="-0.6451149263019853"/>
    <n v="25.942635585175992"/>
    <s v="Normal"/>
    <n v="-2.2629229621407303"/>
    <n v="1.1820219319807952"/>
    <s v="Piernas cortas"/>
    <n v="2.1107576568148025"/>
    <n v="98.260342631344926"/>
    <x v="0"/>
  </r>
  <r>
    <x v="4"/>
    <x v="0"/>
    <n v="9"/>
    <n v="-0.33207899892836557"/>
    <n v="36.99148037973616"/>
    <s v="Normal"/>
    <n v="-0.89432572239106134"/>
    <n v="18.55738206273579"/>
    <s v="Normal"/>
    <n v="1.7100085178410422"/>
    <n v="95.636785102243365"/>
    <x v="0"/>
  </r>
  <r>
    <x v="4"/>
    <x v="0"/>
    <n v="10"/>
    <n v="-1.4234291453461871"/>
    <n v="7.730589427478705"/>
    <s v="Normal"/>
    <n v="0.85054442223457483"/>
    <n v="80.248876301088785"/>
    <s v="Normal"/>
    <n v="5.9555004147925972E-2"/>
    <n v="52.374497189659444"/>
    <x v="1"/>
  </r>
  <r>
    <x v="4"/>
    <x v="1"/>
    <n v="10"/>
    <n v="0.53660325621993799"/>
    <n v="70.422915279552086"/>
    <s v="Normal"/>
    <n v="-0.1519231936448743"/>
    <n v="43.962375737334789"/>
    <s v="Normal"/>
    <n v="0.37801800727890605"/>
    <n v="64.729139152882681"/>
    <x v="1"/>
  </r>
  <r>
    <x v="4"/>
    <x v="1"/>
    <n v="10"/>
    <n v="-3.9251833126779472"/>
    <n v="4.3331858079929363E-3"/>
    <s v="Desnutricion"/>
    <n v="-11.315036717714175"/>
    <n v="5.5278007992010519E-28"/>
    <s v="Piernas cortas"/>
    <n v="4.2410426307249072"/>
    <n v="99.99888758064823"/>
    <x v="0"/>
  </r>
  <r>
    <x v="4"/>
    <x v="1"/>
    <n v="10"/>
    <n v="-0.34571048557582318"/>
    <n v="36.478015163786118"/>
    <s v="Normal"/>
    <n v="-1.0602711218455207"/>
    <n v="14.451063653919437"/>
    <s v="Normal"/>
    <n v="2.0155899285324494"/>
    <n v="97.807856309952882"/>
    <x v="0"/>
  </r>
  <r>
    <x v="4"/>
    <x v="0"/>
    <n v="9"/>
    <n v="-0.88146904586085129"/>
    <n v="18.903200041444236"/>
    <s v="Normal"/>
    <n v="-0.95564290281123199"/>
    <n v="16.962633913798147"/>
    <s v="Normal"/>
    <n v="0.68999833417065337"/>
    <n v="75.490238253590775"/>
    <x v="1"/>
  </r>
  <r>
    <x v="4"/>
    <x v="1"/>
    <n v="10"/>
    <n v="1.9999215299836914"/>
    <n v="97.724563104733321"/>
    <s v="Alto"/>
    <n v="1.4845448908504781"/>
    <n v="93.11677884263041"/>
    <s v="Normal"/>
    <n v="2.5293665780513259"/>
    <n v="99.428656948773792"/>
    <x v="0"/>
  </r>
  <r>
    <x v="4"/>
    <x v="1"/>
    <n v="9"/>
    <n v="0.73337704375687496"/>
    <n v="76.833575171348087"/>
    <s v="Normal"/>
    <n v="-0.98781536401036263"/>
    <n v="16.16215408189969"/>
    <s v="Normal"/>
    <n v="0.25403777615780299"/>
    <n v="60.026681299977348"/>
    <x v="1"/>
  </r>
  <r>
    <x v="4"/>
    <x v="0"/>
    <n v="10"/>
    <n v="1.4295847735218947"/>
    <n v="92.358188588179047"/>
    <s v="Normal"/>
    <n v="-0.23345827635846883"/>
    <n v="40.770278253951361"/>
    <s v="Normal"/>
    <n v="2.9877972428181754"/>
    <n v="99.859502048521236"/>
    <x v="0"/>
  </r>
  <r>
    <x v="4"/>
    <x v="1"/>
    <n v="10"/>
    <n v="-1.2331670265869173E-2"/>
    <n v="49.508050002809348"/>
    <s v="Normal"/>
    <n v="-0.52094588010323895"/>
    <n v="30.120223651490925"/>
    <s v="Normal"/>
    <n v="1.6635734745181661"/>
    <n v="95.190115179941984"/>
    <x v="0"/>
  </r>
  <r>
    <x v="4"/>
    <x v="1"/>
    <n v="9"/>
    <n v="0.73337704375687496"/>
    <n v="76.833575171348087"/>
    <s v="Normal"/>
    <n v="-0.10470927220229585"/>
    <n v="45.830325212917884"/>
    <s v="Normal"/>
    <n v="3.5286774313294273"/>
    <n v="99.979117906687591"/>
    <x v="0"/>
  </r>
  <r>
    <x v="4"/>
    <x v="1"/>
    <n v="10"/>
    <n v="0.84462418281424223"/>
    <n v="80.0839648685497"/>
    <s v="Normal"/>
    <n v="9.1827646370737731E-2"/>
    <n v="53.658251088501139"/>
    <s v="Normal"/>
    <n v="1.535295433371711"/>
    <n v="93.764436231407714"/>
    <x v="0"/>
  </r>
  <r>
    <x v="4"/>
    <x v="1"/>
    <n v="10"/>
    <n v="0.60657273454561511"/>
    <n v="72.793275038249035"/>
    <s v="Normal"/>
    <n v="-1.6834018970805371"/>
    <n v="4.6148658136444007"/>
    <s v="Piernas cortas"/>
    <n v="1.9224130449687769"/>
    <n v="97.272309727891866"/>
    <x v="0"/>
  </r>
  <r>
    <x v="4"/>
    <x v="0"/>
    <n v="10"/>
    <n v="0.82595590033967692"/>
    <n v="79.558544577952389"/>
    <s v="Normal"/>
    <n v="-1.3101186382900611"/>
    <n v="9.5077852072112563"/>
    <s v="Normal"/>
    <n v="0.55990664300025872"/>
    <n v="71.222844130713341"/>
    <x v="1"/>
  </r>
  <r>
    <x v="4"/>
    <x v="0"/>
    <n v="9"/>
    <n v="1.3227152544324101"/>
    <n v="90.703495566081997"/>
    <s v="Normal"/>
    <n v="-2.4432419887119763"/>
    <n v="0.72779867507194396"/>
    <s v="Piernas cortas"/>
    <n v="3.0646468021759334"/>
    <n v="99.891036403755777"/>
    <x v="0"/>
  </r>
  <r>
    <x v="4"/>
    <x v="0"/>
    <n v="9"/>
    <n v="0.13857673725772285"/>
    <n v="55.510768655073818"/>
    <s v="Normal"/>
    <n v="-1.0986209805056606"/>
    <n v="13.596671122391568"/>
    <s v="Normal"/>
    <n v="1.9478433019977459"/>
    <n v="97.428314214979522"/>
    <x v="0"/>
  </r>
  <r>
    <x v="4"/>
    <x v="1"/>
    <n v="10"/>
    <n v="0.16034937301570598"/>
    <n v="56.369706601988433"/>
    <s v="Normal"/>
    <n v="-0.26194011847677251"/>
    <n v="39.668380453058248"/>
    <s v="Normal"/>
    <n v="-1.6660277154431253"/>
    <n v="4.7853947163719148"/>
    <x v="2"/>
  </r>
  <r>
    <x v="4"/>
    <x v="1"/>
    <n v="10"/>
    <n v="0.84462418281424223"/>
    <n v="80.0839648685497"/>
    <s v="Normal"/>
    <n v="-0.4142547739454146"/>
    <n v="33.93437657990831"/>
    <s v="Normal"/>
    <n v="0.67287950494094828"/>
    <n v="74.948802402616337"/>
    <x v="1"/>
  </r>
  <r>
    <x v="4"/>
    <x v="1"/>
    <n v="10"/>
    <n v="0.62024241225770349"/>
    <n v="73.245089876100494"/>
    <s v="Normal"/>
    <n v="-0.75262738571278742"/>
    <n v="22.583692813666893"/>
    <s v="Normal"/>
    <n v="0.56587744043092103"/>
    <n v="71.426145082874683"/>
    <x v="1"/>
  </r>
  <r>
    <x v="4"/>
    <x v="0"/>
    <n v="10"/>
    <n v="-0.80545724047494927"/>
    <n v="21.027793589766226"/>
    <s v="Normal"/>
    <n v="-1.3811203279661182"/>
    <n v="8.3620983137205442"/>
    <s v="Normal"/>
    <n v="2.1479790142328929"/>
    <n v="98.414228868771829"/>
    <x v="0"/>
  </r>
  <r>
    <x v="4"/>
    <x v="1"/>
    <n v="10"/>
    <n v="-0.23344906026582521"/>
    <n v="40.770636039042309"/>
    <s v="Normal"/>
    <n v="-0.92576169644794015"/>
    <n v="17.728491853757866"/>
    <s v="Normal"/>
    <n v="-0.31064287544782754"/>
    <n v="37.803606436232386"/>
    <x v="1"/>
  </r>
  <r>
    <x v="4"/>
    <x v="0"/>
    <n v="10"/>
    <n v="0.36951987798720987"/>
    <n v="64.41298702699585"/>
    <s v="Normal"/>
    <n v="-0.69384590133724322"/>
    <n v="24.388942660793205"/>
    <s v="Normal"/>
    <n v="1.429381741927239"/>
    <n v="92.355272839017104"/>
    <x v="0"/>
  </r>
  <r>
    <x v="4"/>
    <x v="0"/>
    <n v="10"/>
    <n v="-0.35446608633575755"/>
    <n v="36.149480771114796"/>
    <s v="Normal"/>
    <n v="-1.1957916355724962"/>
    <n v="11.588894042401423"/>
    <s v="Normal"/>
    <n v="-0.91591758175984583"/>
    <n v="17.985506224691566"/>
    <x v="1"/>
  </r>
  <r>
    <x v="4"/>
    <x v="0"/>
    <n v="10"/>
    <n v="-0.88194396313691203"/>
    <n v="18.890355565582556"/>
    <s v="Normal"/>
    <n v="-0.9352288501001168"/>
    <n v="17.483518676931993"/>
    <s v="Normal"/>
    <n v="1.7113012025348482"/>
    <n v="95.648723775393321"/>
    <x v="0"/>
  </r>
  <r>
    <x v="4"/>
    <x v="1"/>
    <n v="10"/>
    <n v="0.67693254635474009"/>
    <n v="75.077562346938649"/>
    <s v="Normal"/>
    <n v="-0.71695085726275543"/>
    <n v="23.67022098954039"/>
    <s v="Normal"/>
    <n v="8.7923436463412288E-2"/>
    <n v="53.503123543321387"/>
    <x v="1"/>
  </r>
  <r>
    <x v="4"/>
    <x v="1"/>
    <n v="10"/>
    <n v="-1.0035013767515883"/>
    <n v="15.780950649591672"/>
    <s v="Normal"/>
    <n v="-1.1519336102295779"/>
    <n v="12.46741778106526"/>
    <s v="Normal"/>
    <n v="2.0217802128910081"/>
    <n v="97.840046858280814"/>
    <x v="0"/>
  </r>
  <r>
    <x v="4"/>
    <x v="1"/>
    <n v="10"/>
    <n v="0.62024241225770349"/>
    <n v="73.245089876100494"/>
    <s v="Normal"/>
    <n v="0.1778617826994692"/>
    <n v="57.058423739379769"/>
    <s v="Normal"/>
    <n v="1.2075566662113004"/>
    <n v="88.639108198519693"/>
    <x v="0"/>
  </r>
  <r>
    <x v="4"/>
    <x v="1"/>
    <n v="10"/>
    <n v="0.8554650870006818"/>
    <n v="80.385313777132069"/>
    <s v="Normal"/>
    <n v="-0.22132135614805964"/>
    <n v="41.24211112315416"/>
    <s v="Normal"/>
    <n v="2.3752893160220596"/>
    <n v="99.123240013360729"/>
    <x v="0"/>
  </r>
  <r>
    <x v="4"/>
    <x v="0"/>
    <n v="10"/>
    <n v="-0.11279417230858349"/>
    <n v="45.509686934127153"/>
    <s v="Normal"/>
    <n v="-0.70590502170228731"/>
    <n v="24.012360223171708"/>
    <s v="Normal"/>
    <n v="0.58706822582149953"/>
    <n v="72.142105679229076"/>
    <x v="1"/>
  </r>
  <r>
    <x v="4"/>
    <x v="1"/>
    <n v="9"/>
    <n v="0.17177832323451273"/>
    <n v="56.819409612721181"/>
    <s v="Normal"/>
    <n v="-1.1483480586564176"/>
    <n v="12.541245346277918"/>
    <s v="Normal"/>
    <n v="1.545968565426715"/>
    <n v="93.89439201340717"/>
    <x v="0"/>
  </r>
  <r>
    <x v="4"/>
    <x v="1"/>
    <n v="10"/>
    <n v="1.372420677344464"/>
    <n v="91.503374159974527"/>
    <s v="Normal"/>
    <n v="0.14793847151816389"/>
    <n v="55.880433681995775"/>
    <s v="Normal"/>
    <n v="2.2612630874732922"/>
    <n v="98.81285147250226"/>
    <x v="0"/>
  </r>
  <r>
    <x v="4"/>
    <x v="1"/>
    <n v="9"/>
    <n v="-0.71342035185652941"/>
    <n v="23.779284154546446"/>
    <s v="Normal"/>
    <n v="-1.6161769876109875"/>
    <n v="5.3028026360326281"/>
    <s v="Normal"/>
    <n v="0.89179108237354077"/>
    <n v="81.374753878691436"/>
    <x v="1"/>
  </r>
  <r>
    <x v="4"/>
    <x v="1"/>
    <n v="10"/>
    <n v="-0.41118351511379342"/>
    <n v="34.046898753520871"/>
    <s v="Normal"/>
    <n v="-1.4617426969916818"/>
    <n v="7.1905866092166342"/>
    <s v="Normal"/>
    <n v="0.36258416654342107"/>
    <n v="64.154223010940086"/>
    <x v="1"/>
  </r>
  <r>
    <x v="4"/>
    <x v="0"/>
    <n v="10"/>
    <n v="0.74204077192672546"/>
    <n v="77.09686834643415"/>
    <s v="Normal"/>
    <n v="-0.18270175007263897"/>
    <n v="42.751602125787734"/>
    <s v="Normal"/>
    <n v="2.0377739093817424"/>
    <n v="97.92137256172596"/>
    <x v="0"/>
  </r>
  <r>
    <x v="4"/>
    <x v="0"/>
    <n v="10"/>
    <n v="0.67069227638725559"/>
    <n v="74.879170791720441"/>
    <s v="Normal"/>
    <n v="0.40695190249281449"/>
    <n v="65.797834281353289"/>
    <s v="Normal"/>
    <n v="-0.65362537328330195"/>
    <n v="25.667659652237017"/>
    <x v="1"/>
  </r>
  <r>
    <x v="4"/>
    <x v="0"/>
    <n v="11"/>
    <n v="0.88838601215520041"/>
    <n v="81.283342651843455"/>
    <s v="Normal"/>
    <n v="-1.9669583467882588"/>
    <n v="2.4594006510972108"/>
    <s v="Piernas cortas"/>
    <n v="1.5595086713044248"/>
    <n v="94.056198308377276"/>
    <x v="0"/>
  </r>
  <r>
    <x v="4"/>
    <x v="1"/>
    <n v="11"/>
    <n v="-0.38151744865392334"/>
    <n v="35.14096631871999"/>
    <s v="Normal"/>
    <n v="-0.71539914943707295"/>
    <n v="23.718121896256591"/>
    <s v="Normal"/>
    <n v="0.28824316381800319"/>
    <n v="61.341969488769401"/>
    <x v="1"/>
  </r>
  <r>
    <x v="4"/>
    <x v="0"/>
    <n v="10"/>
    <n v="0.53449833299135985"/>
    <n v="70.350159875208377"/>
    <s v="Normal"/>
    <n v="0.81746933710447667"/>
    <n v="79.316986729841432"/>
    <s v="Normal"/>
    <n v="0.25101513768237521"/>
    <n v="59.909879718776857"/>
    <x v="1"/>
  </r>
  <r>
    <x v="4"/>
    <x v="1"/>
    <n v="11"/>
    <n v="-0.16530508186935369"/>
    <n v="43.435192954783481"/>
    <s v="Normal"/>
    <n v="-1.1500389822765069"/>
    <n v="12.506390795252258"/>
    <s v="Normal"/>
    <n v="2.3637239284112321"/>
    <n v="99.095385545894771"/>
    <x v="0"/>
  </r>
  <r>
    <x v="4"/>
    <x v="1"/>
    <n v="10"/>
    <n v="-0.95065468361742145"/>
    <n v="17.088984973140537"/>
    <s v="Normal"/>
    <n v="-1.0694355994243516"/>
    <n v="14.24367166693759"/>
    <s v="Normal"/>
    <n v="0.73270050386434593"/>
    <n v="76.812944170133136"/>
    <x v="1"/>
  </r>
  <r>
    <x v="4"/>
    <x v="0"/>
    <n v="10"/>
    <n v="-0.97431841504353223"/>
    <n v="16.494923198058583"/>
    <s v="Normal"/>
    <n v="-1.0779151424750142"/>
    <n v="14.053581357470851"/>
    <s v="Normal"/>
    <n v="-0.76152508565227839"/>
    <n v="22.317175064862223"/>
    <x v="1"/>
  </r>
  <r>
    <x v="4"/>
    <x v="1"/>
    <n v="11"/>
    <n v="2.0633271561679885"/>
    <n v="98.045922217817065"/>
    <s v="Alto"/>
    <n v="-1.9662283321916811"/>
    <n v="2.4636120559457257"/>
    <s v="Piernas cortas"/>
    <n v="2.8784954783034693"/>
    <n v="99.800211495510297"/>
    <x v="0"/>
  </r>
  <r>
    <x v="4"/>
    <x v="0"/>
    <n v="11"/>
    <n v="1.5527703700496764"/>
    <n v="93.976099811198537"/>
    <s v="Normal"/>
    <n v="-2.0059343136129386"/>
    <n v="2.2431628334707825"/>
    <s v="Piernas cortas"/>
    <n v="-0.11961863469523697"/>
    <n v="45.239262868283092"/>
    <x v="1"/>
  </r>
  <r>
    <x v="4"/>
    <x v="0"/>
    <n v="11"/>
    <n v="-0.53651306186177705"/>
    <n v="29.580200551545165"/>
    <s v="Normal"/>
    <n v="-0.22541890621205368"/>
    <n v="41.082670253535078"/>
    <s v="Normal"/>
    <n v="-6.5440885204006011E-3"/>
    <n v="49.738930503641235"/>
    <x v="1"/>
  </r>
  <r>
    <x v="4"/>
    <x v="1"/>
    <n v="11"/>
    <n v="-7.5251427529348441E-3"/>
    <n v="49.699793072324105"/>
    <s v="Normal"/>
    <n v="8.0164338201137955E-2"/>
    <n v="53.194672357947638"/>
    <s v="Normal"/>
    <n v="2.1181062903906671"/>
    <n v="98.291696653737972"/>
    <x v="0"/>
  </r>
  <r>
    <x v="4"/>
    <x v="1"/>
    <n v="10"/>
    <n v="-1.97726796196586"/>
    <n v="2.4005674539180397"/>
    <s v="Desnutricion"/>
    <n v="-1.9780716194506953"/>
    <n v="2.396031385198472"/>
    <s v="Piernas cortas"/>
    <n v="-0.65641233932941279"/>
    <n v="25.577942660249864"/>
    <x v="1"/>
  </r>
  <r>
    <x v="4"/>
    <x v="0"/>
    <n v="10"/>
    <n v="2.0665175714756714"/>
    <n v="98.061018250175351"/>
    <s v="Alto"/>
    <n v="3.2357584641658277E-2"/>
    <n v="51.290655634327784"/>
    <s v="Normal"/>
    <n v="-0.63818396695296686"/>
    <n v="26.167696637018256"/>
    <x v="1"/>
  </r>
  <r>
    <x v="4"/>
    <x v="1"/>
    <n v="11"/>
    <n v="-1.6712143280432632"/>
    <n v="4.7339675582252045"/>
    <s v="Desnutricion"/>
    <n v="-2.9537531447384548"/>
    <n v="0.15696750719382116"/>
    <s v="Piernas cortas"/>
    <n v="1.7019083692975774"/>
    <n v="95.561372668148991"/>
    <x v="0"/>
  </r>
  <r>
    <x v="4"/>
    <x v="1"/>
    <n v="11"/>
    <n v="0.29108867345104167"/>
    <n v="61.45082488440643"/>
    <s v="Normal"/>
    <n v="0.91341905420872616"/>
    <n v="81.948890598408525"/>
    <s v="Normal"/>
    <n v="2.2717279413234728"/>
    <n v="98.844852626409832"/>
    <x v="0"/>
  </r>
  <r>
    <x v="4"/>
    <x v="1"/>
    <n v="11"/>
    <n v="-0.36289790269364358"/>
    <n v="35.834057675787875"/>
    <s v="Normal"/>
    <n v="-0.45189989336140496"/>
    <n v="32.567055063886812"/>
    <s v="Normal"/>
    <n v="-1.6948608625032178"/>
    <n v="4.5050909238523964"/>
    <x v="2"/>
  </r>
  <r>
    <x v="4"/>
    <x v="1"/>
    <n v="11"/>
    <n v="0.86219442815752789"/>
    <n v="80.570973234975867"/>
    <s v="Normal"/>
    <n v="-1.4391075478969216E-2"/>
    <n v="49.425898969513547"/>
    <s v="Normal"/>
    <n v="1.0006275261178253E-2"/>
    <n v="50.399185965638736"/>
    <x v="1"/>
  </r>
  <r>
    <x v="4"/>
    <x v="0"/>
    <n v="11"/>
    <n v="-0.16760790331086481"/>
    <n v="43.344587661072566"/>
    <s v="Normal"/>
    <n v="0.61138751472891317"/>
    <n v="72.952846688735178"/>
    <s v="Normal"/>
    <n v="0.1084248105878373"/>
    <n v="54.317063942812084"/>
    <x v="1"/>
  </r>
  <r>
    <x v="4"/>
    <x v="0"/>
    <n v="11"/>
    <n v="0.19970273283255241"/>
    <n v="57.914346183120045"/>
    <s v="Normal"/>
    <n v="-0.95041491636876496"/>
    <n v="17.09507338230156"/>
    <s v="Normal"/>
    <n v="1.8882335965525427"/>
    <n v="97.050270130235489"/>
    <x v="0"/>
  </r>
  <r>
    <x v="4"/>
    <x v="1"/>
    <n v="10"/>
    <n v="0.64907395106800247"/>
    <n v="74.18547109947508"/>
    <s v="Normal"/>
    <n v="-0.21353558739151099"/>
    <n v="41.545461720972696"/>
    <s v="Normal"/>
    <n v="2.3872959188182818"/>
    <n v="99.15135883533253"/>
    <x v="0"/>
  </r>
  <r>
    <x v="4"/>
    <x v="0"/>
    <n v="11"/>
    <n v="0.11502864739152639"/>
    <n v="54.578879229213449"/>
    <s v="Normal"/>
    <n v="-1.2129339351592592"/>
    <n v="11.257753998865153"/>
    <s v="Normal"/>
    <n v="2.5094177982983661"/>
    <n v="99.395348209841885"/>
    <x v="0"/>
  </r>
  <r>
    <x v="4"/>
    <x v="1"/>
    <n v="11"/>
    <n v="6.2193482131798643E-2"/>
    <n v="52.479562352558027"/>
    <s v="Normal"/>
    <n v="-2.9421010337210198"/>
    <n v="0.16299677430101142"/>
    <s v="Piernas cortas"/>
    <n v="2.6820745969271389"/>
    <n v="99.634164288025445"/>
    <x v="0"/>
  </r>
  <r>
    <x v="4"/>
    <x v="1"/>
    <n v="10"/>
    <n v="-0.32849544145095178"/>
    <n v="37.126854521817521"/>
    <s v="Normal"/>
    <n v="-0.99672180646427799"/>
    <n v="15.944978096966988"/>
    <s v="Normal"/>
    <n v="2.632399964415614"/>
    <n v="99.576080066393914"/>
    <x v="0"/>
  </r>
  <r>
    <x v="4"/>
    <x v="0"/>
    <n v="11"/>
    <n v="0.56565039312995813"/>
    <n v="71.418426812164782"/>
    <s v="Normal"/>
    <n v="-2.3900906410035914"/>
    <n v="0.84221075597729289"/>
    <s v="Piernas cortas"/>
    <n v="2.4697344764663622"/>
    <n v="99.323933134236356"/>
    <x v="0"/>
  </r>
  <r>
    <x v="4"/>
    <x v="1"/>
    <n v="11"/>
    <n v="-0.64687496529090016"/>
    <n v="25.885643477058263"/>
    <s v="Normal"/>
    <n v="-7.3134273371804268E-2"/>
    <n v="47.084963423309325"/>
    <s v="Normal"/>
    <n v="-0.5291158626822644"/>
    <n v="29.836253904771716"/>
    <x v="1"/>
  </r>
  <r>
    <x v="4"/>
    <x v="0"/>
    <n v="11"/>
    <n v="0.2694673409098543"/>
    <n v="60.621496441012027"/>
    <s v="Normal"/>
    <n v="-1.2129339351592592"/>
    <n v="11.257753998865153"/>
    <s v="Normal"/>
    <n v="1.3320820062740661"/>
    <n v="90.858337878129575"/>
    <x v="0"/>
  </r>
  <r>
    <x v="4"/>
    <x v="1"/>
    <n v="11"/>
    <n v="-0.37060184615518021"/>
    <n v="35.54670534021561"/>
    <s v="Normal"/>
    <n v="-0.85260392894014037"/>
    <n v="19.693949152487335"/>
    <s v="Normal"/>
    <n v="-0.14242650709229232"/>
    <n v="44.337156308792558"/>
    <x v="1"/>
  </r>
  <r>
    <x v="4"/>
    <x v="1"/>
    <n v="10"/>
    <n v="2.1474945199864135"/>
    <n v="98.412303350131836"/>
    <s v="Alto"/>
    <n v="6.4914676741073707E-2"/>
    <n v="52.587903255384205"/>
    <s v="Normal"/>
    <n v="1.7733378660233308"/>
    <n v="96.191363095518227"/>
    <x v="0"/>
  </r>
  <r>
    <x v="4"/>
    <x v="1"/>
    <n v="11"/>
    <n v="1.9753506536402201"/>
    <n v="97.588581568816082"/>
    <s v="Alto"/>
    <n v="-0.12006023277735618"/>
    <n v="45.221771705443665"/>
    <s v="Normal"/>
    <n v="2.8346362232829625"/>
    <n v="99.770610531252331"/>
    <x v="0"/>
  </r>
  <r>
    <x v="4"/>
    <x v="1"/>
    <n v="10"/>
    <n v="-0.8430843768659787"/>
    <n v="19.959062784466731"/>
    <s v="Normal"/>
    <n v="-0.54223116975885355"/>
    <n v="29.382963263735597"/>
    <s v="Normal"/>
    <n v="1.8120235240919851"/>
    <n v="96.500871912321941"/>
    <x v="0"/>
  </r>
  <r>
    <x v="4"/>
    <x v="0"/>
    <n v="11"/>
    <n v="-0.61908181575046206"/>
    <n v="26.793123100280681"/>
    <s v="Normal"/>
    <n v="-1.8892586328170944"/>
    <n v="2.9428590816747153"/>
    <s v="Piernas cortas"/>
    <n v="1.1400782019981619"/>
    <n v="87.287313879648835"/>
    <x v="0"/>
  </r>
  <r>
    <x v="4"/>
    <x v="0"/>
    <n v="11"/>
    <n v="0.49661431896480274"/>
    <n v="69.026947316783833"/>
    <s v="Normal"/>
    <n v="-0.83423826310896021"/>
    <n v="20.207336671453952"/>
    <s v="Normal"/>
    <n v="1.5433578125177376"/>
    <n v="93.862800816170392"/>
    <x v="0"/>
  </r>
  <r>
    <x v="4"/>
    <x v="1"/>
    <n v="11"/>
    <n v="0.28809662837557709"/>
    <n v="61.336361328345987"/>
    <s v="Normal"/>
    <n v="-1.6804071764384481"/>
    <n v="4.6439060361870528"/>
    <s v="Piernas cortas"/>
    <n v="3.4876825291617353"/>
    <n v="99.975638688604491"/>
    <x v="0"/>
  </r>
  <r>
    <x v="4"/>
    <x v="1"/>
    <n v="11"/>
    <n v="3.1861970672154736"/>
    <n v="99.927921816376525"/>
    <s v="Alto"/>
    <n v="-0.27250867836960674"/>
    <n v="39.261545965821412"/>
    <s v="Normal"/>
    <n v="3.2359957510566577"/>
    <n v="99.939390405735509"/>
    <x v="0"/>
  </r>
  <r>
    <x v="4"/>
    <x v="1"/>
    <n v="11"/>
    <n v="2.0633271561679885"/>
    <n v="98.045922217817065"/>
    <s v="Alto"/>
    <n v="-1.6899435514704508"/>
    <n v="4.5519377264599568"/>
    <s v="Piernas cortas"/>
    <n v="3.4777882940158369"/>
    <n v="99.974721547227688"/>
    <x v="0"/>
  </r>
  <r>
    <x v="5"/>
    <x v="2"/>
    <m/>
    <m/>
    <m/>
    <m/>
    <m/>
    <m/>
    <m/>
    <m/>
    <m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4">
  <r>
    <x v="0"/>
    <x v="0"/>
    <n v="6"/>
    <n v="1.5149406517897486"/>
    <n v="93.510628283011684"/>
    <s v="Normal"/>
    <n v="-0.58441954072222968"/>
    <n v="27.946904153191614"/>
    <x v="0"/>
  </r>
  <r>
    <x v="0"/>
    <x v="0"/>
    <n v="7"/>
    <n v="1.3151504041499074"/>
    <n v="90.577032023155539"/>
    <s v="Normal"/>
    <n v="-1.0250811244890421"/>
    <n v="15.266245551964774"/>
    <x v="0"/>
  </r>
  <r>
    <x v="0"/>
    <x v="0"/>
    <n v="6"/>
    <n v="4.3617964448086849E-3"/>
    <n v="50.174009950269372"/>
    <s v="Normal"/>
    <n v="-1.3537745906753984"/>
    <n v="8.7904151261252839"/>
    <x v="0"/>
  </r>
  <r>
    <x v="0"/>
    <x v="0"/>
    <n v="7"/>
    <n v="1.3151504041499074"/>
    <n v="90.577032023155539"/>
    <s v="Normal"/>
    <n v="-0.16060424171956358"/>
    <n v="43.620255693096254"/>
    <x v="0"/>
  </r>
  <r>
    <x v="0"/>
    <x v="0"/>
    <n v="6"/>
    <n v="-0.17198952530893982"/>
    <n v="43.172288194217401"/>
    <s v="Normal"/>
    <n v="8.9079905479468549E-2"/>
    <n v="53.549079649885179"/>
    <x v="0"/>
  </r>
  <r>
    <x v="0"/>
    <x v="1"/>
    <n v="7"/>
    <n v="-1.4356054275424708"/>
    <n v="7.5557324723698267"/>
    <s v="Normal"/>
    <n v="-1.9304506895881572"/>
    <n v="2.6775509705148819"/>
    <x v="1"/>
  </r>
  <r>
    <x v="0"/>
    <x v="0"/>
    <n v="6"/>
    <n v="-0.93974998814578248"/>
    <n v="17.36729087369784"/>
    <s v="Normal"/>
    <n v="0.58542545862880857"/>
    <n v="72.086916272294147"/>
    <x v="0"/>
  </r>
  <r>
    <x v="0"/>
    <x v="1"/>
    <n v="6"/>
    <n v="-1.2985792426949461"/>
    <n v="9.7044182666681209"/>
    <s v="Normal"/>
    <n v="-43.378947318639611"/>
    <n v="0"/>
    <x v="1"/>
  </r>
  <r>
    <x v="0"/>
    <x v="0"/>
    <n v="7"/>
    <n v="-2.0918672762665014"/>
    <n v="1.8225195051683865"/>
    <s v="Desnutricion"/>
    <n v="-50.390791935680902"/>
    <n v="0"/>
    <x v="1"/>
  </r>
  <r>
    <x v="0"/>
    <x v="0"/>
    <n v="6"/>
    <n v="-0.63033488105152691"/>
    <n v="26.423775303780577"/>
    <s v="Normal"/>
    <n v="-44.996144946529775"/>
    <n v="0"/>
    <x v="1"/>
  </r>
  <r>
    <x v="0"/>
    <x v="1"/>
    <n v="6"/>
    <n v="-0.72443547188380331"/>
    <n v="23.439921465076132"/>
    <s v="Normal"/>
    <n v="-42.540188222394093"/>
    <n v="0"/>
    <x v="1"/>
  </r>
  <r>
    <x v="0"/>
    <x v="1"/>
    <n v="6"/>
    <n v="-1.1071979857578993"/>
    <n v="13.410416911373826"/>
    <s v="Normal"/>
    <n v="0.6686645497008894"/>
    <n v="74.81452569386397"/>
    <x v="0"/>
  </r>
  <r>
    <x v="0"/>
    <x v="1"/>
    <n v="7"/>
    <n v="1.736892808127545"/>
    <n v="95.879695344767242"/>
    <s v="Alto"/>
    <n v="-0.22974201848820147"/>
    <n v="40.914612102246352"/>
    <x v="0"/>
  </r>
  <r>
    <x v="0"/>
    <x v="0"/>
    <n v="6"/>
    <n v="-1.1285723450638938"/>
    <n v="12.953914115787679"/>
    <s v="Normal"/>
    <n v="-1.6662606248169013E-2"/>
    <n v="49.335288945402041"/>
    <x v="0"/>
  </r>
  <r>
    <x v="0"/>
    <x v="0"/>
    <n v="6"/>
    <n v="-0.54555495821280986"/>
    <n v="29.268594645056485"/>
    <s v="Normal"/>
    <n v="-0.23300081541267378"/>
    <n v="40.788038629297731"/>
    <x v="0"/>
  </r>
  <r>
    <x v="0"/>
    <x v="1"/>
    <n v="7"/>
    <n v="-2.657902957858858E-2"/>
    <n v="48.939774966121604"/>
    <s v="Normal"/>
    <n v="-0.12541389296353"/>
    <n v="45.009794497928503"/>
    <x v="0"/>
  </r>
  <r>
    <x v="0"/>
    <x v="0"/>
    <n v="7"/>
    <n v="0.2247520734221615"/>
    <n v="58.891392398353723"/>
    <s v="Normal"/>
    <n v="-1.1367140049412863"/>
    <n v="12.782893137588754"/>
    <x v="0"/>
  </r>
  <r>
    <x v="0"/>
    <x v="1"/>
    <n v="7"/>
    <n v="-1.0847796818368971"/>
    <n v="13.900962328448127"/>
    <s v="Normal"/>
    <n v="-1.6624932589192525"/>
    <n v="4.82069569318893"/>
    <x v="1"/>
  </r>
  <r>
    <x v="0"/>
    <x v="1"/>
    <n v="7"/>
    <n v="0.17039105412004696"/>
    <n v="56.764869647573427"/>
    <s v="Normal"/>
    <n v="-1.1428931578696528"/>
    <n v="12.654147684631706"/>
    <x v="0"/>
  </r>
  <r>
    <x v="0"/>
    <x v="1"/>
    <n v="6"/>
    <n v="-0.34167295800970976"/>
    <n v="36.629851251702107"/>
    <s v="Normal"/>
    <n v="-7.0140827664831942E-2"/>
    <n v="47.204078546384373"/>
    <x v="0"/>
  </r>
  <r>
    <x v="0"/>
    <x v="1"/>
    <n v="7"/>
    <n v="-0.93317794924813824"/>
    <n v="17.536404894693604"/>
    <s v="Normal"/>
    <n v="-0.45897600416008222"/>
    <n v="32.312569891845499"/>
    <x v="0"/>
  </r>
  <r>
    <x v="0"/>
    <x v="1"/>
    <n v="6"/>
    <n v="-0.15029170107266301"/>
    <n v="44.026724010483747"/>
    <s v="Normal"/>
    <n v="-5.2478221275578718E-2"/>
    <n v="47.907382416159003"/>
    <x v="0"/>
  </r>
  <r>
    <x v="0"/>
    <x v="0"/>
    <n v="7"/>
    <n v="0.50448722221950582"/>
    <n v="69.304048043978668"/>
    <s v="Normal"/>
    <n v="-0.49881083790957498"/>
    <n v="30.895632585634825"/>
    <x v="0"/>
  </r>
  <r>
    <x v="0"/>
    <x v="1"/>
    <n v="7"/>
    <n v="-0.780984903139475"/>
    <n v="21.740568699577874"/>
    <s v="Normal"/>
    <n v="0.53671842710756945"/>
    <n v="70.42689372419116"/>
    <x v="0"/>
  </r>
  <r>
    <x v="0"/>
    <x v="0"/>
    <n v="7"/>
    <n v="-0.28535478809945419"/>
    <n v="38.768617099293024"/>
    <s v="Normal"/>
    <n v="-6.8095862485643421E-2"/>
    <n v="47.28546619858345"/>
    <x v="0"/>
  </r>
  <r>
    <x v="0"/>
    <x v="0"/>
    <n v="7"/>
    <n v="-0.89301575006078837"/>
    <n v="18.59243691215368"/>
    <s v="Normal"/>
    <n v="-1.1496009786319135"/>
    <n v="12.515412746308"/>
    <x v="0"/>
  </r>
  <r>
    <x v="0"/>
    <x v="1"/>
    <n v="8"/>
    <n v="-4.6936759933381506E-2"/>
    <n v="48.128181508870568"/>
    <s v="Normal"/>
    <n v="-0.54877423819066662"/>
    <n v="29.158019589446432"/>
    <x v="0"/>
  </r>
  <r>
    <x v="0"/>
    <x v="1"/>
    <n v="8"/>
    <n v="0.13011627640528184"/>
    <n v="55.176278355753048"/>
    <s v="Normal"/>
    <n v="-0.89946517627688249"/>
    <n v="18.42024682990181"/>
    <x v="0"/>
  </r>
  <r>
    <x v="0"/>
    <x v="0"/>
    <n v="7"/>
    <n v="0.68097553355770268"/>
    <n v="75.205651408690741"/>
    <s v="Normal"/>
    <n v="-0.982941079792371"/>
    <n v="16.281821905834438"/>
    <x v="0"/>
  </r>
  <r>
    <x v="0"/>
    <x v="0"/>
    <n v="7"/>
    <n v="-1.1642348795724493"/>
    <n v="12.216441935853403"/>
    <s v="Normal"/>
    <n v="-0.37256537485161045"/>
    <n v="35.473597359625927"/>
    <x v="0"/>
  </r>
  <r>
    <x v="0"/>
    <x v="0"/>
    <n v="7"/>
    <n v="0.68097553355770268"/>
    <n v="75.205651408690741"/>
    <s v="Normal"/>
    <n v="-0.71464553130983199"/>
    <n v="23.741405133400896"/>
    <x v="0"/>
  </r>
  <r>
    <x v="0"/>
    <x v="1"/>
    <n v="7"/>
    <n v="-0.34374024090075989"/>
    <n v="36.552082265171343"/>
    <s v="Normal"/>
    <n v="-0.63365439113007249"/>
    <n v="26.315319801421921"/>
    <x v="0"/>
  </r>
  <r>
    <x v="0"/>
    <x v="1"/>
    <n v="7"/>
    <n v="2.699027503055822"/>
    <n v="99.652287855458141"/>
    <s v="Alto"/>
    <n v="1.0637699649632013"/>
    <n v="85.628353967571087"/>
    <x v="0"/>
  </r>
  <r>
    <x v="0"/>
    <x v="0"/>
    <n v="7"/>
    <n v="-0.28535478809945419"/>
    <n v="38.768617099293024"/>
    <s v="Normal"/>
    <n v="0.26154854054756677"/>
    <n v="60.31652390831637"/>
    <x v="0"/>
  </r>
  <r>
    <x v="0"/>
    <x v="0"/>
    <n v="7"/>
    <n v="-0.54312222471617533"/>
    <n v="29.352282574005716"/>
    <s v="Normal"/>
    <n v="-6.8709861240870422"/>
    <n v="3.1879798185324245E-10"/>
    <x v="1"/>
  </r>
  <r>
    <x v="0"/>
    <x v="1"/>
    <n v="8"/>
    <n v="1.2054331302015349"/>
    <n v="88.598193089968618"/>
    <s v="Normal"/>
    <n v="-0.76041758469430742"/>
    <n v="22.350250770118528"/>
    <x v="0"/>
  </r>
  <r>
    <x v="0"/>
    <x v="0"/>
    <n v="7"/>
    <n v="-1.7153579971912409"/>
    <n v="4.313980563732474"/>
    <s v="Desnutricion"/>
    <n v="-0.74746437955606138"/>
    <n v="22.739164829396525"/>
    <x v="0"/>
  </r>
  <r>
    <x v="0"/>
    <x v="1"/>
    <n v="7"/>
    <n v="-0.72696954972894268"/>
    <n v="23.362230477493245"/>
    <s v="Normal"/>
    <n v="0.37120814573179539"/>
    <n v="64.475874676914273"/>
    <x v="0"/>
  </r>
  <r>
    <x v="0"/>
    <x v="0"/>
    <n v="8"/>
    <n v="-0.68395963711608043"/>
    <n v="24.700032686396284"/>
    <s v="Normal"/>
    <n v="5.1451791800910263"/>
    <n v="99.999986636720593"/>
    <x v="2"/>
  </r>
  <r>
    <x v="0"/>
    <x v="1"/>
    <n v="8"/>
    <n v="0.32251837709187081"/>
    <n v="62.646999098903656"/>
    <s v="Normal"/>
    <n v="11.694454387787303"/>
    <n v="100"/>
    <x v="2"/>
  </r>
  <r>
    <x v="0"/>
    <x v="0"/>
    <n v="7"/>
    <n v="-1.2235168898350083E-2"/>
    <n v="49.511899559943686"/>
    <s v="Normal"/>
    <n v="-0.51604938573410553"/>
    <n v="30.290995857340398"/>
    <x v="0"/>
  </r>
  <r>
    <x v="0"/>
    <x v="1"/>
    <n v="7"/>
    <n v="-0.85718388699065529"/>
    <n v="19.56716330037079"/>
    <s v="Normal"/>
    <n v="-0.94255580835525188"/>
    <n v="17.295407633958817"/>
    <x v="0"/>
  </r>
  <r>
    <x v="0"/>
    <x v="1"/>
    <n v="8"/>
    <n v="-0.15952084466596206"/>
    <n v="43.662926846213814"/>
    <s v="Normal"/>
    <n v="0.64410510845845359"/>
    <n v="74.02463610155931"/>
    <x v="0"/>
  </r>
  <r>
    <x v="0"/>
    <x v="1"/>
    <n v="8"/>
    <n v="-0.71774032806715615"/>
    <n v="23.645870623918469"/>
    <s v="Normal"/>
    <n v="-0.1841080594099295"/>
    <n v="42.696434203019848"/>
    <x v="0"/>
  </r>
  <r>
    <x v="0"/>
    <x v="1"/>
    <n v="9"/>
    <n v="-0.28365895754307319"/>
    <n v="38.833587519130951"/>
    <s v="Normal"/>
    <n v="-0.83278170960854825"/>
    <n v="20.248392598275924"/>
    <x v="0"/>
  </r>
  <r>
    <x v="0"/>
    <x v="0"/>
    <n v="8"/>
    <n v="-2.0613014463343289"/>
    <n v="1.9637145160881904"/>
    <s v="Desnutricion"/>
    <n v="-1.7441790348126938"/>
    <n v="4.0563937948744577"/>
    <x v="1"/>
  </r>
  <r>
    <x v="0"/>
    <x v="1"/>
    <n v="9"/>
    <n v="-0.16601209495540967"/>
    <n v="43.407371592736062"/>
    <s v="Normal"/>
    <n v="-0.59642081966056226"/>
    <n v="27.544706769934173"/>
    <x v="0"/>
  </r>
  <r>
    <x v="0"/>
    <x v="0"/>
    <n v="8"/>
    <n v="1.0835287160516809"/>
    <n v="86.071309404006826"/>
    <s v="Normal"/>
    <n v="-2.4798540464650829"/>
    <n v="0.65718085695618123"/>
    <x v="1"/>
  </r>
  <r>
    <x v="0"/>
    <x v="0"/>
    <n v="8"/>
    <n v="-0.33318360999334473"/>
    <n v="36.94978446688534"/>
    <s v="Normal"/>
    <n v="-0.54479274651798582"/>
    <n v="29.294803397664083"/>
    <x v="0"/>
  </r>
  <r>
    <x v="0"/>
    <x v="0"/>
    <n v="9"/>
    <n v="-0.88899948271638252"/>
    <n v="18.700167890467011"/>
    <s v="Normal"/>
    <n v="-1.0042164185537865"/>
    <n v="15.763715497295694"/>
    <x v="0"/>
  </r>
  <r>
    <x v="0"/>
    <x v="0"/>
    <n v="8"/>
    <n v="-0.75500870001687204"/>
    <n v="22.512188105661412"/>
    <s v="Normal"/>
    <n v="5.1161199784921942"/>
    <n v="99.999984405764195"/>
    <x v="2"/>
  </r>
  <r>
    <x v="0"/>
    <x v="1"/>
    <n v="8"/>
    <n v="-2.0689399102620571"/>
    <n v="1.9275862913703996"/>
    <s v="Desnutricion"/>
    <n v="-2.2422787882105708"/>
    <n v="1.2471679897825521"/>
    <x v="1"/>
  </r>
  <r>
    <x v="0"/>
    <x v="0"/>
    <n v="8"/>
    <n v="-1.5661731914800108"/>
    <n v="5.8654038502661727"/>
    <s v="Normal"/>
    <n v="-1.4922305696295701"/>
    <n v="6.7819355497433591"/>
    <x v="0"/>
  </r>
  <r>
    <x v="0"/>
    <x v="0"/>
    <n v="9"/>
    <n v="0.72144847698867542"/>
    <n v="76.468318508909476"/>
    <s v="Normal"/>
    <n v="0.16827272454993814"/>
    <n v="56.681563473390497"/>
    <x v="0"/>
  </r>
  <r>
    <x v="0"/>
    <x v="0"/>
    <n v="8"/>
    <n v="-0.82027423401880739"/>
    <n v="20.60298957087824"/>
    <s v="Normal"/>
    <n v="-0.55951432072531937"/>
    <n v="28.790538024107359"/>
    <x v="0"/>
  </r>
  <r>
    <x v="0"/>
    <x v="0"/>
    <n v="9"/>
    <n v="-1.0417306611102288"/>
    <n v="14.876828472434973"/>
    <s v="Normal"/>
    <n v="-0.98776721944471846"/>
    <n v="16.163333261360759"/>
    <x v="0"/>
  </r>
  <r>
    <x v="0"/>
    <x v="0"/>
    <n v="9"/>
    <n v="-1.7440462074866332"/>
    <n v="4.0575516415224842"/>
    <s v="Desnutricion"/>
    <n v="-0.49907266158981328"/>
    <n v="30.886409808149907"/>
    <x v="0"/>
  </r>
  <r>
    <x v="0"/>
    <x v="1"/>
    <n v="10"/>
    <n v="-0.25573836347543183"/>
    <n v="39.907643508722359"/>
    <s v="Normal"/>
    <n v="-2.5315847267529108"/>
    <n v="0.56774190505177224"/>
    <x v="1"/>
  </r>
  <r>
    <x v="0"/>
    <x v="0"/>
    <n v="9"/>
    <n v="1.6375987259028781"/>
    <n v="94.924728548476722"/>
    <s v="Normal"/>
    <n v="0.17858350226463351"/>
    <n v="57.086762523985954"/>
    <x v="0"/>
  </r>
  <r>
    <x v="0"/>
    <x v="1"/>
    <n v="9"/>
    <n v="-0.51386158305578"/>
    <n v="30.367438418759228"/>
    <s v="Normal"/>
    <n v="-1.8768871123162896"/>
    <n v="3.0266783794298222"/>
    <x v="1"/>
  </r>
  <r>
    <x v="0"/>
    <x v="1"/>
    <n v="9"/>
    <n v="0.15188137443572455"/>
    <n v="56.035975054942085"/>
    <s v="Normal"/>
    <n v="-2.1164592028418623"/>
    <n v="1.7152885735962149"/>
    <x v="1"/>
  </r>
  <r>
    <x v="0"/>
    <x v="1"/>
    <n v="9"/>
    <n v="0.48850796873006108"/>
    <n v="68.740495863878294"/>
    <s v="Normal"/>
    <n v="-0.87542070856357879"/>
    <n v="19.067251805246556"/>
    <x v="0"/>
  </r>
  <r>
    <x v="0"/>
    <x v="1"/>
    <n v="10"/>
    <n v="0.38259279292278342"/>
    <n v="64.898914258319607"/>
    <s v="Normal"/>
    <n v="-0.58533847588203269"/>
    <n v="27.916007428285983"/>
    <x v="0"/>
  </r>
  <r>
    <x v="0"/>
    <x v="0"/>
    <n v="9"/>
    <n v="-1.2003617957394703"/>
    <n v="11.499942978460114"/>
    <s v="Normal"/>
    <n v="-1.8174058793311716"/>
    <n v="3.4577494085322291"/>
    <x v="1"/>
  </r>
  <r>
    <x v="0"/>
    <x v="0"/>
    <n v="9"/>
    <n v="1.409340878780158"/>
    <n v="92.063280164992193"/>
    <s v="Normal"/>
    <n v="-2.049080058285905"/>
    <n v="2.0227143563829415"/>
    <x v="1"/>
  </r>
  <r>
    <x v="0"/>
    <x v="1"/>
    <n v="9"/>
    <n v="1.0256682259664571"/>
    <n v="84.747600185787732"/>
    <s v="Normal"/>
    <n v="-0.24234602606343997"/>
    <n v="40.425602641176546"/>
    <x v="0"/>
  </r>
  <r>
    <x v="0"/>
    <x v="0"/>
    <n v="10"/>
    <n v="0.28708571291812124"/>
    <n v="61.297665430838656"/>
    <s v="Normal"/>
    <n v="-1.6742237947181093"/>
    <n v="4.7043312369037737"/>
    <x v="1"/>
  </r>
  <r>
    <x v="0"/>
    <x v="1"/>
    <n v="9"/>
    <n v="-0.39513515617671108"/>
    <n v="34.637157230937078"/>
    <s v="Normal"/>
    <n v="-1.0675391820461266"/>
    <n v="14.286421510573346"/>
    <x v="0"/>
  </r>
  <r>
    <x v="0"/>
    <x v="1"/>
    <n v="10"/>
    <n v="-0.94068827748310047"/>
    <n v="17.343231402686111"/>
    <s v="Normal"/>
    <n v="-1.8872373786256513"/>
    <n v="2.95642024445426"/>
    <x v="1"/>
  </r>
  <r>
    <x v="0"/>
    <x v="0"/>
    <n v="10"/>
    <n v="0.44289885425766912"/>
    <n v="67.108055190819343"/>
    <s v="Normal"/>
    <n v="-1.6549304860096821"/>
    <n v="4.8969299707590546"/>
    <x v="1"/>
  </r>
  <r>
    <x v="0"/>
    <x v="1"/>
    <n v="9"/>
    <n v="8.2292637343017561E-2"/>
    <n v="53.279299544367611"/>
    <s v="Normal"/>
    <n v="0.18083005044738534"/>
    <n v="57.174951245757676"/>
    <x v="0"/>
  </r>
  <r>
    <x v="0"/>
    <x v="0"/>
    <n v="10"/>
    <n v="0.36016502848242249"/>
    <n v="64.063813728453241"/>
    <s v="Normal"/>
    <n v="-1.8533646775900829"/>
    <n v="3.1915053281525809"/>
    <x v="1"/>
  </r>
  <r>
    <x v="0"/>
    <x v="1"/>
    <n v="9"/>
    <n v="1.3554334200622957"/>
    <n v="91.236024606642758"/>
    <s v="Normal"/>
    <n v="-0.43967113621224185"/>
    <n v="33.008765532435817"/>
    <x v="0"/>
  </r>
  <r>
    <x v="0"/>
    <x v="1"/>
    <n v="10"/>
    <n v="1.5400284907416939"/>
    <n v="93.8223295593438"/>
    <s v="Normal"/>
    <n v="0.46950963953928537"/>
    <n v="68.064730186228914"/>
    <x v="0"/>
  </r>
  <r>
    <x v="0"/>
    <x v="0"/>
    <n v="10"/>
    <n v="-1.1159731232829455"/>
    <n v="13.221681965526285"/>
    <s v="Normal"/>
    <n v="0.70707944628015507"/>
    <n v="76.024144596305149"/>
    <x v="0"/>
  </r>
  <r>
    <x v="0"/>
    <x v="1"/>
    <n v="9"/>
    <n v="-1.1581512468940443"/>
    <n v="12.340115991647666"/>
    <s v="Normal"/>
    <n v="-1.1370782610490437"/>
    <n v="12.775278539700139"/>
    <x v="0"/>
  </r>
  <r>
    <x v="0"/>
    <x v="0"/>
    <n v="10"/>
    <n v="-1.0374602387301779"/>
    <n v="14.976070848861491"/>
    <s v="Normal"/>
    <n v="-1.0688419437473771"/>
    <n v="14.257044790684612"/>
    <x v="0"/>
  </r>
  <r>
    <x v="0"/>
    <x v="1"/>
    <n v="9"/>
    <n v="-0.67530604661284566"/>
    <n v="24.974067154873342"/>
    <s v="Normal"/>
    <n v="-0.60980687437841041"/>
    <n v="27.099487359155926"/>
    <x v="0"/>
  </r>
  <r>
    <x v="0"/>
    <x v="1"/>
    <n v="9"/>
    <n v="-1.827418536735897"/>
    <n v="3.3818432171539152"/>
    <s v="Desnutricion"/>
    <n v="-1.5022107983278059"/>
    <n v="6.652133846872041"/>
    <x v="0"/>
  </r>
  <r>
    <x v="0"/>
    <x v="1"/>
    <n v="9"/>
    <n v="0.58614764908050099"/>
    <n v="72.111185089987202"/>
    <s v="Normal"/>
    <n v="-0.62897980339309778"/>
    <n v="26.468113928521209"/>
    <x v="0"/>
  </r>
  <r>
    <x v="0"/>
    <x v="0"/>
    <n v="10"/>
    <n v="0.33873909965141619"/>
    <n v="63.259685853906532"/>
    <s v="Normal"/>
    <n v="-1.8616612613831642"/>
    <n v="3.1325426126525842"/>
    <x v="1"/>
  </r>
  <r>
    <x v="0"/>
    <x v="1"/>
    <n v="10"/>
    <n v="-0.64818258459662226"/>
    <n v="25.843343226295957"/>
    <s v="Normal"/>
    <n v="-2.3212804092440957"/>
    <n v="1.0135857429550306"/>
    <x v="1"/>
  </r>
  <r>
    <x v="0"/>
    <x v="1"/>
    <n v="11"/>
    <n v="-0.37060184615518021"/>
    <n v="35.54670534021561"/>
    <s v="Normal"/>
    <n v="-1.7028598068944383"/>
    <n v="4.4297153668650084"/>
    <x v="1"/>
  </r>
  <r>
    <x v="0"/>
    <x v="1"/>
    <n v="12"/>
    <n v="-0.57589781451402888"/>
    <n v="28.234212646113733"/>
    <s v="Normal"/>
    <n v="-0.10501714557312657"/>
    <n v="45.818110187465891"/>
    <x v="0"/>
  </r>
  <r>
    <x v="0"/>
    <x v="0"/>
    <n v="10"/>
    <n v="-0.20171848384685195"/>
    <n v="42.006840580752289"/>
    <s v="Normal"/>
    <n v="-1.4261119270313301"/>
    <n v="7.6918018270212816"/>
    <x v="0"/>
  </r>
  <r>
    <x v="0"/>
    <x v="0"/>
    <n v="10"/>
    <n v="-1.198976636406976"/>
    <n v="11.526851519538882"/>
    <s v="Normal"/>
    <n v="-3.0997118580812608"/>
    <n v="9.6854494124828855E-2"/>
    <x v="1"/>
  </r>
  <r>
    <x v="0"/>
    <x v="0"/>
    <n v="11"/>
    <n v="-0.83498212356341395"/>
    <n v="20.186388680691998"/>
    <s v="Normal"/>
    <n v="-1.952063906824145"/>
    <n v="2.5465308866290632"/>
    <x v="1"/>
  </r>
  <r>
    <x v="0"/>
    <x v="0"/>
    <n v="10"/>
    <n v="-1.198976636406976"/>
    <n v="11.526851519538882"/>
    <s v="Normal"/>
    <n v="-1.5170915275475589"/>
    <n v="6.4621788526224009"/>
    <x v="0"/>
  </r>
  <r>
    <x v="0"/>
    <x v="0"/>
    <n v="11"/>
    <n v="-0.45815211802715605"/>
    <n v="32.342157871454667"/>
    <s v="Normal"/>
    <n v="-0.69698182214937254"/>
    <n v="24.290708495273076"/>
    <x v="0"/>
  </r>
  <r>
    <x v="0"/>
    <x v="0"/>
    <n v="13"/>
    <n v="-2.3444295563811304"/>
    <n v="0.95281049565392273"/>
    <s v="Desnutricion"/>
    <n v="-0.56871184546472042"/>
    <n v="28.477585386290883"/>
    <x v="0"/>
  </r>
  <r>
    <x v="0"/>
    <x v="0"/>
    <n v="9"/>
    <n v="-1.9835611960074819"/>
    <n v="2.3652389322477081"/>
    <s v="Desnutricion"/>
    <n v="-0.79745879177121537"/>
    <n v="21.259231315590046"/>
    <x v="0"/>
  </r>
  <r>
    <x v="0"/>
    <x v="1"/>
    <n v="11"/>
    <n v="-1.6510599072275824"/>
    <n v="4.9363171445939198"/>
    <s v="Desnutricion"/>
    <n v="-1.8955278690925306"/>
    <n v="2.9011251581146995"/>
    <x v="1"/>
  </r>
  <r>
    <x v="0"/>
    <x v="0"/>
    <n v="11"/>
    <n v="-1.2062288570173549"/>
    <n v="11.386463008143716"/>
    <s v="Normal"/>
    <n v="-2.6085773593210952E-2"/>
    <n v="48.959446211527428"/>
    <x v="0"/>
  </r>
  <r>
    <x v="0"/>
    <x v="1"/>
    <n v="10"/>
    <n v="-0.62827226336275266"/>
    <n v="26.491279917810751"/>
    <s v="Normal"/>
    <n v="-1.5271954753356327"/>
    <n v="6.3356205550137421"/>
    <x v="0"/>
  </r>
  <r>
    <x v="0"/>
    <x v="0"/>
    <n v="10"/>
    <n v="8.1853308580893416E-2"/>
    <n v="53.261831793019176"/>
    <s v="Normal"/>
    <n v="-1.1192485331017581"/>
    <n v="13.151706283697804"/>
    <x v="0"/>
  </r>
  <r>
    <x v="0"/>
    <x v="1"/>
    <n v="10"/>
    <n v="-6.0254338176670696E-2"/>
    <n v="47.597653434257417"/>
    <s v="Normal"/>
    <n v="-0.80128494384821802"/>
    <n v="21.148335256326046"/>
    <x v="0"/>
  </r>
  <r>
    <x v="0"/>
    <x v="1"/>
    <n v="10"/>
    <n v="-0.21287424237289609"/>
    <n v="41.571252676173195"/>
    <s v="Normal"/>
    <n v="-2.015683924662127"/>
    <n v="2.1916518816756394"/>
    <x v="1"/>
  </r>
  <r>
    <x v="0"/>
    <x v="1"/>
    <n v="10"/>
    <n v="-2.0368110392131644"/>
    <n v="2.08344908139073"/>
    <s v="Desnutricion"/>
    <n v="-1.1644019730706268"/>
    <n v="12.213057418878781"/>
    <x v="0"/>
  </r>
  <r>
    <x v="0"/>
    <x v="1"/>
    <n v="11"/>
    <n v="0.36250831003088163"/>
    <n v="64.151389263416263"/>
    <s v="Normal"/>
    <n v="-0.8925678218326536"/>
    <n v="18.604432882634146"/>
    <x v="0"/>
  </r>
  <r>
    <x v="0"/>
    <x v="1"/>
    <n v="10"/>
    <n v="0.79828978386139771"/>
    <n v="78.76488274145045"/>
    <s v="Normal"/>
    <n v="-0.89091951384020496"/>
    <n v="18.648617537228727"/>
    <x v="0"/>
  </r>
  <r>
    <x v="0"/>
    <x v="0"/>
    <n v="10"/>
    <n v="-0.89628883847029728"/>
    <n v="18.504925937790738"/>
    <s v="Normal"/>
    <n v="-0.48489413285804783"/>
    <n v="31.387572223834088"/>
    <x v="0"/>
  </r>
  <r>
    <x v="0"/>
    <x v="0"/>
    <n v="6"/>
    <n v="9.4103400278492191E-2"/>
    <n v="53.748649033074649"/>
    <s v="Normal"/>
    <n v="-0.53689544037974546"/>
    <n v="29.566992037228857"/>
    <x v="0"/>
  </r>
  <r>
    <x v="0"/>
    <x v="0"/>
    <n v="6"/>
    <n v="-0.10689348990141691"/>
    <n v="45.743673895312568"/>
    <s v="Normal"/>
    <n v="-1.114974959392474"/>
    <n v="13.243057621372834"/>
    <x v="0"/>
  </r>
  <r>
    <x v="0"/>
    <x v="0"/>
    <n v="5"/>
    <n v="-0.92833411483768313"/>
    <n v="17.661714155361221"/>
    <s v="Normal"/>
    <n v="0.19813629681735809"/>
    <n v="57.853078650656556"/>
    <x v="0"/>
  </r>
  <r>
    <x v="0"/>
    <x v="1"/>
    <n v="5"/>
    <n v="-2.2507274238977413"/>
    <n v="1.2201403359779874"/>
    <s v="Desnutricion"/>
    <n v="-0.70001321556236196"/>
    <n v="24.195952563083129"/>
    <x v="0"/>
  </r>
  <r>
    <x v="0"/>
    <x v="1"/>
    <n v="6"/>
    <n v="-0.26302339034765504"/>
    <n v="39.626627539150803"/>
    <s v="Normal"/>
    <n v="-0.24906134941826075"/>
    <n v="40.165666310484248"/>
    <x v="0"/>
  </r>
  <r>
    <x v="0"/>
    <x v="1"/>
    <n v="6"/>
    <n v="-0.17040558389718163"/>
    <n v="43.234559052693569"/>
    <s v="Normal"/>
    <n v="-0.7377178872774629"/>
    <n v="23.034295005996004"/>
    <x v="0"/>
  </r>
  <r>
    <x v="0"/>
    <x v="1"/>
    <n v="6"/>
    <n v="0.41719987781723522"/>
    <n v="66.173389272054692"/>
    <s v="Normal"/>
    <n v="-0.82751839283936213"/>
    <n v="20.397165074356817"/>
    <x v="0"/>
  </r>
  <r>
    <x v="0"/>
    <x v="1"/>
    <n v="6"/>
    <n v="2.268294402456231"/>
    <n v="98.834436556454904"/>
    <s v="Alto"/>
    <n v="-0.60338290624598656"/>
    <n v="27.312699556497932"/>
    <x v="0"/>
  </r>
  <r>
    <x v="0"/>
    <x v="0"/>
    <n v="6"/>
    <n v="0.47914477299026131"/>
    <n v="68.408218008120713"/>
    <s v="Normal"/>
    <n v="-1.0366239102154009"/>
    <n v="14.99555828076563"/>
    <x v="0"/>
  </r>
  <r>
    <x v="0"/>
    <x v="0"/>
    <n v="10"/>
    <n v="-4.387308527268365"/>
    <n v="5.7380972423501993E-4"/>
    <s v="Desnutricion"/>
    <n v="-2.1657238478953253"/>
    <n v="1.5166147779868122"/>
    <x v="1"/>
  </r>
  <r>
    <x v="0"/>
    <x v="0"/>
    <n v="6"/>
    <n v="-0.93974998814578248"/>
    <n v="17.36729087369784"/>
    <s v="Normal"/>
    <n v="-1.0795953631656012"/>
    <n v="14.016120358192765"/>
    <x v="0"/>
  </r>
  <r>
    <x v="0"/>
    <x v="0"/>
    <n v="6"/>
    <n v="7.6927593022313973E-2"/>
    <n v="53.065942673674236"/>
    <s v="Normal"/>
    <n v="-2.1482486811527921"/>
    <n v="1.5847002655130633"/>
    <x v="1"/>
  </r>
  <r>
    <x v="0"/>
    <x v="1"/>
    <n v="6"/>
    <n v="0.51579719446931604"/>
    <n v="69.700196888324882"/>
    <s v="Normal"/>
    <n v="-1.4287489485117075"/>
    <n v="7.6538201758508766"/>
    <x v="0"/>
  </r>
  <r>
    <x v="0"/>
    <x v="1"/>
    <n v="6"/>
    <n v="0.61522240124341421"/>
    <n v="73.079607207472719"/>
    <s v="Normal"/>
    <n v="1.7262045513053244"/>
    <n v="95.784469022809006"/>
    <x v="2"/>
  </r>
  <r>
    <x v="0"/>
    <x v="0"/>
    <n v="6"/>
    <n v="-0.56210527430954749"/>
    <n v="28.702214751683996"/>
    <s v="Normal"/>
    <n v="0.61053493031235695"/>
    <n v="72.92462440769684"/>
    <x v="0"/>
  </r>
  <r>
    <x v="0"/>
    <x v="0"/>
    <n v="5"/>
    <n v="0.36445234329081977"/>
    <n v="64.223987262244194"/>
    <s v="Normal"/>
    <n v="-0.74470677697780585"/>
    <n v="22.822450069050472"/>
    <x v="0"/>
  </r>
  <r>
    <x v="0"/>
    <x v="0"/>
    <n v="6"/>
    <n v="-1.0451629469187491"/>
    <n v="14.79738326767975"/>
    <s v="Normal"/>
    <n v="-0.92369608087299793"/>
    <n v="17.782228658811743"/>
    <x v="0"/>
  </r>
  <r>
    <x v="0"/>
    <x v="0"/>
    <n v="5"/>
    <n v="-1.3261461283951448"/>
    <n v="9.2395649668188771"/>
    <s v="Normal"/>
    <n v="-0.42752585573606289"/>
    <n v="33.449817844755799"/>
    <x v="0"/>
  </r>
  <r>
    <x v="0"/>
    <x v="1"/>
    <n v="8"/>
    <n v="-1.0061260581599163"/>
    <n v="15.717746758157569"/>
    <s v="Normal"/>
    <n v="-2.1475860883558218"/>
    <n v="1.5873325774222939"/>
    <x v="1"/>
  </r>
  <r>
    <x v="0"/>
    <x v="0"/>
    <n v="7"/>
    <n v="0.85854467465040718"/>
    <n v="80.47041135500406"/>
    <s v="Normal"/>
    <n v="-0.37438352657373036"/>
    <n v="35.40594985960179"/>
    <x v="0"/>
  </r>
  <r>
    <x v="0"/>
    <x v="0"/>
    <n v="7"/>
    <n v="0.85770775239244423"/>
    <n v="80.447307089568937"/>
    <s v="Normal"/>
    <n v="-2.1112643766376435"/>
    <n v="1.7374797086947562"/>
    <x v="1"/>
  </r>
  <r>
    <x v="0"/>
    <x v="0"/>
    <n v="7"/>
    <n v="-0.71806898738848191"/>
    <n v="23.635737551820522"/>
    <s v="Normal"/>
    <n v="1.5438609333562203"/>
    <n v="93.86889870011747"/>
    <x v="0"/>
  </r>
  <r>
    <x v="0"/>
    <x v="1"/>
    <n v="8"/>
    <n v="0.12675941080465566"/>
    <n v="55.043458899690293"/>
    <s v="Normal"/>
    <n v="7.4725843382462576E-2"/>
    <n v="52.978357744522889"/>
    <x v="0"/>
  </r>
  <r>
    <x v="0"/>
    <x v="1"/>
    <n v="8"/>
    <n v="-0.4517560987925302"/>
    <n v="32.572234974396828"/>
    <s v="Normal"/>
    <n v="4.3717151877411098E-2"/>
    <n v="51.743506646687401"/>
    <x v="0"/>
  </r>
  <r>
    <x v="0"/>
    <x v="1"/>
    <n v="9"/>
    <n v="6.1573515507949761E-2"/>
    <n v="52.454876576288676"/>
    <s v="Normal"/>
    <n v="-0.78858687134931427"/>
    <n v="21.517675334806825"/>
    <x v="0"/>
  </r>
  <r>
    <x v="0"/>
    <x v="0"/>
    <n v="9"/>
    <n v="-0.40820589899261317"/>
    <n v="34.15612588507615"/>
    <s v="Normal"/>
    <n v="-1.1472983709754025"/>
    <n v="12.56291635306453"/>
    <x v="0"/>
  </r>
  <r>
    <x v="0"/>
    <x v="0"/>
    <n v="8"/>
    <n v="0.4143398279372541"/>
    <n v="66.068737524182936"/>
    <s v="Normal"/>
    <n v="4.3136861037731261E-2"/>
    <n v="51.720378211224237"/>
    <x v="0"/>
  </r>
  <r>
    <x v="0"/>
    <x v="0"/>
    <n v="9"/>
    <n v="-0.48610775432556563"/>
    <n v="31.344538466551587"/>
    <s v="Normal"/>
    <n v="-0.4384571025713272"/>
    <n v="33.052748011687825"/>
    <x v="0"/>
  </r>
  <r>
    <x v="0"/>
    <x v="0"/>
    <n v="9"/>
    <n v="2.4234537377788263"/>
    <n v="99.231314437761213"/>
    <s v="Alto"/>
    <n v="-1.1805977899261451"/>
    <n v="11.888127101090101"/>
    <x v="0"/>
  </r>
  <r>
    <x v="0"/>
    <x v="1"/>
    <n v="8"/>
    <n v="-0.47709931690849172"/>
    <n v="31.664570054070907"/>
    <s v="Normal"/>
    <n v="-1.6462602639267994"/>
    <n v="4.9855093343361441"/>
    <x v="1"/>
  </r>
  <r>
    <x v="0"/>
    <x v="0"/>
    <n v="9"/>
    <n v="-1.9079511953252067E-3"/>
    <n v="49.923883806104918"/>
    <s v="Normal"/>
    <n v="-0.31475385858521837"/>
    <n v="37.647427388780287"/>
    <x v="0"/>
  </r>
  <r>
    <x v="0"/>
    <x v="1"/>
    <n v="9"/>
    <n v="-1.1590063823968033"/>
    <n v="12.322679174680074"/>
    <s v="Normal"/>
    <n v="-1.7524440070228804"/>
    <n v="3.9848744988225966"/>
    <x v="1"/>
  </r>
  <r>
    <x v="0"/>
    <x v="0"/>
    <n v="8"/>
    <n v="-0.65593014161240959"/>
    <n v="25.593453672680756"/>
    <s v="Normal"/>
    <n v="-0.81303314277945693"/>
    <n v="20.809952816562713"/>
    <x v="0"/>
  </r>
  <r>
    <x v="0"/>
    <x v="0"/>
    <n v="9"/>
    <n v="-0.4058650948048666"/>
    <n v="34.242086313412948"/>
    <s v="Normal"/>
    <n v="6.9826511579564529E-2"/>
    <n v="52.783412725708068"/>
    <x v="0"/>
  </r>
  <r>
    <x v="0"/>
    <x v="1"/>
    <n v="9"/>
    <n v="-1.6682759388959867"/>
    <n v="4.7630481037742971"/>
    <s v="Desnutricion"/>
    <n v="-0.94439054049515381"/>
    <n v="17.2485056807893"/>
    <x v="0"/>
  </r>
  <r>
    <x v="0"/>
    <x v="1"/>
    <n v="10"/>
    <n v="-0.56662866675215506"/>
    <n v="28.548324717162888"/>
    <s v="Normal"/>
    <n v="-0.8157174285276203"/>
    <n v="20.733088428455297"/>
    <x v="0"/>
  </r>
  <r>
    <x v="0"/>
    <x v="1"/>
    <n v="10"/>
    <n v="0.87061184619625398"/>
    <n v="80.801693696302436"/>
    <s v="Normal"/>
    <n v="1.9001472003080715E-2"/>
    <n v="50.75800344330743"/>
    <x v="0"/>
  </r>
  <r>
    <x v="0"/>
    <x v="0"/>
    <n v="11"/>
    <n v="-0.32289876353035579"/>
    <n v="37.338595637935441"/>
    <s v="Normal"/>
    <n v="-1.3687424607592813"/>
    <n v="8.553989628441574"/>
    <x v="0"/>
  </r>
  <r>
    <x v="0"/>
    <x v="0"/>
    <n v="11"/>
    <n v="1.5213190243952899"/>
    <n v="93.591010080337767"/>
    <s v="Normal"/>
    <n v="0.30815365041334786"/>
    <n v="62.101729049969002"/>
    <x v="0"/>
  </r>
  <r>
    <x v="1"/>
    <x v="0"/>
    <n v="4"/>
    <n v="1.0223446226548947"/>
    <n v="84.66910897721452"/>
    <s v="Normal"/>
    <n v="-1.0449687957894231"/>
    <n v="14.801869583832975"/>
    <x v="0"/>
  </r>
  <r>
    <x v="1"/>
    <x v="0"/>
    <n v="4"/>
    <n v="-1.9151940258239506"/>
    <n v="2.7733882049446037"/>
    <s v="Desnutricion"/>
    <n v="0.48780449909209267"/>
    <n v="68.715583784016872"/>
    <x v="0"/>
  </r>
  <r>
    <x v="1"/>
    <x v="0"/>
    <n v="4"/>
    <n v="-1.5626627909162658"/>
    <n v="5.9065965365023656"/>
    <s v="Normal"/>
    <n v="-1.9920878639301964"/>
    <n v="2.3180709147529366"/>
    <x v="1"/>
  </r>
  <r>
    <x v="1"/>
    <x v="1"/>
    <n v="3"/>
    <n v="-1.8674476065922416"/>
    <n v="3.0919553472769445"/>
    <s v="Desnutricion"/>
    <n v="-0.35618388203598339"/>
    <n v="36.085143087272691"/>
    <x v="0"/>
  </r>
  <r>
    <x v="1"/>
    <x v="1"/>
    <n v="3"/>
    <n v="-1.1317315932288114"/>
    <n v="12.887364743793601"/>
    <s v="Normal"/>
    <n v="1.0213156936919496"/>
    <n v="84.644755329590012"/>
    <x v="0"/>
  </r>
  <r>
    <x v="1"/>
    <x v="1"/>
    <n v="4"/>
    <n v="-1.2854096400427388"/>
    <n v="9.9324587143802372"/>
    <s v="Normal"/>
    <n v="-9.3970195159689948E-2"/>
    <n v="46.256641638027425"/>
    <x v="0"/>
  </r>
  <r>
    <x v="1"/>
    <x v="0"/>
    <n v="4"/>
    <n v="-0.61336997824985207"/>
    <n v="26.981586610309648"/>
    <s v="Normal"/>
    <n v="0.21202582706685014"/>
    <n v="58.395655736189966"/>
    <x v="0"/>
  </r>
  <r>
    <x v="1"/>
    <x v="1"/>
    <n v="5"/>
    <n v="-0.50681484890726403"/>
    <n v="30.614236827250739"/>
    <s v="Normal"/>
    <n v="-0.80666991529339571"/>
    <n v="20.992834067025104"/>
    <x v="0"/>
  </r>
  <r>
    <x v="1"/>
    <x v="0"/>
    <n v="5"/>
    <n v="-1.7684776664541455"/>
    <n v="3.8490541311852535"/>
    <s v="Desnutricion"/>
    <n v="6.6054591063554061E-2"/>
    <n v="52.633281853379252"/>
    <x v="0"/>
  </r>
  <r>
    <x v="1"/>
    <x v="1"/>
    <n v="5"/>
    <n v="-1.8924237778669124"/>
    <n v="2.9217270203828747"/>
    <s v="Desnutricion"/>
    <n v="-2.5450154163552994"/>
    <n v="0.54636456912972142"/>
    <x v="1"/>
  </r>
  <r>
    <x v="1"/>
    <x v="0"/>
    <n v="5"/>
    <n v="-0.50945723473381144"/>
    <n v="30.521588346978991"/>
    <s v="Normal"/>
    <n v="-0.42752585573606289"/>
    <n v="33.449817844755799"/>
    <x v="0"/>
  </r>
  <r>
    <x v="1"/>
    <x v="1"/>
    <n v="5"/>
    <n v="-1.9915204117241241"/>
    <n v="2.3211851732440447"/>
    <s v="Desnutricion"/>
    <n v="-0.67103233751897473"/>
    <n v="25.109996461515692"/>
    <x v="0"/>
  </r>
  <r>
    <x v="1"/>
    <x v="1"/>
    <n v="4"/>
    <n v="-0.84814410279819552"/>
    <n v="19.81788613409061"/>
    <s v="Normal"/>
    <n v="1.0051946832313068"/>
    <n v="84.259844259053423"/>
    <x v="0"/>
  </r>
  <r>
    <x v="1"/>
    <x v="0"/>
    <n v="4"/>
    <n v="0.29455469293953035"/>
    <n v="61.583296147569143"/>
    <s v="Normal"/>
    <n v="0.75302665423905035"/>
    <n v="77.42830514229297"/>
    <x v="0"/>
  </r>
  <r>
    <x v="1"/>
    <x v="0"/>
    <n v="5"/>
    <n v="-0.75335172026152097"/>
    <n v="22.561929338786662"/>
    <s v="Normal"/>
    <n v="1.285018196057262"/>
    <n v="90.060703722501501"/>
    <x v="0"/>
  </r>
  <r>
    <x v="1"/>
    <x v="1"/>
    <n v="5"/>
    <n v="-0.93101643828351133"/>
    <n v="17.592253052244857"/>
    <s v="Normal"/>
    <n v="-0.69558883408362249"/>
    <n v="24.334318042937696"/>
    <x v="0"/>
  </r>
  <r>
    <x v="1"/>
    <x v="0"/>
    <n v="5"/>
    <n v="-1.166702092136924"/>
    <n v="12.166534882382921"/>
    <s v="Normal"/>
    <n v="-0.12478816675522819"/>
    <n v="45.034562786105781"/>
    <x v="0"/>
  </r>
  <r>
    <x v="1"/>
    <x v="1"/>
    <n v="5"/>
    <n v="0.25946431277480897"/>
    <n v="60.236149316924894"/>
    <s v="Normal"/>
    <n v="-2.2339283791645714"/>
    <n v="1.2743892964570431"/>
    <x v="1"/>
  </r>
  <r>
    <x v="1"/>
    <x v="0"/>
    <n v="4"/>
    <n v="0.18193092335232774"/>
    <n v="57.218153193397626"/>
    <s v="Normal"/>
    <n v="0.49965816157929949"/>
    <n v="69.134210153546988"/>
    <x v="0"/>
  </r>
  <r>
    <x v="1"/>
    <x v="1"/>
    <n v="5"/>
    <n v="-0.82217781151570624"/>
    <n v="20.548785255638499"/>
    <s v="Normal"/>
    <n v="-0.37934648160243223"/>
    <n v="35.221529356735168"/>
    <x v="0"/>
  </r>
  <r>
    <x v="1"/>
    <x v="1"/>
    <n v="4"/>
    <n v="0.24796086605367362"/>
    <n v="59.791765713845521"/>
    <s v="Normal"/>
    <n v="0.58651193269965618"/>
    <n v="72.123422746483996"/>
    <x v="0"/>
  </r>
  <r>
    <x v="1"/>
    <x v="1"/>
    <n v="5"/>
    <n v="0.24262719224332768"/>
    <n v="59.585289291294508"/>
    <s v="Normal"/>
    <n v="-1.2741163718030983"/>
    <n v="10.131108853692917"/>
    <x v="0"/>
  </r>
  <r>
    <x v="1"/>
    <x v="1"/>
    <n v="4"/>
    <n v="-0.9547536237188875"/>
    <n v="16.985115253886789"/>
    <s v="Normal"/>
    <n v="0.29227826698688264"/>
    <n v="61.496306293799371"/>
    <x v="0"/>
  </r>
  <r>
    <x v="1"/>
    <x v="1"/>
    <n v="4"/>
    <n v="-1.2854096400427388"/>
    <n v="9.9324587143802372"/>
    <s v="Normal"/>
    <n v="0.12995844543717919"/>
    <n v="55.170034823094369"/>
    <x v="0"/>
  </r>
  <r>
    <x v="1"/>
    <x v="0"/>
    <n v="3"/>
    <n v="-0.53022680661738031"/>
    <n v="29.797734358787974"/>
    <s v="Normal"/>
    <n v="5.4277545320889097E-2"/>
    <n v="52.1642980292891"/>
    <x v="0"/>
  </r>
  <r>
    <x v="1"/>
    <x v="1"/>
    <n v="3"/>
    <n v="-1.6105638764081873"/>
    <n v="5.3637406284311444"/>
    <s v="Normal"/>
    <n v="0.68659183686003578"/>
    <n v="75.383001298697863"/>
    <x v="0"/>
  </r>
  <r>
    <x v="1"/>
    <x v="0"/>
    <n v="3"/>
    <n v="-2.1975827730321735"/>
    <n v="1.3989425982179646"/>
    <s v="Desnutricion"/>
    <n v="-0.1683637334294931"/>
    <n v="43.314856866194951"/>
    <x v="0"/>
  </r>
  <r>
    <x v="1"/>
    <x v="1"/>
    <n v="2"/>
    <n v="-0.93529502067988712"/>
    <n v="17.481814035338232"/>
    <s v="Normal"/>
    <n v="-0.14233671476709586"/>
    <n v="44.340702377622478"/>
    <x v="0"/>
  </r>
  <r>
    <x v="1"/>
    <x v="0"/>
    <n v="2"/>
    <n v="-2.2194069844490976"/>
    <n v="1.3229524461074191"/>
    <s v="Desnutricion"/>
    <n v="-0.29233519474879149"/>
    <n v="38.501517598352386"/>
    <x v="0"/>
  </r>
  <r>
    <x v="1"/>
    <x v="1"/>
    <n v="3"/>
    <n v="-0.61153224027067421"/>
    <n v="27.042364060820677"/>
    <s v="Normal"/>
    <n v="1.0444181389579772"/>
    <n v="85.185401249360496"/>
    <x v="0"/>
  </r>
  <r>
    <x v="1"/>
    <x v="1"/>
    <n v="3"/>
    <n v="-1.9801502940252083"/>
    <n v="2.384332160726061"/>
    <s v="Desnutricion"/>
    <n v="1.4249937045086871"/>
    <n v="92.2920489540885"/>
    <x v="0"/>
  </r>
  <r>
    <x v="1"/>
    <x v="0"/>
    <n v="2"/>
    <n v="-1.1566380263371678"/>
    <n v="12.371013968615637"/>
    <s v="Normal"/>
    <n v="-0.36349111256551825"/>
    <n v="35.811902536585549"/>
    <x v="0"/>
  </r>
  <r>
    <x v="1"/>
    <x v="0"/>
    <n v="4"/>
    <n v="-3.9160235555188403"/>
    <n v="4.5010728181255552E-3"/>
    <s v="Desnutricion"/>
    <n v="-0.73849335090389723"/>
    <n v="23.010735309228"/>
    <x v="0"/>
  </r>
  <r>
    <x v="1"/>
    <x v="1"/>
    <n v="4"/>
    <n v="7.5471033953068714E-2"/>
    <n v="53.008002832599175"/>
    <s v="Normal"/>
    <n v="1.3945101400829938"/>
    <n v="91.841819519935626"/>
    <x v="0"/>
  </r>
  <r>
    <x v="1"/>
    <x v="1"/>
    <n v="4"/>
    <n v="-0.48279504338498413"/>
    <n v="31.462063527249619"/>
    <s v="Normal"/>
    <n v="0.88196651052663089"/>
    <n v="81.110254110885904"/>
    <x v="0"/>
  </r>
  <r>
    <x v="1"/>
    <x v="0"/>
    <n v="4"/>
    <n v="0.52670687842150321"/>
    <n v="70.080142087281587"/>
    <s v="Normal"/>
    <n v="2.4981871139628593"/>
    <n v="99.375848576188673"/>
    <x v="2"/>
  </r>
  <r>
    <x v="1"/>
    <x v="0"/>
    <n v="4"/>
    <n v="-1.1448666114843926"/>
    <n v="12.613220839032937"/>
    <s v="Normal"/>
    <n v="1.1962743248798307"/>
    <n v="88.420523763325164"/>
    <x v="0"/>
  </r>
  <r>
    <x v="1"/>
    <x v="1"/>
    <n v="3"/>
    <n v="-1.1317315932288114"/>
    <n v="12.887364743793601"/>
    <s v="Normal"/>
    <n v="-1.0791216511942186E-2"/>
    <n v="49.569501102949715"/>
    <x v="0"/>
  </r>
  <r>
    <x v="1"/>
    <x v="1"/>
    <n v="4"/>
    <n v="-0.61705098705762318"/>
    <n v="26.860054783191533"/>
    <s v="Normal"/>
    <n v="1.3161933135675652"/>
    <n v="90.594541631704274"/>
    <x v="0"/>
  </r>
  <r>
    <x v="1"/>
    <x v="0"/>
    <n v="4"/>
    <n v="-0.49422634580787839"/>
    <n v="31.057316771503217"/>
    <s v="Normal"/>
    <n v="-0.91761725241421033"/>
    <n v="17.940964121338336"/>
    <x v="0"/>
  </r>
  <r>
    <x v="1"/>
    <x v="0"/>
    <n v="4"/>
    <n v="-1.4648918194214124"/>
    <n v="7.1475217537710272"/>
    <s v="Normal"/>
    <n v="0.45482950277585393"/>
    <n v="67.538404827314565"/>
    <x v="0"/>
  </r>
  <r>
    <x v="1"/>
    <x v="0"/>
    <n v="4"/>
    <n v="-0.59682608674237903"/>
    <n v="27.531174964021531"/>
    <s v="Normal"/>
    <n v="0.16063857272745441"/>
    <n v="56.381096361990537"/>
    <x v="0"/>
  </r>
  <r>
    <x v="1"/>
    <x v="1"/>
    <n v="3"/>
    <n v="-1.9889489454196536"/>
    <n v="2.3353419256684296"/>
    <s v="Desnutricion"/>
    <n v="1.8166091025596425"/>
    <n v="96.536150566420659"/>
    <x v="2"/>
  </r>
  <r>
    <x v="1"/>
    <x v="1"/>
    <n v="4"/>
    <n v="-1.5086353990531864"/>
    <n v="6.5695991343675262"/>
    <s v="Normal"/>
    <n v="-0.55059857364179199"/>
    <n v="29.095444343487497"/>
    <x v="0"/>
  </r>
  <r>
    <x v="1"/>
    <x v="0"/>
    <n v="4"/>
    <n v="1.3907322373657516"/>
    <n v="91.784668093882928"/>
    <s v="Normal"/>
    <n v="-0.26146752487498609"/>
    <n v="39.686599502991918"/>
    <x v="0"/>
  </r>
  <r>
    <x v="1"/>
    <x v="1"/>
    <n v="4"/>
    <n v="-1.396941768034484"/>
    <n v="8.1215541497642967"/>
    <s v="Normal"/>
    <n v="-0.75802705668594317"/>
    <n v="22.421739266812164"/>
    <x v="0"/>
  </r>
  <r>
    <x v="1"/>
    <x v="1"/>
    <n v="4"/>
    <n v="1.1141246075191358"/>
    <n v="86.738713337227153"/>
    <s v="Normal"/>
    <n v="-0.56735105060809454"/>
    <n v="28.523784966883557"/>
    <x v="0"/>
  </r>
  <r>
    <x v="1"/>
    <x v="1"/>
    <n v="4"/>
    <n v="-0.27378153773725367"/>
    <n v="39.21262562363637"/>
    <s v="Normal"/>
    <n v="-0.30502729742142987"/>
    <n v="38.017268103377276"/>
    <x v="0"/>
  </r>
  <r>
    <x v="1"/>
    <x v="1"/>
    <n v="4"/>
    <n v="-0.72304562985614573"/>
    <n v="23.482592549602849"/>
    <s v="Normal"/>
    <n v="0.18347526451943913"/>
    <n v="57.278743731066648"/>
    <x v="0"/>
  </r>
  <r>
    <x v="1"/>
    <x v="0"/>
    <n v="4"/>
    <n v="-0.53380104254894201"/>
    <n v="29.673959619978994"/>
    <s v="Normal"/>
    <n v="-0.20386506906521204"/>
    <n v="41.922947132089377"/>
    <x v="0"/>
  </r>
  <r>
    <x v="1"/>
    <x v="0"/>
    <n v="4"/>
    <n v="0.3866646082661524"/>
    <n v="65.049773974914473"/>
    <s v="Normal"/>
    <n v="0.40142307056409465"/>
    <n v="65.594566669914229"/>
    <x v="0"/>
  </r>
  <r>
    <x v="1"/>
    <x v="0"/>
    <n v="3"/>
    <n v="-0.5992861735092424"/>
    <n v="27.449103322426073"/>
    <s v="Normal"/>
    <n v="0.4461241695044304"/>
    <n v="67.224622254266706"/>
    <x v="0"/>
  </r>
  <r>
    <x v="1"/>
    <x v="0"/>
    <n v="4"/>
    <n v="-1.252799070888613"/>
    <n v="10.513941993941714"/>
    <s v="Normal"/>
    <n v="-3.3432058587297371E-2"/>
    <n v="48.666502244464745"/>
    <x v="0"/>
  </r>
  <r>
    <x v="1"/>
    <x v="1"/>
    <n v="4"/>
    <n v="-2.091463048794771"/>
    <n v="1.8243287736124998"/>
    <s v="Desnutricion"/>
    <n v="-2.2944224497644736"/>
    <n v="1.088312242986935"/>
    <x v="1"/>
  </r>
  <r>
    <x v="1"/>
    <x v="0"/>
    <n v="4"/>
    <n v="-7.3568217141396136E-2"/>
    <n v="47.067698081543213"/>
    <s v="Normal"/>
    <n v="-1.1104094419930204"/>
    <n v="13.341131566960568"/>
    <x v="0"/>
  </r>
  <r>
    <x v="1"/>
    <x v="0"/>
    <n v="4"/>
    <n v="-1.5626627909162658"/>
    <n v="5.9065965365023656"/>
    <s v="Normal"/>
    <n v="-0.6105730168537512"/>
    <n v="27.074114536546901"/>
    <x v="0"/>
  </r>
  <r>
    <x v="1"/>
    <x v="0"/>
    <n v="4"/>
    <n v="-1.6910042232465317"/>
    <n v="4.5417998027349133"/>
    <s v="Desnutricion"/>
    <n v="0.13926698855089917"/>
    <n v="55.538041252386215"/>
    <x v="0"/>
  </r>
  <r>
    <x v="1"/>
    <x v="1"/>
    <n v="4"/>
    <n v="-0.80776215013774555"/>
    <n v="20.961375898282697"/>
    <s v="Normal"/>
    <n v="0.60407013007999155"/>
    <n v="72.71014912834957"/>
    <x v="0"/>
  </r>
  <r>
    <x v="1"/>
    <x v="1"/>
    <n v="4"/>
    <n v="-1.7450314915211436"/>
    <n v="4.0489693709218688"/>
    <s v="Desnutricion"/>
    <n v="-0.79297524302059053"/>
    <n v="21.389612344771709"/>
    <x v="0"/>
  </r>
  <r>
    <x v="1"/>
    <x v="0"/>
    <n v="3"/>
    <n v="0.43671156342683753"/>
    <n v="66.883972894747785"/>
    <s v="Normal"/>
    <n v="8.8472834278789214E-2"/>
    <n v="53.524956262034983"/>
    <x v="0"/>
  </r>
  <r>
    <x v="1"/>
    <x v="1"/>
    <n v="5"/>
    <n v="-0.82001129172818532"/>
    <n v="20.610483504763078"/>
    <s v="Normal"/>
    <n v="-1.0918000576972411"/>
    <n v="13.746049684741823"/>
    <x v="0"/>
  </r>
  <r>
    <x v="1"/>
    <x v="1"/>
    <n v="5"/>
    <n v="-1.0385062363738089"/>
    <n v="14.951721668980964"/>
    <s v="Normal"/>
    <n v="-1.4107804186487471"/>
    <n v="7.9154684993386946"/>
    <x v="0"/>
  </r>
  <r>
    <x v="1"/>
    <x v="0"/>
    <n v="5"/>
    <n v="-0.53904190597384583"/>
    <n v="29.492896970855632"/>
    <s v="Normal"/>
    <n v="-0.17615799665337031"/>
    <n v="43.008490925281386"/>
    <x v="0"/>
  </r>
  <r>
    <x v="1"/>
    <x v="0"/>
    <n v="4"/>
    <n v="-1.0377739719681649"/>
    <n v="14.968764857034254"/>
    <s v="Normal"/>
    <n v="0.13415331189828822"/>
    <n v="55.335932809771712"/>
    <x v="0"/>
  </r>
  <r>
    <x v="1"/>
    <x v="0"/>
    <n v="5"/>
    <n v="0.27138307274275447"/>
    <n v="60.695179014747936"/>
    <s v="Normal"/>
    <n v="-0.77591558138104666"/>
    <n v="21.88994160110752"/>
    <x v="0"/>
  </r>
  <r>
    <x v="1"/>
    <x v="1"/>
    <n v="3"/>
    <n v="0.92408821238438821"/>
    <n v="82.227980500563646"/>
    <s v="Normal"/>
    <n v="-0.35100224723945178"/>
    <n v="36.279333124031787"/>
    <x v="0"/>
  </r>
  <r>
    <x v="2"/>
    <x v="1"/>
    <n v="7"/>
    <n v="0.24784067641612462"/>
    <n v="59.787115934409506"/>
    <s v="Normal"/>
    <n v="-0.37094348438249453"/>
    <n v="35.53398130747194"/>
    <x v="0"/>
  </r>
  <r>
    <x v="2"/>
    <x v="0"/>
    <n v="12"/>
    <n v="0.43105678911511802"/>
    <n v="66.678646058789212"/>
    <s v="Normal"/>
    <n v="-0.17842542020479563"/>
    <n v="42.919444358257735"/>
    <x v="0"/>
  </r>
  <r>
    <x v="2"/>
    <x v="0"/>
    <n v="5"/>
    <n v="0.26510192583468667"/>
    <n v="60.45345280996407"/>
    <s v="Normal"/>
    <n v="-1.385699140837799"/>
    <n v="8.2919395329092822"/>
    <x v="0"/>
  </r>
  <r>
    <x v="2"/>
    <x v="1"/>
    <n v="7"/>
    <n v="1.1830885119486818"/>
    <n v="88.161296485716505"/>
    <s v="Normal"/>
    <n v="-0.54173194937461766"/>
    <n v="29.400158837493407"/>
    <x v="0"/>
  </r>
  <r>
    <x v="2"/>
    <x v="1"/>
    <n v="10"/>
    <n v="1.6146764993000053"/>
    <n v="94.680961532514758"/>
    <s v="Normal"/>
    <n v="1.2289029858781169"/>
    <n v="89.044590907949654"/>
    <x v="0"/>
  </r>
  <r>
    <x v="2"/>
    <x v="1"/>
    <n v="9"/>
    <n v="1.6633223903473833"/>
    <n v="95.187604044316714"/>
    <s v="Alto"/>
    <n v="-1.4427463384241581"/>
    <n v="7.4545970271324311"/>
    <x v="0"/>
  </r>
  <r>
    <x v="2"/>
    <x v="0"/>
    <n v="6"/>
    <n v="1.4232474720086099"/>
    <n v="92.266778581424802"/>
    <s v="Normal"/>
    <n v="0.49404183975337451"/>
    <n v="68.936168442250363"/>
    <x v="0"/>
  </r>
  <r>
    <x v="2"/>
    <x v="0"/>
    <n v="10"/>
    <n v="1.776499994704593"/>
    <n v="96.21747286040916"/>
    <s v="Alto"/>
    <n v="-0.81949842918253013"/>
    <n v="20.62510489032724"/>
    <x v="0"/>
  </r>
  <r>
    <x v="2"/>
    <x v="1"/>
    <n v="10"/>
    <n v="2.5449192365828419"/>
    <n v="99.45348492209672"/>
    <s v="Alto"/>
    <n v="-1.2653296717214157"/>
    <n v="10.287658716284273"/>
    <x v="0"/>
  </r>
  <r>
    <x v="2"/>
    <x v="1"/>
    <n v="8"/>
    <n v="1.898868359126398"/>
    <n v="97.120910677775356"/>
    <s v="Alto"/>
    <n v="-0.83431005119467561"/>
    <n v="20.205314467032231"/>
    <x v="0"/>
  </r>
  <r>
    <x v="2"/>
    <x v="0"/>
    <n v="5"/>
    <n v="3.0949939079669861"/>
    <n v="99.901591530214532"/>
    <s v="Alto"/>
    <n v="-6.2105641732824396E-3"/>
    <n v="49.75223592936991"/>
    <x v="0"/>
  </r>
  <r>
    <x v="2"/>
    <x v="1"/>
    <n v="5"/>
    <n v="-0.61139319580076734"/>
    <n v="27.046965305525404"/>
    <s v="Normal"/>
    <n v="-1.7666891149816752"/>
    <n v="3.8640153654482368"/>
    <x v="1"/>
  </r>
  <r>
    <x v="2"/>
    <x v="0"/>
    <n v="4"/>
    <n v="0.57011981500465603"/>
    <n v="71.570178174729747"/>
    <s v="Normal"/>
    <n v="-6.9518523693521574"/>
    <n v="1.8026029160120648E-10"/>
    <x v="1"/>
  </r>
  <r>
    <x v="2"/>
    <x v="1"/>
    <n v="8"/>
    <n v="-0.40104283261070822"/>
    <n v="34.41942944350123"/>
    <s v="Normal"/>
    <n v="-11.996282616202869"/>
    <n v="1.8580776487074295E-31"/>
    <x v="1"/>
  </r>
  <r>
    <x v="2"/>
    <x v="1"/>
    <n v="8"/>
    <n v="-0.42919691113583019"/>
    <n v="33.388996534627339"/>
    <s v="Normal"/>
    <n v="-3.2637163681582511"/>
    <n v="5.4980593197514235E-2"/>
    <x v="1"/>
  </r>
  <r>
    <x v="2"/>
    <x v="0"/>
    <n v="7"/>
    <n v="1.1300613194632538"/>
    <n v="87.077480643734276"/>
    <s v="Normal"/>
    <n v="0.83438088128160715"/>
    <n v="79.796680632744156"/>
    <x v="0"/>
  </r>
  <r>
    <x v="2"/>
    <x v="1"/>
    <n v="5"/>
    <n v="1.9500312184973925"/>
    <n v="97.441380087890963"/>
    <s v="Alto"/>
    <n v="0.16179482231841832"/>
    <n v="56.426628474334827"/>
    <x v="0"/>
  </r>
  <r>
    <x v="2"/>
    <x v="1"/>
    <n v="6"/>
    <n v="0.61522240124341421"/>
    <n v="73.079607207472719"/>
    <s v="Normal"/>
    <n v="0.46777943323662668"/>
    <n v="68.002883510122231"/>
    <x v="0"/>
  </r>
  <r>
    <x v="2"/>
    <x v="0"/>
    <n v="5"/>
    <n v="0.50247743330772954"/>
    <n v="69.233413875691326"/>
    <s v="Normal"/>
    <n v="-0.86297997845882879"/>
    <n v="19.407423758012268"/>
    <x v="0"/>
  </r>
  <r>
    <x v="3"/>
    <x v="0"/>
    <n v="6"/>
    <n v="7.6927593022313973E-2"/>
    <n v="53.065942673674236"/>
    <s v="Normal"/>
    <n v="-0.58255870213208572"/>
    <n v="28.009520665689834"/>
    <x v="0"/>
  </r>
  <r>
    <x v="3"/>
    <x v="0"/>
    <n v="6"/>
    <n v="0.85377781288916599"/>
    <n v="80.338594494470598"/>
    <s v="Normal"/>
    <n v="1.8908834842679973"/>
    <n v="97.068005021083422"/>
    <x v="2"/>
  </r>
  <r>
    <x v="3"/>
    <x v="1"/>
    <n v="6"/>
    <n v="-0.8645805307860901"/>
    <n v="19.363453113734135"/>
    <s v="Normal"/>
    <n v="-1.5880862706434249"/>
    <n v="5.6133416216224408"/>
    <x v="0"/>
  </r>
  <r>
    <x v="3"/>
    <x v="1"/>
    <n v="6"/>
    <n v="-8.9409150730916709E-2"/>
    <n v="46.437837568375599"/>
    <s v="Normal"/>
    <n v="-1.810943477259453"/>
    <n v="3.5074800784873039"/>
    <x v="1"/>
  </r>
  <r>
    <x v="3"/>
    <x v="1"/>
    <n v="6"/>
    <n v="2.5462903340959037E-2"/>
    <n v="51.015713113397169"/>
    <s v="Normal"/>
    <n v="-1.4287489485117075"/>
    <n v="7.6538201758508766"/>
    <x v="0"/>
  </r>
  <r>
    <x v="3"/>
    <x v="0"/>
    <n v="6"/>
    <n v="-1.5680572579246085E-2"/>
    <n v="49.374461296441815"/>
    <s v="Normal"/>
    <n v="-1.5359760902487016"/>
    <n v="6.2272122271055457"/>
    <x v="0"/>
  </r>
  <r>
    <x v="3"/>
    <x v="0"/>
    <n v="5"/>
    <n v="-0.12617502285587384"/>
    <n v="44.979669110364831"/>
    <s v="Normal"/>
    <n v="-0.35724898376481951"/>
    <n v="36.045270915972331"/>
    <x v="0"/>
  </r>
  <r>
    <x v="3"/>
    <x v="0"/>
    <n v="5"/>
    <n v="0.4640079326134175"/>
    <n v="67.867896886073268"/>
    <s v="Normal"/>
    <n v="-0.85507855327440718"/>
    <n v="19.625383086221067"/>
    <x v="0"/>
  </r>
  <r>
    <x v="3"/>
    <x v="1"/>
    <n v="5"/>
    <n v="-9.2904188652212061E-2"/>
    <n v="46.298983903956625"/>
    <s v="Normal"/>
    <n v="-1.5394588488953105"/>
    <n v="6.1846158362228474"/>
    <x v="0"/>
  </r>
  <r>
    <x v="3"/>
    <x v="0"/>
    <n v="5"/>
    <n v="1.1552358383617705"/>
    <n v="87.60030687958178"/>
    <s v="Normal"/>
    <n v="-0.79431684312053141"/>
    <n v="21.350550052477839"/>
    <x v="0"/>
  </r>
  <r>
    <x v="3"/>
    <x v="1"/>
    <n v="6"/>
    <n v="-0.8645805307860901"/>
    <n v="19.363453113734135"/>
    <s v="Normal"/>
    <n v="-1.5296358873514977"/>
    <n v="6.3053440614684844"/>
    <x v="0"/>
  </r>
  <r>
    <x v="3"/>
    <x v="1"/>
    <n v="6"/>
    <n v="0.61888622007340455"/>
    <n v="73.200434150012967"/>
    <s v="Normal"/>
    <n v="-0.87711557703452447"/>
    <n v="19.021193235796293"/>
    <x v="0"/>
  </r>
  <r>
    <x v="3"/>
    <x v="1"/>
    <n v="6"/>
    <n v="-0.95387953284974436"/>
    <n v="17.007231238764128"/>
    <s v="Normal"/>
    <n v="-1.4713108800584991"/>
    <n v="7.0603531133077126"/>
    <x v="0"/>
  </r>
  <r>
    <x v="3"/>
    <x v="0"/>
    <n v="6"/>
    <n v="-0.41495574673538188"/>
    <n v="33.908714955400143"/>
    <s v="Normal"/>
    <n v="-1.823700644263857"/>
    <n v="3.4098670705639202"/>
    <x v="1"/>
  </r>
  <r>
    <x v="3"/>
    <x v="0"/>
    <n v="6"/>
    <n v="-0.54555495821280986"/>
    <n v="29.268594645056485"/>
    <s v="Normal"/>
    <n v="-0.6412329106916631"/>
    <n v="26.068568512934881"/>
    <x v="0"/>
  </r>
  <r>
    <x v="3"/>
    <x v="1"/>
    <n v="6"/>
    <n v="0.61339786493946635"/>
    <n v="73.0193351278904"/>
    <s v="Normal"/>
    <n v="-1.58856985547086"/>
    <n v="5.6078769167621338"/>
    <x v="0"/>
  </r>
  <r>
    <x v="3"/>
    <x v="1"/>
    <n v="6"/>
    <n v="-2.5208274307548595"/>
    <n v="0.58539627332319788"/>
    <s v="Desnutricion"/>
    <n v="-2.1965308952989084"/>
    <n v="1.4026983157248973"/>
    <x v="1"/>
  </r>
  <r>
    <x v="3"/>
    <x v="1"/>
    <n v="5"/>
    <n v="-0.19615046250424198"/>
    <n v="42.224619998627603"/>
    <s v="Normal"/>
    <n v="-1.6892160355265684"/>
    <n v="4.5589018543779245"/>
    <x v="1"/>
  </r>
  <r>
    <x v="3"/>
    <x v="0"/>
    <n v="6"/>
    <n v="-1.1516014491664313"/>
    <n v="12.474244281325797"/>
    <s v="Normal"/>
    <n v="-1.5785796533550576"/>
    <n v="5.7216252318618652"/>
    <x v="0"/>
  </r>
  <r>
    <x v="3"/>
    <x v="1"/>
    <n v="6"/>
    <n v="0.212939402931688"/>
    <n v="58.431288599212735"/>
    <s v="Normal"/>
    <n v="-0.48695253376379172"/>
    <n v="31.314598443946405"/>
    <x v="0"/>
  </r>
  <r>
    <x v="3"/>
    <x v="1"/>
    <n v="6"/>
    <n v="1.9841477757223556"/>
    <n v="97.638031576916319"/>
    <s v="Alto"/>
    <n v="-1.3536858103695399"/>
    <n v="8.7918318520048011"/>
    <x v="0"/>
  </r>
  <r>
    <x v="3"/>
    <x v="0"/>
    <n v="6"/>
    <n v="-0.61028419087743091"/>
    <n v="27.083678375208336"/>
    <s v="Normal"/>
    <n v="-2.5017874902020218"/>
    <n v="0.61784035791575598"/>
    <x v="1"/>
  </r>
  <r>
    <x v="3"/>
    <x v="0"/>
    <n v="6"/>
    <n v="1.630628032756013"/>
    <n v="94.851558480253857"/>
    <s v="Normal"/>
    <n v="-1.0149952497906631"/>
    <n v="15.505404592688807"/>
    <x v="0"/>
  </r>
  <r>
    <x v="3"/>
    <x v="1"/>
    <n v="6"/>
    <n v="-1.1700810988310337"/>
    <n v="12.098416701208818"/>
    <s v="Normal"/>
    <n v="-9.0025042409134226E-2"/>
    <n v="46.413365732983813"/>
    <x v="0"/>
  </r>
  <r>
    <x v="3"/>
    <x v="0"/>
    <n v="6"/>
    <n v="0.56689319401605742"/>
    <n v="71.460662576089177"/>
    <s v="Normal"/>
    <n v="-0.7196514427286389"/>
    <n v="23.586981503808541"/>
    <x v="0"/>
  </r>
  <r>
    <x v="3"/>
    <x v="1"/>
    <n v="6"/>
    <n v="0.71056037611537526"/>
    <n v="76.132164771867878"/>
    <s v="Normal"/>
    <n v="-0.77962024952508646"/>
    <n v="21.780721661183492"/>
    <x v="0"/>
  </r>
  <r>
    <x v="3"/>
    <x v="0"/>
    <n v="6"/>
    <n v="0.29132588192748249"/>
    <n v="61.45989527143287"/>
    <s v="Normal"/>
    <n v="-1.2946529744569908"/>
    <n v="9.7719984531577424"/>
    <x v="0"/>
  </r>
  <r>
    <x v="3"/>
    <x v="0"/>
    <n v="5"/>
    <n v="0.56214821705856122"/>
    <n v="71.299248046176842"/>
    <s v="Normal"/>
    <n v="-0.99060846443420458"/>
    <n v="16.093840146221279"/>
    <x v="0"/>
  </r>
  <r>
    <x v="3"/>
    <x v="1"/>
    <n v="5"/>
    <n v="0.84456377394689619"/>
    <n v="80.082277883765414"/>
    <s v="Normal"/>
    <n v="0.7964232090296004"/>
    <n v="78.710695362571968"/>
    <x v="0"/>
  </r>
  <r>
    <x v="3"/>
    <x v="0"/>
    <n v="6"/>
    <n v="0.17742992716514014"/>
    <n v="57.041464912427372"/>
    <s v="Normal"/>
    <n v="-1.684449787570395"/>
    <n v="4.6047387875448509"/>
    <x v="1"/>
  </r>
  <r>
    <x v="3"/>
    <x v="0"/>
    <n v="6"/>
    <n v="-0.10689348990141691"/>
    <n v="45.743673895312568"/>
    <s v="Normal"/>
    <n v="-1.05532998205599"/>
    <n v="14.563721667478951"/>
    <x v="0"/>
  </r>
  <r>
    <x v="3"/>
    <x v="1"/>
    <n v="6"/>
    <n v="-1.2586464062583185"/>
    <n v="10.407903864451699"/>
    <s v="Normal"/>
    <n v="-1.6560883705780167"/>
    <n v="4.8851962042845045"/>
    <x v="1"/>
  </r>
  <r>
    <x v="3"/>
    <x v="0"/>
    <n v="6"/>
    <n v="0.19318415336292494"/>
    <n v="57.659262562120929"/>
    <s v="Normal"/>
    <n v="-1.7372627455491434"/>
    <n v="4.1170402073573076"/>
    <x v="1"/>
  </r>
  <r>
    <x v="3"/>
    <x v="0"/>
    <n v="5"/>
    <n v="-0.53052210128022403"/>
    <n v="29.78749947816538"/>
    <s v="Normal"/>
    <n v="0.62408025191826766"/>
    <n v="73.371255880487567"/>
    <x v="0"/>
  </r>
  <r>
    <x v="3"/>
    <x v="1"/>
    <n v="6"/>
    <n v="-0.36627407113532234"/>
    <n v="35.708028776585778"/>
    <s v="Normal"/>
    <n v="-1.2644465681754677"/>
    <n v="10.303489365346859"/>
    <x v="0"/>
  </r>
  <r>
    <x v="3"/>
    <x v="0"/>
    <n v="6"/>
    <n v="0.27706301118125604"/>
    <n v="60.913413840554199"/>
    <s v="Normal"/>
    <n v="-1.9517409968195727"/>
    <n v="2.5484481300882185"/>
    <x v="1"/>
  </r>
  <r>
    <x v="3"/>
    <x v="1"/>
    <n v="6"/>
    <n v="-0.75801104561160371"/>
    <n v="22.422218513677358"/>
    <s v="Normal"/>
    <n v="-0.1990421446739479"/>
    <n v="42.111488871069405"/>
    <x v="0"/>
  </r>
  <r>
    <x v="3"/>
    <x v="0"/>
    <n v="5"/>
    <n v="-0.33161609450149321"/>
    <n v="37.008958250973713"/>
    <s v="Normal"/>
    <n v="-1.1510182455369857"/>
    <n v="12.486236471272349"/>
    <x v="0"/>
  </r>
  <r>
    <x v="3"/>
    <x v="1"/>
    <n v="6"/>
    <n v="-1.2797823836950899"/>
    <n v="10.031084055229632"/>
    <s v="Normal"/>
    <n v="-1.7514641743215669"/>
    <n v="3.9932993577604403"/>
    <x v="1"/>
  </r>
  <r>
    <x v="3"/>
    <x v="0"/>
    <n v="7"/>
    <n v="1.7590863988474952"/>
    <n v="96.071858263968807"/>
    <s v="Alto"/>
    <n v="1.3526390574554881"/>
    <n v="91.191451580148382"/>
    <x v="0"/>
  </r>
  <r>
    <x v="3"/>
    <x v="1"/>
    <n v="6"/>
    <n v="2.1622048610085467"/>
    <n v="98.469880548371393"/>
    <s v="Alto"/>
    <n v="-1.098947752137807"/>
    <n v="13.589542810912555"/>
    <x v="0"/>
  </r>
  <r>
    <x v="3"/>
    <x v="0"/>
    <n v="6"/>
    <n v="-1.6383840902634794"/>
    <n v="5.0670797940563279"/>
    <s v="Normal"/>
    <n v="-1.2632771714609095"/>
    <n v="10.324479368017665"/>
    <x v="0"/>
  </r>
  <r>
    <x v="3"/>
    <x v="0"/>
    <n v="7"/>
    <n v="6.61972484897453E-2"/>
    <n v="52.638960632064745"/>
    <s v="Normal"/>
    <n v="-0.2587521264673508"/>
    <n v="39.791324882575729"/>
    <x v="0"/>
  </r>
  <r>
    <x v="3"/>
    <x v="0"/>
    <n v="7"/>
    <n v="-0.66488463128092945"/>
    <n v="25.306214318074844"/>
    <s v="Normal"/>
    <n v="-0.64514797825414649"/>
    <n v="25.941564727696907"/>
    <x v="0"/>
  </r>
  <r>
    <x v="3"/>
    <x v="0"/>
    <n v="7"/>
    <n v="-0.23370490872529148"/>
    <n v="40.760703833311425"/>
    <s v="Normal"/>
    <n v="-4.0451399848090439"/>
    <n v="2.6145934203358132E-3"/>
    <x v="1"/>
  </r>
  <r>
    <x v="3"/>
    <x v="0"/>
    <n v="7"/>
    <n v="1.3065776966316867"/>
    <n v="90.432191226418297"/>
    <s v="Normal"/>
    <n v="-1.526879421093482"/>
    <n v="6.339549883514958"/>
    <x v="0"/>
  </r>
  <r>
    <x v="3"/>
    <x v="0"/>
    <n v="7"/>
    <n v="-0.77961686557016974"/>
    <n v="21.780821282306878"/>
    <s v="Normal"/>
    <n v="-2.6453847299302566"/>
    <n v="0.40799041466387981"/>
    <x v="1"/>
  </r>
  <r>
    <x v="3"/>
    <x v="0"/>
    <n v="7"/>
    <n v="0.40581392263037702"/>
    <n v="65.756033596982675"/>
    <s v="Normal"/>
    <n v="-0.55139177290538077"/>
    <n v="29.068256961088125"/>
    <x v="0"/>
  </r>
  <r>
    <x v="3"/>
    <x v="1"/>
    <n v="7"/>
    <n v="-0.79107504517717742"/>
    <n v="21.445010023415193"/>
    <s v="Normal"/>
    <n v="-0.64349802644643883"/>
    <n v="25.995049746953789"/>
    <x v="0"/>
  </r>
  <r>
    <x v="3"/>
    <x v="1"/>
    <n v="7"/>
    <n v="-0.51720860410298564"/>
    <n v="30.250527320234756"/>
    <s v="Normal"/>
    <n v="-0.7336420060491492"/>
    <n v="23.158347624567888"/>
    <x v="0"/>
  </r>
  <r>
    <x v="3"/>
    <x v="1"/>
    <n v="7"/>
    <n v="-0.31330802490340465"/>
    <n v="37.702332692771677"/>
    <s v="Normal"/>
    <n v="-0.47660106212495235"/>
    <n v="31.682311347311444"/>
    <x v="0"/>
  </r>
  <r>
    <x v="3"/>
    <x v="1"/>
    <n v="7"/>
    <n v="0.99603894484217037"/>
    <n v="84.038438843186242"/>
    <s v="Normal"/>
    <n v="-0.91883308691979271"/>
    <n v="17.909144166967998"/>
    <x v="0"/>
  </r>
  <r>
    <x v="3"/>
    <x v="1"/>
    <n v="7"/>
    <n v="-0.70639896334762187"/>
    <n v="23.997003268664525"/>
    <s v="Normal"/>
    <n v="-2.3005776085062344"/>
    <n v="1.0707758948231161"/>
    <x v="1"/>
  </r>
  <r>
    <x v="3"/>
    <x v="1"/>
    <n v="6"/>
    <n v="-1.6813417565690345"/>
    <n v="4.6348275784594835"/>
    <s v="Desnutricion"/>
    <n v="-1.6560883705780167"/>
    <n v="4.8851962042845045"/>
    <x v="1"/>
  </r>
  <r>
    <x v="3"/>
    <x v="0"/>
    <n v="8"/>
    <n v="-0.16602346048835437"/>
    <n v="43.406924379261994"/>
    <s v="Normal"/>
    <n v="-0.68963087565141745"/>
    <n v="24.521317283405736"/>
    <x v="0"/>
  </r>
  <r>
    <x v="3"/>
    <x v="0"/>
    <n v="8"/>
    <n v="-1.3133065112379985"/>
    <n v="9.4539842679487318"/>
    <s v="Normal"/>
    <n v="-0.88265402572048923"/>
    <n v="18.871161450548712"/>
    <x v="0"/>
  </r>
  <r>
    <x v="3"/>
    <x v="1"/>
    <n v="7"/>
    <n v="-2.3916320452694682"/>
    <n v="0.83868245304184763"/>
    <s v="Desnutricion"/>
    <n v="-2.2423058176079675"/>
    <n v="1.2470807012294169"/>
    <x v="1"/>
  </r>
  <r>
    <x v="3"/>
    <x v="0"/>
    <n v="8"/>
    <n v="-2.0979924910418788"/>
    <n v="1.7952904348930629"/>
    <s v="Desnutricion"/>
    <n v="-1.2548319975218831"/>
    <n v="10.476987712922796"/>
    <x v="0"/>
  </r>
  <r>
    <x v="3"/>
    <x v="1"/>
    <n v="8"/>
    <n v="-1.4957079713051564"/>
    <n v="6.7364886069583241"/>
    <s v="Normal"/>
    <n v="-1.2949353193842263"/>
    <n v="9.7671271577250511"/>
    <x v="0"/>
  </r>
  <r>
    <x v="3"/>
    <x v="0"/>
    <n v="7"/>
    <n v="-0.27631471798675322"/>
    <n v="39.115317624362845"/>
    <s v="Normal"/>
    <n v="-1.2273641282371863"/>
    <n v="10.984288130982886"/>
    <x v="0"/>
  </r>
  <r>
    <x v="3"/>
    <x v="0"/>
    <n v="8"/>
    <n v="-1.0710449366256951"/>
    <n v="14.207461245193739"/>
    <s v="Normal"/>
    <n v="-1.9343090272812833"/>
    <n v="2.6537571993343856"/>
    <x v="1"/>
  </r>
  <r>
    <x v="3"/>
    <x v="0"/>
    <n v="8"/>
    <n v="0.42161047149011194"/>
    <n v="66.334531911918731"/>
    <s v="Normal"/>
    <n v="-1.5629810082253919"/>
    <n v="5.9028530973571964"/>
    <x v="0"/>
  </r>
  <r>
    <x v="3"/>
    <x v="1"/>
    <n v="8"/>
    <n v="1.2006945297436887E-2"/>
    <n v="50.478996304511583"/>
    <s v="Normal"/>
    <n v="0.15434658209953905"/>
    <n v="56.133176493295565"/>
    <x v="0"/>
  </r>
  <r>
    <x v="3"/>
    <x v="1"/>
    <n v="8"/>
    <n v="-1.9150253999603546"/>
    <n v="2.7744632216557048"/>
    <s v="Desnutricion"/>
    <n v="-0.13939629451240709"/>
    <n v="44.456850016236231"/>
    <x v="0"/>
  </r>
  <r>
    <x v="3"/>
    <x v="0"/>
    <n v="8"/>
    <n v="0.59298304796961854"/>
    <n v="72.34037513742382"/>
    <s v="Normal"/>
    <n v="-0.13951170204580543"/>
    <n v="44.452290473701652"/>
    <x v="0"/>
  </r>
  <r>
    <x v="3"/>
    <x v="1"/>
    <n v="8"/>
    <n v="3.220501028983698E-2"/>
    <n v="51.284571969014571"/>
    <s v="Normal"/>
    <n v="-3.5125790171084151E-2"/>
    <n v="48.598971825775806"/>
    <x v="0"/>
  </r>
  <r>
    <x v="3"/>
    <x v="1"/>
    <n v="8"/>
    <n v="3.220501028983698E-2"/>
    <n v="51.284571969014571"/>
    <s v="Normal"/>
    <n v="-1.1031729138973292"/>
    <n v="13.497604076161249"/>
    <x v="0"/>
  </r>
  <r>
    <x v="3"/>
    <x v="0"/>
    <n v="8"/>
    <n v="0.33607478291570914"/>
    <n v="63.159276305231174"/>
    <s v="Normal"/>
    <n v="-1.6090734369609043"/>
    <n v="5.3800142380494007"/>
    <x v="0"/>
  </r>
  <r>
    <x v="3"/>
    <x v="0"/>
    <n v="8"/>
    <n v="-0.58098018780060001"/>
    <n v="28.062690321212703"/>
    <s v="Normal"/>
    <n v="-0.99350853339432521"/>
    <n v="16.023109699233189"/>
    <x v="0"/>
  </r>
  <r>
    <x v="3"/>
    <x v="0"/>
    <n v="8"/>
    <n v="0.67718792797972793"/>
    <n v="75.085663691838775"/>
    <s v="Normal"/>
    <n v="-2.0810083814800646"/>
    <n v="1.8716569447293556"/>
    <x v="1"/>
  </r>
  <r>
    <x v="3"/>
    <x v="1"/>
    <n v="8"/>
    <n v="-0.30166698612300724"/>
    <n v="38.145296885554686"/>
    <s v="Normal"/>
    <n v="-0.40640878181368839"/>
    <n v="34.222113410770085"/>
    <x v="0"/>
  </r>
  <r>
    <x v="3"/>
    <x v="0"/>
    <n v="8"/>
    <n v="-0.84371915114966745"/>
    <n v="19.941318160798076"/>
    <s v="Normal"/>
    <n v="-0.43989233784572818"/>
    <n v="33.000754280557274"/>
    <x v="0"/>
  </r>
  <r>
    <x v="3"/>
    <x v="0"/>
    <n v="8"/>
    <n v="0.66977728703659012"/>
    <n v="74.850011271610484"/>
    <s v="Normal"/>
    <n v="-0.25843846036675949"/>
    <n v="39.803426869567289"/>
    <x v="0"/>
  </r>
  <r>
    <x v="3"/>
    <x v="0"/>
    <n v="8"/>
    <n v="8.4356169373759393E-2"/>
    <n v="53.3613372602344"/>
    <s v="Normal"/>
    <n v="-1.3687621564938435"/>
    <n v="8.5536816923383956"/>
    <x v="0"/>
  </r>
  <r>
    <x v="3"/>
    <x v="1"/>
    <n v="8"/>
    <n v="-1.6045333056949733"/>
    <n v="5.429827457475648"/>
    <s v="Normal"/>
    <n v="-0.90875896776351162"/>
    <n v="18.17386850234746"/>
    <x v="0"/>
  </r>
  <r>
    <x v="3"/>
    <x v="1"/>
    <n v="7"/>
    <n v="-6.5141728859479109E-2"/>
    <n v="47.403057807193534"/>
    <s v="Normal"/>
    <n v="-0.59597362035337287"/>
    <n v="27.559642482751105"/>
    <x v="0"/>
  </r>
  <r>
    <x v="3"/>
    <x v="1"/>
    <n v="7"/>
    <n v="7.2281137860061281E-2"/>
    <n v="52.881091238243492"/>
    <s v="Normal"/>
    <n v="-1.3284113585817752"/>
    <n v="9.2021124555012737"/>
    <x v="0"/>
  </r>
  <r>
    <x v="3"/>
    <x v="1"/>
    <n v="6"/>
    <n v="0.42385206973847728"/>
    <n v="66.416314939265675"/>
    <s v="Normal"/>
    <n v="0.50545699537019351"/>
    <n v="69.338105197802818"/>
    <x v="0"/>
  </r>
  <r>
    <x v="3"/>
    <x v="1"/>
    <n v="6"/>
    <n v="-0.23982833424249264"/>
    <n v="40.523167017248106"/>
    <s v="Normal"/>
    <n v="-1.1239650859487014"/>
    <n v="13.051391891309095"/>
    <x v="0"/>
  </r>
  <r>
    <x v="3"/>
    <x v="0"/>
    <n v="7"/>
    <n v="1.564148812738331"/>
    <n v="94.110868754957878"/>
    <s v="Normal"/>
    <n v="-1.5062503521426041"/>
    <n v="6.6001458977757528"/>
    <x v="0"/>
  </r>
  <r>
    <x v="3"/>
    <x v="0"/>
    <n v="7"/>
    <n v="-1.4287477893612748"/>
    <n v="7.6538368399733461"/>
    <s v="Normal"/>
    <n v="-1.0784942512943891"/>
    <n v="14.04066229288255"/>
    <x v="0"/>
  </r>
  <r>
    <x v="3"/>
    <x v="0"/>
    <n v="6"/>
    <n v="-0.34465060142624099"/>
    <n v="36.517852972022347"/>
    <s v="Normal"/>
    <n v="-1.3537745906753984"/>
    <n v="8.7904151261252839"/>
    <x v="0"/>
  </r>
  <r>
    <x v="3"/>
    <x v="0"/>
    <n v="7"/>
    <n v="-0.74681185984923282"/>
    <n v="22.758856781345909"/>
    <s v="Normal"/>
    <n v="-2.137347450586748"/>
    <n v="1.6284871065690674"/>
    <x v="1"/>
  </r>
  <r>
    <x v="3"/>
    <x v="0"/>
    <n v="7"/>
    <n v="-0.58247154436659376"/>
    <n v="28.012455157564411"/>
    <s v="Normal"/>
    <n v="-1.8935303808310331"/>
    <n v="2.9143685976793465"/>
    <x v="1"/>
  </r>
  <r>
    <x v="3"/>
    <x v="1"/>
    <n v="7"/>
    <n v="-0.62496322156117412"/>
    <n v="26.599759843552071"/>
    <s v="Normal"/>
    <n v="-1.6011525987573034"/>
    <n v="5.4671562324416483"/>
    <x v="0"/>
  </r>
  <r>
    <x v="3"/>
    <x v="1"/>
    <n v="6"/>
    <n v="0.51810219721473039"/>
    <n v="69.780651634261034"/>
    <s v="Normal"/>
    <n v="-0.77962024952508646"/>
    <n v="21.780721661183492"/>
    <x v="0"/>
  </r>
  <r>
    <x v="3"/>
    <x v="0"/>
    <n v="6"/>
    <n v="-2.6359146453575364"/>
    <n v="0.41955417875598627"/>
    <s v="Desnutricion"/>
    <n v="0.17921892315666321"/>
    <n v="57.11170971264815"/>
    <x v="0"/>
  </r>
  <r>
    <x v="3"/>
    <x v="0"/>
    <n v="7"/>
    <n v="1.564148812738331"/>
    <n v="94.110868754957878"/>
    <s v="Normal"/>
    <n v="-0.50452567228027023"/>
    <n v="30.694601323155112"/>
    <x v="0"/>
  </r>
  <r>
    <x v="3"/>
    <x v="0"/>
    <n v="7"/>
    <n v="-0.55517436829932187"/>
    <n v="28.938769953683675"/>
    <s v="Normal"/>
    <n v="-2.3734794490320406"/>
    <n v="0.88106868151052087"/>
    <x v="1"/>
  </r>
  <r>
    <x v="3"/>
    <x v="0"/>
    <n v="7"/>
    <n v="2.0468565890862207"/>
    <n v="97.966391625281545"/>
    <s v="Alto"/>
    <n v="-1.2083788178027466"/>
    <n v="11.345079184732208"/>
    <x v="0"/>
  </r>
  <r>
    <x v="3"/>
    <x v="0"/>
    <n v="6"/>
    <n v="0.67336483463434915"/>
    <n v="74.964239261456484"/>
    <s v="Normal"/>
    <n v="-8.3948597728730701E-2"/>
    <n v="46.654865024873736"/>
    <x v="0"/>
  </r>
  <r>
    <x v="3"/>
    <x v="0"/>
    <n v="7"/>
    <n v="2.0353705655043459"/>
    <n v="97.909319963934635"/>
    <s v="Alto"/>
    <n v="0.36407348162629055"/>
    <n v="64.209843074619485"/>
    <x v="0"/>
  </r>
  <r>
    <x v="3"/>
    <x v="1"/>
    <n v="7"/>
    <n v="-1.1425634765452815"/>
    <n v="12.660993851236407"/>
    <s v="Normal"/>
    <n v="-0.77613743824663461"/>
    <n v="21.88339202569292"/>
    <x v="0"/>
  </r>
  <r>
    <x v="3"/>
    <x v="1"/>
    <n v="6"/>
    <n v="0.42385206973847728"/>
    <n v="66.416314939265675"/>
    <s v="Normal"/>
    <n v="-0.77962024952508646"/>
    <n v="21.780721661183492"/>
    <x v="0"/>
  </r>
  <r>
    <x v="3"/>
    <x v="1"/>
    <n v="7"/>
    <n v="-0.85250312339965584"/>
    <n v="19.696745309378297"/>
    <s v="Normal"/>
    <n v="0.56092598398245996"/>
    <n v="71.257600217759887"/>
    <x v="0"/>
  </r>
  <r>
    <x v="3"/>
    <x v="1"/>
    <n v="7"/>
    <n v="0.71741060173254012"/>
    <n v="76.343961004076704"/>
    <s v="Normal"/>
    <n v="-1.6256487054302686"/>
    <n v="5.2012203881254448"/>
    <x v="0"/>
  </r>
  <r>
    <x v="3"/>
    <x v="1"/>
    <n v="7"/>
    <n v="-0.18125124095433801"/>
    <n v="42.808518806493105"/>
    <s v="Normal"/>
    <n v="-1.6002569752093097"/>
    <n v="5.4770793654197512"/>
    <x v="0"/>
  </r>
  <r>
    <x v="3"/>
    <x v="1"/>
    <n v="7"/>
    <n v="-1.1677015815795611"/>
    <n v="12.146357931326019"/>
    <s v="Normal"/>
    <n v="-1.7452436849849895"/>
    <n v="4.0471229997195977"/>
    <x v="1"/>
  </r>
  <r>
    <x v="3"/>
    <x v="1"/>
    <n v="6"/>
    <n v="0.71753264286939189"/>
    <n v="76.347724889512008"/>
    <s v="Normal"/>
    <n v="-1.2334782503873891"/>
    <n v="10.869869319235935"/>
    <x v="0"/>
  </r>
  <r>
    <x v="3"/>
    <x v="1"/>
    <n v="6"/>
    <n v="-0.23982833424249264"/>
    <n v="40.523167017248106"/>
    <s v="Normal"/>
    <n v="-0.31640576377336022"/>
    <n v="37.584727133249544"/>
    <x v="0"/>
  </r>
  <r>
    <x v="3"/>
    <x v="1"/>
    <n v="7"/>
    <n v="-0.12625845779689318"/>
    <n v="44.976366945676958"/>
    <s v="Normal"/>
    <n v="-0.99685437745038152"/>
    <n v="15.941759963992505"/>
    <x v="0"/>
  </r>
  <r>
    <x v="3"/>
    <x v="0"/>
    <n v="7"/>
    <n v="-1.8928467703625289"/>
    <n v="2.9189124864264415"/>
    <s v="Desnutricion"/>
    <n v="-1.89836580239955"/>
    <n v="2.8823955619677371"/>
    <x v="1"/>
  </r>
  <r>
    <x v="3"/>
    <x v="0"/>
    <n v="7"/>
    <n v="-1.4603036529601865"/>
    <n v="7.2103319275707651"/>
    <s v="Normal"/>
    <n v="-1.0298485283894496"/>
    <n v="15.154055803356069"/>
    <x v="0"/>
  </r>
  <r>
    <x v="3"/>
    <x v="0"/>
    <n v="6"/>
    <n v="-0.34465060142624099"/>
    <n v="36.517852972022347"/>
    <s v="Normal"/>
    <n v="-1.7710487085968503"/>
    <n v="3.8276301118862195"/>
    <x v="1"/>
  </r>
  <r>
    <x v="3"/>
    <x v="0"/>
    <n v="7"/>
    <n v="0.4005176729795133"/>
    <n v="65.561236536577169"/>
    <s v="Normal"/>
    <n v="-0.90853638241886403"/>
    <n v="18.179745033655408"/>
    <x v="0"/>
  </r>
  <r>
    <x v="3"/>
    <x v="0"/>
    <n v="6"/>
    <n v="-0.79742604536204686"/>
    <n v="21.260181891250703"/>
    <s v="Normal"/>
    <n v="0.45363106822109717"/>
    <n v="67.495280589704151"/>
    <x v="0"/>
  </r>
  <r>
    <x v="3"/>
    <x v="0"/>
    <n v="6"/>
    <n v="0.1218182546357016"/>
    <n v="54.847852174308699"/>
    <s v="Normal"/>
    <n v="-1.381177684977311"/>
    <n v="8.3612167119447527"/>
    <x v="0"/>
  </r>
  <r>
    <x v="3"/>
    <x v="0"/>
    <n v="7"/>
    <n v="-0.49949532341071279"/>
    <n v="30.871524026627057"/>
    <s v="Normal"/>
    <n v="-2.4449393038232463"/>
    <n v="0.72438260645559827"/>
    <x v="1"/>
  </r>
  <r>
    <x v="3"/>
    <x v="1"/>
    <n v="7"/>
    <n v="0.36446706782026667"/>
    <n v="64.224536939328985"/>
    <s v="Normal"/>
    <n v="-0.99214720593328909"/>
    <n v="16.05628608531562"/>
    <x v="0"/>
  </r>
  <r>
    <x v="3"/>
    <x v="1"/>
    <n v="7"/>
    <n v="-0.2267335866530461"/>
    <n v="41.031545439582182"/>
    <s v="Normal"/>
    <n v="0.26662184885344892"/>
    <n v="60.511983426667527"/>
    <x v="0"/>
  </r>
  <r>
    <x v="3"/>
    <x v="1"/>
    <n v="6"/>
    <n v="0.33101029058095705"/>
    <n v="62.968164372110472"/>
    <s v="Normal"/>
    <n v="-0.56986739212235282"/>
    <n v="28.438382130125095"/>
    <x v="0"/>
  </r>
  <r>
    <x v="3"/>
    <x v="1"/>
    <n v="7"/>
    <n v="-0.74924978202010695"/>
    <n v="22.685333464171674"/>
    <s v="Normal"/>
    <n v="-1.4332142682597524"/>
    <n v="7.5898306657461401"/>
    <x v="0"/>
  </r>
  <r>
    <x v="3"/>
    <x v="0"/>
    <n v="6"/>
    <n v="-0.71428874109402618"/>
    <n v="23.752432639489314"/>
    <s v="Normal"/>
    <n v="-1.5966231632149328"/>
    <n v="5.5174866230992849"/>
    <x v="0"/>
  </r>
  <r>
    <x v="3"/>
    <x v="0"/>
    <n v="6"/>
    <n v="-0.79742604536204686"/>
    <n v="21.260181891250703"/>
    <s v="Normal"/>
    <n v="-2.3968322140694061"/>
    <n v="0.82687472393489725"/>
    <x v="1"/>
  </r>
  <r>
    <x v="3"/>
    <x v="1"/>
    <n v="7"/>
    <n v="0.80898937773565893"/>
    <n v="79.07393718699754"/>
    <s v="Normal"/>
    <n v="-1.0967461971309826"/>
    <n v="13.637617779417353"/>
    <x v="0"/>
  </r>
  <r>
    <x v="3"/>
    <x v="0"/>
    <n v="6"/>
    <n v="1.6883591667465629"/>
    <n v="95.432884807435101"/>
    <s v="Alto"/>
    <n v="-1.5387940636864426"/>
    <n v="6.1927289786532187"/>
    <x v="0"/>
  </r>
  <r>
    <x v="3"/>
    <x v="1"/>
    <n v="6"/>
    <n v="-0.43010787585030746"/>
    <n v="33.355858559162158"/>
    <s v="Normal"/>
    <n v="-0.1763591010728148"/>
    <n v="43.000591680899511"/>
    <x v="0"/>
  </r>
  <r>
    <x v="3"/>
    <x v="1"/>
    <n v="7"/>
    <n v="-1.4356054275424708"/>
    <n v="7.5557324723698267"/>
    <s v="Normal"/>
    <n v="-1.7522105940360444"/>
    <n v="3.9868801328916623"/>
    <x v="1"/>
  </r>
  <r>
    <x v="3"/>
    <x v="1"/>
    <n v="7"/>
    <n v="0.62193981062914749"/>
    <n v="73.300927684163568"/>
    <s v="Normal"/>
    <n v="-1.2786419093095494"/>
    <n v="10.05115923335743"/>
    <x v="0"/>
  </r>
  <r>
    <x v="3"/>
    <x v="1"/>
    <n v="7"/>
    <n v="0.62193981062914749"/>
    <n v="73.300927684163568"/>
    <s v="Normal"/>
    <n v="-1.385152720115099"/>
    <n v="8.3002887111040931"/>
    <x v="0"/>
  </r>
  <r>
    <x v="3"/>
    <x v="0"/>
    <n v="7"/>
    <n v="-1.1469263443865076"/>
    <n v="12.570603181891752"/>
    <s v="Normal"/>
    <n v="0.38480082906457097"/>
    <n v="64.980750758373091"/>
    <x v="0"/>
  </r>
  <r>
    <x v="3"/>
    <x v="1"/>
    <n v="7"/>
    <n v="-1.0351853586641016"/>
    <n v="15.029117754276161"/>
    <s v="Normal"/>
    <n v="-0.42285659037804618"/>
    <n v="33.619994810214997"/>
    <x v="0"/>
  </r>
  <r>
    <x v="3"/>
    <x v="0"/>
    <n v="7"/>
    <n v="0.15666482597304815"/>
    <n v="56.224549524384692"/>
    <s v="Normal"/>
    <n v="-1.8598235547289328"/>
    <n v="3.1455246837001973"/>
    <x v="1"/>
  </r>
  <r>
    <x v="3"/>
    <x v="1"/>
    <n v="7"/>
    <n v="-1.2433953940120481"/>
    <n v="10.686108338135039"/>
    <s v="Normal"/>
    <n v="-0.6234534338277079"/>
    <n v="26.649329686498735"/>
    <x v="0"/>
  </r>
  <r>
    <x v="3"/>
    <x v="1"/>
    <n v="8"/>
    <n v="3.220501028983698E-2"/>
    <n v="51.284571969014571"/>
    <s v="Normal"/>
    <n v="0.36151941530740339"/>
    <n v="64.114440314587"/>
    <x v="0"/>
  </r>
  <r>
    <x v="3"/>
    <x v="1"/>
    <n v="8"/>
    <n v="0.71127744655428016"/>
    <n v="76.154383767694796"/>
    <s v="Normal"/>
    <n v="-0.2839785073191427"/>
    <n v="38.821342577926721"/>
    <x v="0"/>
  </r>
  <r>
    <x v="3"/>
    <x v="0"/>
    <n v="8"/>
    <n v="-0.58098018780060001"/>
    <n v="28.062690321212703"/>
    <s v="Normal"/>
    <n v="-1.6566929398120429"/>
    <n v="4.8790785569900326"/>
    <x v="1"/>
  </r>
  <r>
    <x v="3"/>
    <x v="1"/>
    <n v="8"/>
    <n v="-1.1507622027809281"/>
    <n v="12.491503922813383"/>
    <s v="Normal"/>
    <n v="-0.85030378801783268"/>
    <n v="19.757810554864257"/>
    <x v="0"/>
  </r>
  <r>
    <x v="3"/>
    <x v="1"/>
    <n v="8"/>
    <n v="-0.10515339267014054"/>
    <n v="45.812704643738513"/>
    <s v="Normal"/>
    <n v="-1.5922706935501181"/>
    <n v="5.5661947449578797"/>
    <x v="0"/>
  </r>
  <r>
    <x v="3"/>
    <x v="1"/>
    <n v="8"/>
    <n v="-1.1507622027809281"/>
    <n v="12.491503922813383"/>
    <s v="Normal"/>
    <n v="-1.4071748733362246"/>
    <n v="7.9687770214492426"/>
    <x v="0"/>
  </r>
  <r>
    <x v="3"/>
    <x v="1"/>
    <n v="8"/>
    <n v="-8.0785204169758363E-3"/>
    <n v="49.677717169758807"/>
    <s v="Normal"/>
    <n v="-1.4080466585012346"/>
    <n v="7.9558627192624689"/>
    <x v="0"/>
  </r>
  <r>
    <x v="3"/>
    <x v="1"/>
    <n v="8"/>
    <n v="-0.74579951630025032"/>
    <n v="22.789426610046533"/>
    <s v="Normal"/>
    <n v="-1.4777710734899836"/>
    <n v="6.9734531674744709"/>
    <x v="0"/>
  </r>
  <r>
    <x v="3"/>
    <x v="0"/>
    <n v="7"/>
    <n v="-0.89301575006078837"/>
    <n v="18.59243691215368"/>
    <s v="Normal"/>
    <n v="0.33930509652015151"/>
    <n v="63.28100481601264"/>
    <x v="0"/>
  </r>
  <r>
    <x v="3"/>
    <x v="1"/>
    <n v="7"/>
    <n v="-0.34374024090075989"/>
    <n v="36.552082265171343"/>
    <s v="Normal"/>
    <n v="-5.8898565479825263E-2"/>
    <n v="47.65164503255798"/>
    <x v="0"/>
  </r>
  <r>
    <x v="3"/>
    <x v="0"/>
    <n v="8"/>
    <n v="-2.0240996963775419"/>
    <n v="2.1479947431373159"/>
    <s v="Desnutricion"/>
    <n v="-1.1353780200860497"/>
    <n v="12.810848251304105"/>
    <x v="0"/>
  </r>
  <r>
    <x v="3"/>
    <x v="1"/>
    <n v="8"/>
    <n v="0.6612753854212744"/>
    <n v="74.578213805017782"/>
    <s v="Normal"/>
    <n v="-0.43733248626695914"/>
    <n v="33.093511940776104"/>
    <x v="0"/>
  </r>
  <r>
    <x v="3"/>
    <x v="0"/>
    <n v="8"/>
    <n v="-0.17895604500987727"/>
    <n v="42.898610772940835"/>
    <s v="Normal"/>
    <n v="-2.2503322025326953"/>
    <n v="1.221393260211395"/>
    <x v="1"/>
  </r>
  <r>
    <x v="3"/>
    <x v="1"/>
    <n v="8"/>
    <n v="1.0232644435598164"/>
    <n v="84.690858477926156"/>
    <s v="Normal"/>
    <n v="-0.5440796369664278"/>
    <n v="29.31933362271668"/>
    <x v="0"/>
  </r>
  <r>
    <x v="3"/>
    <x v="0"/>
    <n v="8"/>
    <n v="-9.0649702744721908E-2"/>
    <n v="46.388546869803029"/>
    <s v="Normal"/>
    <n v="-1.10301115143285"/>
    <n v="13.501116124179614"/>
    <x v="0"/>
  </r>
  <r>
    <x v="3"/>
    <x v="0"/>
    <n v="8"/>
    <n v="1.276615798683959"/>
    <n v="89.913103928984398"/>
    <s v="Normal"/>
    <n v="-0.59983138383362089"/>
    <n v="27.430930764719974"/>
    <x v="0"/>
  </r>
  <r>
    <x v="3"/>
    <x v="0"/>
    <n v="8"/>
    <n v="-0.94519064113764739"/>
    <n v="17.228077828794184"/>
    <s v="Normal"/>
    <n v="-1.0899752229645032"/>
    <n v="13.786202926679058"/>
    <x v="0"/>
  </r>
  <r>
    <x v="3"/>
    <x v="1"/>
    <n v="8"/>
    <n v="-0.65389652214146177"/>
    <n v="25.658923737614899"/>
    <s v="Normal"/>
    <n v="-0.86721005143803109"/>
    <n v="19.291346496324902"/>
    <x v="0"/>
  </r>
  <r>
    <x v="3"/>
    <x v="0"/>
    <n v="8"/>
    <n v="2.0528442093343191"/>
    <n v="97.995615533590254"/>
    <s v="Alto"/>
    <n v="-1.0903858429707807"/>
    <n v="13.777160769193941"/>
    <x v="0"/>
  </r>
  <r>
    <x v="3"/>
    <x v="1"/>
    <n v="8"/>
    <n v="-0.65389652214146177"/>
    <n v="25.658923737614899"/>
    <s v="Normal"/>
    <n v="4.127059534698501E-2"/>
    <n v="51.645991269791857"/>
    <x v="0"/>
  </r>
  <r>
    <x v="3"/>
    <x v="0"/>
    <n v="8"/>
    <n v="0.84733137361670063"/>
    <n v="80.159477795412869"/>
    <s v="Normal"/>
    <n v="-0.78387260022447136"/>
    <n v="21.655743431555575"/>
    <x v="0"/>
  </r>
  <r>
    <x v="3"/>
    <x v="0"/>
    <n v="8"/>
    <n v="-0.17352930020515261"/>
    <n v="43.11176994956687"/>
    <s v="Normal"/>
    <n v="-1.6566929398120429"/>
    <n v="4.8790785569900326"/>
    <x v="1"/>
  </r>
  <r>
    <x v="3"/>
    <x v="1"/>
    <n v="8"/>
    <n v="-1.1507622027809281"/>
    <n v="12.491503922813383"/>
    <s v="Normal"/>
    <n v="-2.0324318947511872"/>
    <n v="2.1054975970270706"/>
    <x v="1"/>
  </r>
  <r>
    <x v="3"/>
    <x v="1"/>
    <n v="7"/>
    <n v="0.21082494305002958"/>
    <n v="58.34880628872461"/>
    <s v="Normal"/>
    <n v="-0.91883308691979271"/>
    <n v="17.909144166967998"/>
    <x v="0"/>
  </r>
  <r>
    <x v="3"/>
    <x v="0"/>
    <n v="8"/>
    <n v="-7.2791023680143282E-3"/>
    <n v="49.709608394621057"/>
    <s v="Normal"/>
    <n v="-2.2779504927103944"/>
    <n v="1.136476370749812"/>
    <x v="1"/>
  </r>
  <r>
    <x v="3"/>
    <x v="0"/>
    <n v="8"/>
    <n v="-0.52230993029359829"/>
    <n v="30.072727812082334"/>
    <s v="Normal"/>
    <n v="-1.5024974281613379"/>
    <n v="6.6484345822764066"/>
    <x v="0"/>
  </r>
  <r>
    <x v="3"/>
    <x v="1"/>
    <n v="8"/>
    <n v="1.2833659259600396"/>
    <n v="90.031804714749512"/>
    <s v="Normal"/>
    <n v="0.29652297974256903"/>
    <n v="61.65846398342898"/>
    <x v="0"/>
  </r>
  <r>
    <x v="3"/>
    <x v="1"/>
    <n v="8"/>
    <n v="0.13011627640528184"/>
    <n v="55.176278355753048"/>
    <s v="Normal"/>
    <n v="-0.53321408922011848"/>
    <n v="29.694269480555636"/>
    <x v="0"/>
  </r>
  <r>
    <x v="3"/>
    <x v="1"/>
    <n v="8"/>
    <n v="-1.1092549779653615"/>
    <n v="13.36601006976657"/>
    <s v="Normal"/>
    <n v="-45.330926481621709"/>
    <n v="0"/>
    <x v="1"/>
  </r>
  <r>
    <x v="3"/>
    <x v="0"/>
    <n v="9"/>
    <n v="-0.24482029883436127"/>
    <n v="40.329778796247354"/>
    <s v="Normal"/>
    <n v="-0.93995573349505623"/>
    <n v="17.36201336626506"/>
    <x v="0"/>
  </r>
  <r>
    <x v="3"/>
    <x v="0"/>
    <n v="9"/>
    <n v="-0.24482029883436127"/>
    <n v="40.329778796247354"/>
    <s v="Normal"/>
    <n v="-0.83662861015338752"/>
    <n v="20.140067932244047"/>
    <x v="0"/>
  </r>
  <r>
    <x v="3"/>
    <x v="0"/>
    <n v="9"/>
    <n v="-1.2110890746573957"/>
    <n v="11.293063406764576"/>
    <s v="Normal"/>
    <n v="-2.3158087916841823"/>
    <n v="1.0284355499245028"/>
    <x v="1"/>
  </r>
  <r>
    <x v="3"/>
    <x v="0"/>
    <n v="9"/>
    <n v="0.32147360733456298"/>
    <n v="62.607424501381089"/>
    <s v="Normal"/>
    <n v="-0.99556735357076798"/>
    <n v="15.973020175495495"/>
    <x v="0"/>
  </r>
  <r>
    <x v="3"/>
    <x v="0"/>
    <n v="9"/>
    <n v="0.57368770025196025"/>
    <n v="71.691042349729301"/>
    <s v="Normal"/>
    <n v="-2.1854298165739392"/>
    <n v="1.4428673333492772"/>
    <x v="1"/>
  </r>
  <r>
    <x v="3"/>
    <x v="0"/>
    <n v="9"/>
    <n v="0.56744406997767871"/>
    <n v="71.479374218247457"/>
    <s v="Normal"/>
    <n v="-0.28393387205448645"/>
    <n v="38.823052905728098"/>
    <x v="0"/>
  </r>
  <r>
    <x v="3"/>
    <x v="0"/>
    <n v="8"/>
    <n v="-0.82673978663923176"/>
    <n v="20.419228261921191"/>
    <s v="Normal"/>
    <n v="-1.3447403486905045"/>
    <n v="8.9354549868501802"/>
    <x v="0"/>
  </r>
  <r>
    <x v="3"/>
    <x v="0"/>
    <n v="9"/>
    <n v="-1.0452341464070878"/>
    <n v="14.795738265013586"/>
    <s v="Normal"/>
    <n v="-0.73804412250142259"/>
    <n v="23.024381868966586"/>
    <x v="0"/>
  </r>
  <r>
    <x v="3"/>
    <x v="1"/>
    <n v="8"/>
    <n v="0.54150933748817309"/>
    <n v="70.592171828755937"/>
    <s v="Normal"/>
    <n v="-0.19840513211189742"/>
    <n v="42.136405120827725"/>
    <x v="0"/>
  </r>
  <r>
    <x v="3"/>
    <x v="0"/>
    <n v="9"/>
    <n v="0.57368770025196025"/>
    <n v="71.691042349729301"/>
    <s v="Normal"/>
    <n v="-1.4040342201443687"/>
    <n v="8.0154329863485163"/>
    <x v="0"/>
  </r>
  <r>
    <x v="3"/>
    <x v="0"/>
    <n v="9"/>
    <n v="-0.16281353638495782"/>
    <n v="43.533262499507117"/>
    <s v="Normal"/>
    <n v="-0.18322090111831629"/>
    <n v="42.731234761854999"/>
    <x v="0"/>
  </r>
  <r>
    <x v="3"/>
    <x v="0"/>
    <n v="8"/>
    <n v="0.65882259763876827"/>
    <n v="74.499515279183285"/>
    <s v="Normal"/>
    <n v="1.2234514609591334E-2"/>
    <n v="50.488074339664934"/>
    <x v="0"/>
  </r>
  <r>
    <x v="3"/>
    <x v="0"/>
    <n v="8"/>
    <n v="-0.65593014161240959"/>
    <n v="25.593453672680756"/>
    <s v="Normal"/>
    <n v="-1.0837332184790498"/>
    <n v="13.924155128414577"/>
    <x v="0"/>
  </r>
  <r>
    <x v="3"/>
    <x v="0"/>
    <n v="9"/>
    <n v="0.23831408907715468"/>
    <n v="59.418125269778663"/>
    <s v="Normal"/>
    <n v="-1.1990960978322018"/>
    <n v="11.524529062283356"/>
    <x v="0"/>
  </r>
  <r>
    <x v="3"/>
    <x v="0"/>
    <n v="9"/>
    <n v="0.23314426228526869"/>
    <n v="59.217530728271562"/>
    <s v="Normal"/>
    <n v="-0.13688216160100475"/>
    <n v="44.556196954271307"/>
    <x v="0"/>
  </r>
  <r>
    <x v="3"/>
    <x v="1"/>
    <n v="9"/>
    <n v="-9.9108936235136405E-2"/>
    <n v="46.052588846696537"/>
    <s v="Normal"/>
    <n v="-2.0637321293971045"/>
    <n v="1.9521560632430217"/>
    <x v="1"/>
  </r>
  <r>
    <x v="3"/>
    <x v="0"/>
    <n v="9"/>
    <n v="0.15071046937844887"/>
    <n v="55.98979428982345"/>
    <s v="Normal"/>
    <n v="0.25170901203479568"/>
    <n v="59.936700467777285"/>
    <x v="0"/>
  </r>
  <r>
    <x v="3"/>
    <x v="1"/>
    <n v="7"/>
    <n v="3.2823471376583348E-2"/>
    <n v="51.309231957832303"/>
    <s v="Normal"/>
    <n v="-0.57759661039999144"/>
    <n v="28.176824796786676"/>
    <x v="0"/>
  </r>
  <r>
    <x v="3"/>
    <x v="1"/>
    <n v="9"/>
    <n v="-0.19097265594165122"/>
    <n v="42.427350813109207"/>
    <s v="Normal"/>
    <n v="-1.5735993118265394"/>
    <n v="5.7790056229727975"/>
    <x v="0"/>
  </r>
  <r>
    <x v="3"/>
    <x v="1"/>
    <n v="9"/>
    <n v="0.60120028928447222"/>
    <n v="72.61467040862388"/>
    <s v="Normal"/>
    <n v="-1.7405689779939355"/>
    <n v="4.0879579668998876"/>
    <x v="1"/>
  </r>
  <r>
    <x v="3"/>
    <x v="0"/>
    <n v="9"/>
    <n v="-2.0163130545099222"/>
    <n v="2.1883625344283537"/>
    <s v="Desnutricion"/>
    <n v="-2.2261283970245822"/>
    <n v="1.3002791170046404"/>
    <x v="1"/>
  </r>
  <r>
    <x v="3"/>
    <x v="0"/>
    <n v="9"/>
    <n v="0.31607673084814658"/>
    <n v="62.402786593151149"/>
    <s v="Normal"/>
    <n v="-1.6414041696236255"/>
    <n v="5.0356772463965411"/>
    <x v="0"/>
  </r>
  <r>
    <x v="3"/>
    <x v="0"/>
    <n v="9"/>
    <n v="-0.81036184752004081"/>
    <n v="20.886611938829958"/>
    <s v="Normal"/>
    <n v="-1.2728057150542316"/>
    <n v="10.15434963450805"/>
    <x v="0"/>
  </r>
  <r>
    <x v="3"/>
    <x v="1"/>
    <n v="9"/>
    <n v="-2.1097895244839338"/>
    <n v="1.7438244587711795"/>
    <s v="Desnutricion"/>
    <n v="-1.0878598246858566"/>
    <n v="13.832849716311443"/>
    <x v="0"/>
  </r>
  <r>
    <x v="3"/>
    <x v="0"/>
    <n v="8"/>
    <n v="-1.2360876882438003"/>
    <n v="10.821298538608563"/>
    <s v="Normal"/>
    <n v="-0.88265402572048923"/>
    <n v="18.871161450548712"/>
    <x v="0"/>
  </r>
  <r>
    <x v="3"/>
    <x v="1"/>
    <n v="8"/>
    <n v="0.72451703450151561"/>
    <n v="76.562581345907532"/>
    <s v="Normal"/>
    <n v="-0.66194689969106779"/>
    <n v="25.400262660197075"/>
    <x v="0"/>
  </r>
  <r>
    <x v="3"/>
    <x v="1"/>
    <n v="9"/>
    <n v="-1.2871462810243259"/>
    <n v="9.9021653401519565"/>
    <s v="Normal"/>
    <n v="-0.4964151630108935"/>
    <n v="30.980076460404383"/>
    <x v="0"/>
  </r>
  <r>
    <x v="3"/>
    <x v="1"/>
    <n v="9"/>
    <n v="-0.73118609421763059"/>
    <n v="23.23327463731157"/>
    <s v="Normal"/>
    <n v="-1.6826451482406846"/>
    <n v="4.6221903052231417"/>
    <x v="1"/>
  </r>
  <r>
    <x v="3"/>
    <x v="0"/>
    <n v="8"/>
    <n v="-0.24583117853516676"/>
    <n v="40.290646027303865"/>
    <s v="Normal"/>
    <n v="-2.302546498881759"/>
    <n v="1.0652186162327328"/>
    <x v="1"/>
  </r>
  <r>
    <x v="3"/>
    <x v="0"/>
    <n v="8"/>
    <n v="0.4143398279372541"/>
    <n v="66.068737524182936"/>
    <s v="Normal"/>
    <n v="-0.97434648250860079"/>
    <n v="16.494226619295311"/>
    <x v="0"/>
  </r>
  <r>
    <x v="3"/>
    <x v="1"/>
    <n v="8"/>
    <n v="-0.11567806070851852"/>
    <n v="45.395384726148741"/>
    <s v="Normal"/>
    <n v="-0.64056850082928241"/>
    <n v="26.090153515056759"/>
    <x v="0"/>
  </r>
  <r>
    <x v="3"/>
    <x v="1"/>
    <n v="9"/>
    <n v="-0.55427775401662149"/>
    <n v="28.969438623630161"/>
    <s v="Normal"/>
    <n v="-1.957341309940581"/>
    <n v="2.5153676861963614"/>
    <x v="1"/>
  </r>
  <r>
    <x v="3"/>
    <x v="1"/>
    <n v="10"/>
    <n v="-0.12740777377898166"/>
    <n v="44.930883189904186"/>
    <s v="Normal"/>
    <n v="-1.3418815842768506"/>
    <n v="8.9817196871915606"/>
    <x v="0"/>
  </r>
  <r>
    <x v="3"/>
    <x v="1"/>
    <n v="10"/>
    <n v="-0.29954366622628681"/>
    <n v="38.226262985968653"/>
    <s v="Normal"/>
    <n v="0.14598589323453445"/>
    <n v="55.8033737657899"/>
    <x v="0"/>
  </r>
  <r>
    <x v="3"/>
    <x v="0"/>
    <n v="10"/>
    <n v="0.36951987798720987"/>
    <n v="64.41298702699585"/>
    <s v="Normal"/>
    <n v="-1.5251109384176658"/>
    <n v="6.3615714686586404"/>
    <x v="0"/>
  </r>
  <r>
    <x v="3"/>
    <x v="0"/>
    <n v="9"/>
    <n v="-0.17519375353300354"/>
    <n v="43.046369619343857"/>
    <s v="Normal"/>
    <n v="-2.4233367573487619"/>
    <n v="0.76893316261221056"/>
    <x v="1"/>
  </r>
  <r>
    <x v="3"/>
    <x v="0"/>
    <n v="10"/>
    <n v="1.6022740201017596"/>
    <n v="94.545248597526083"/>
    <s v="Normal"/>
    <n v="-26.024676827577245"/>
    <n v="1.3018965177299046E-147"/>
    <x v="1"/>
  </r>
  <r>
    <x v="3"/>
    <x v="0"/>
    <n v="9"/>
    <n v="-1.5112359888017823"/>
    <n v="6.5364168092147343"/>
    <s v="Normal"/>
    <n v="-1.3462518395577612"/>
    <n v="8.9110655931514486"/>
    <x v="0"/>
  </r>
  <r>
    <x v="3"/>
    <x v="0"/>
    <n v="9"/>
    <n v="0.22062310428577941"/>
    <n v="58.730704515345856"/>
    <s v="Normal"/>
    <n v="-0.4583810966921617"/>
    <n v="32.33393350667145"/>
    <x v="0"/>
  </r>
  <r>
    <x v="3"/>
    <x v="0"/>
    <n v="9"/>
    <n v="-2.2147019436727216"/>
    <n v="1.3390264685427828"/>
    <s v="Desnutricion"/>
    <n v="-2.5779435167287992"/>
    <n v="0.49695121350116095"/>
    <x v="1"/>
  </r>
  <r>
    <x v="3"/>
    <x v="0"/>
    <n v="11"/>
    <n v="-0.54695508939070769"/>
    <n v="29.220479343283923"/>
    <s v="Normal"/>
    <n v="-1.3372263169986387"/>
    <n v="9.0574387010937425"/>
    <x v="0"/>
  </r>
  <r>
    <x v="3"/>
    <x v="0"/>
    <n v="11"/>
    <n v="0.78264969804314499"/>
    <n v="78.308357566799543"/>
    <s v="Normal"/>
    <n v="-0.57838312620413257"/>
    <n v="28.150274178653461"/>
    <x v="0"/>
  </r>
  <r>
    <x v="3"/>
    <x v="0"/>
    <n v="11"/>
    <n v="0.13004420699078983"/>
    <n v="55.173427424536115"/>
    <s v="Normal"/>
    <n v="-1.8096703476049472"/>
    <n v="3.5173461762512312"/>
    <x v="1"/>
  </r>
  <r>
    <x v="3"/>
    <x v="0"/>
    <n v="11"/>
    <n v="-0.99015668520199362"/>
    <n v="16.104877012926"/>
    <s v="Normal"/>
    <n v="-0.9491187872439979"/>
    <n v="17.128010009782464"/>
    <x v="0"/>
  </r>
  <r>
    <x v="3"/>
    <x v="0"/>
    <n v="11"/>
    <n v="1.1050667774972223"/>
    <n v="86.543467255183117"/>
    <s v="Normal"/>
    <n v="-1.2452915567919574"/>
    <n v="10.651229906024193"/>
    <x v="0"/>
  </r>
  <r>
    <x v="3"/>
    <x v="0"/>
    <n v="11"/>
    <n v="0.87417448274492882"/>
    <n v="80.898837994562086"/>
    <s v="Normal"/>
    <n v="-0.5884416472578522"/>
    <n v="27.811794516974743"/>
    <x v="0"/>
  </r>
  <r>
    <x v="3"/>
    <x v="0"/>
    <n v="11"/>
    <n v="0.43953996876108403"/>
    <n v="66.986483612514164"/>
    <s v="Normal"/>
    <n v="-0.63006226413998978"/>
    <n v="26.432692386170377"/>
    <x v="0"/>
  </r>
  <r>
    <x v="3"/>
    <x v="1"/>
    <n v="11"/>
    <n v="6.9264247556456895E-2"/>
    <n v="52.761035815960497"/>
    <s v="Normal"/>
    <n v="-1.1586283019696633"/>
    <n v="12.330386371180049"/>
    <x v="0"/>
  </r>
  <r>
    <x v="3"/>
    <x v="1"/>
    <n v="11"/>
    <n v="1.0907870143614924"/>
    <n v="86.231669413814231"/>
    <s v="Normal"/>
    <n v="-1.2880589442331849"/>
    <n v="9.8862722714879592"/>
    <x v="0"/>
  </r>
  <r>
    <x v="3"/>
    <x v="1"/>
    <n v="10"/>
    <n v="-0.17860703049505014"/>
    <n v="42.912313686254613"/>
    <s v="Normal"/>
    <n v="-0.88567679038822478"/>
    <n v="18.789585931867048"/>
    <x v="0"/>
  </r>
  <r>
    <x v="3"/>
    <x v="1"/>
    <n v="10"/>
    <n v="-0.64818258459662226"/>
    <n v="25.843343226295957"/>
    <s v="Normal"/>
    <n v="-0.29661414069363973"/>
    <n v="38.338055688525365"/>
    <x v="0"/>
  </r>
  <r>
    <x v="3"/>
    <x v="1"/>
    <n v="11"/>
    <n v="1.3043766112685957"/>
    <n v="90.394739714500801"/>
    <s v="Normal"/>
    <n v="-0.58165256758666006"/>
    <n v="28.040036346182546"/>
    <x v="0"/>
  </r>
  <r>
    <x v="3"/>
    <x v="1"/>
    <n v="11"/>
    <n v="0.50625122623439178"/>
    <n v="69.36598510740437"/>
    <s v="Normal"/>
    <n v="-0.99964269805178541"/>
    <n v="15.874172598829611"/>
    <x v="0"/>
  </r>
  <r>
    <x v="3"/>
    <x v="1"/>
    <n v="11"/>
    <n v="2.0541578032572874"/>
    <n v="98.001978950773989"/>
    <s v="Alto"/>
    <n v="-1.2220018283563789"/>
    <n v="11.085346778648633"/>
    <x v="0"/>
  </r>
  <r>
    <x v="3"/>
    <x v="1"/>
    <n v="11"/>
    <n v="-0.16530508186935369"/>
    <n v="43.435192954783481"/>
    <s v="Normal"/>
    <n v="-1.0505764274614131"/>
    <n v="14.672658609723896"/>
    <x v="0"/>
  </r>
  <r>
    <x v="3"/>
    <x v="1"/>
    <n v="10"/>
    <n v="0.41046976197617463"/>
    <n v="65.926930970827243"/>
    <s v="Normal"/>
    <n v="-1.18112689525278"/>
    <n v="11.877615852694392"/>
    <x v="0"/>
  </r>
  <r>
    <x v="3"/>
    <x v="1"/>
    <n v="10"/>
    <n v="-1.0779374962304551"/>
    <n v="14.053082528440028"/>
    <s v="Normal"/>
    <n v="-1.0694355994243516"/>
    <n v="14.24367166693759"/>
    <x v="0"/>
  </r>
  <r>
    <x v="3"/>
    <x v="0"/>
    <n v="11"/>
    <n v="-0.91173817906500387"/>
    <n v="18.095328038246461"/>
    <s v="Normal"/>
    <n v="-1.6518049781971667"/>
    <n v="4.9287156770057212"/>
    <x v="1"/>
  </r>
  <r>
    <x v="3"/>
    <x v="0"/>
    <n v="11"/>
    <n v="-8.8809469309322875E-2"/>
    <n v="46.461666600502966"/>
    <s v="Normal"/>
    <n v="-0.56995314228313965"/>
    <n v="28.435473984957895"/>
    <x v="0"/>
  </r>
  <r>
    <x v="3"/>
    <x v="0"/>
    <n v="10"/>
    <n v="-1.728726789060977"/>
    <n v="4.1929002212457736"/>
    <s v="Desnutricion"/>
    <n v="-0.79554824511177402"/>
    <n v="21.314732928400431"/>
    <x v="0"/>
  </r>
  <r>
    <x v="3"/>
    <x v="0"/>
    <n v="11"/>
    <n v="-7.9217637014703413E-2"/>
    <n v="46.842975818408163"/>
    <s v="Normal"/>
    <n v="-2.6096972044492501"/>
    <n v="0.45311198227622285"/>
    <x v="1"/>
  </r>
  <r>
    <x v="3"/>
    <x v="1"/>
    <n v="11"/>
    <n v="1.5354845599285853"/>
    <n v="93.766757657191718"/>
    <s v="Normal"/>
    <n v="-1.4909433635011742"/>
    <n v="6.7988182589724371"/>
    <x v="0"/>
  </r>
  <r>
    <x v="3"/>
    <x v="1"/>
    <n v="11"/>
    <n v="-0.9731320230348891"/>
    <n v="16.524384512405351"/>
    <s v="Normal"/>
    <n v="-0.25309734933604705"/>
    <n v="40.009649356749797"/>
    <x v="0"/>
  </r>
  <r>
    <x v="3"/>
    <x v="1"/>
    <n v="10"/>
    <n v="-2.8718619539148543E-2"/>
    <n v="48.854450312360967"/>
    <s v="Normal"/>
    <n v="-1.2115386940868684"/>
    <n v="11.284450712198884"/>
    <x v="0"/>
  </r>
  <r>
    <x v="3"/>
    <x v="1"/>
    <n v="11"/>
    <n v="0.1318458832022916"/>
    <n v="55.244690311867771"/>
    <s v="Normal"/>
    <n v="-0.49155395058302709"/>
    <n v="31.151735196734371"/>
    <x v="0"/>
  </r>
  <r>
    <x v="3"/>
    <x v="1"/>
    <n v="10"/>
    <n v="0.71294186099697376"/>
    <n v="76.205913289990988"/>
    <s v="Normal"/>
    <n v="-0.22132135614805964"/>
    <n v="41.24211112315416"/>
    <x v="0"/>
  </r>
  <r>
    <x v="3"/>
    <x v="1"/>
    <n v="11"/>
    <n v="0.94961534370324729"/>
    <n v="82.884613042035483"/>
    <s v="Normal"/>
    <n v="-1.3298797306027823"/>
    <n v="9.177895038122184"/>
    <x v="0"/>
  </r>
  <r>
    <x v="3"/>
    <x v="1"/>
    <n v="11"/>
    <n v="1.0975189872984887"/>
    <n v="86.379270738469287"/>
    <s v="Normal"/>
    <n v="-0.84835680741834862"/>
    <n v="19.811964476551619"/>
    <x v="0"/>
  </r>
  <r>
    <x v="3"/>
    <x v="1"/>
    <n v="11"/>
    <n v="1.1667317712884884"/>
    <n v="87.834064597420706"/>
    <s v="Normal"/>
    <n v="-1.0567429216942898"/>
    <n v="14.531446518505128"/>
    <x v="0"/>
  </r>
  <r>
    <x v="3"/>
    <x v="0"/>
    <n v="11"/>
    <n v="-9.7208853299697889E-2"/>
    <n v="46.128026871448014"/>
    <s v="Normal"/>
    <n v="-0.42178974109158968"/>
    <n v="33.658924722099925"/>
    <x v="0"/>
  </r>
  <r>
    <x v="3"/>
    <x v="0"/>
    <n v="10"/>
    <n v="9.2998300419165708E-2"/>
    <n v="53.704754427931114"/>
    <s v="Normal"/>
    <n v="-0.99069926320800616"/>
    <n v="16.091622548248253"/>
    <x v="0"/>
  </r>
  <r>
    <x v="3"/>
    <x v="0"/>
    <n v="11"/>
    <n v="-0.17480723742030388"/>
    <n v="43.061555063336414"/>
    <s v="Normal"/>
    <n v="-1.5898856785512485"/>
    <n v="5.5930288198704119"/>
    <x v="0"/>
  </r>
  <r>
    <x v="3"/>
    <x v="0"/>
    <n v="11"/>
    <n v="-3.877095390171609"/>
    <n v="5.2855460282553611E-3"/>
    <s v="Desnutricion"/>
    <n v="-1.4955005601214912"/>
    <n v="6.7391926917991105"/>
    <x v="0"/>
  </r>
  <r>
    <x v="3"/>
    <x v="0"/>
    <n v="11"/>
    <n v="-0.83498212356341395"/>
    <n v="20.186388680691998"/>
    <s v="Normal"/>
    <n v="-0.33710955272804816"/>
    <n v="36.801715822923555"/>
    <x v="0"/>
  </r>
  <r>
    <x v="3"/>
    <x v="0"/>
    <n v="11"/>
    <n v="0.5765223724432742"/>
    <n v="71.786892384152154"/>
    <s v="Normal"/>
    <n v="-1.5205307477214942"/>
    <n v="6.4188818498322542"/>
    <x v="0"/>
  </r>
  <r>
    <x v="3"/>
    <x v="0"/>
    <n v="10"/>
    <n v="1.1556625232957434"/>
    <n v="87.609038848271013"/>
    <s v="Normal"/>
    <n v="-0.94336073138699583"/>
    <n v="17.274821085366458"/>
    <x v="0"/>
  </r>
  <r>
    <x v="3"/>
    <x v="0"/>
    <n v="6"/>
    <n v="-1.7244329968939307"/>
    <n v="4.2314852524537478"/>
    <s v="Desnutricion"/>
    <n v="-0.7196514427286389"/>
    <n v="23.586981503808541"/>
    <x v="0"/>
  </r>
  <r>
    <x v="3"/>
    <x v="0"/>
    <n v="6"/>
    <n v="-1.4249183959844971"/>
    <n v="7.7090395668449041"/>
    <s v="Normal"/>
    <n v="-1.3580790696885945"/>
    <n v="8.7219297916357856"/>
    <x v="0"/>
  </r>
  <r>
    <x v="3"/>
    <x v="0"/>
    <n v="6"/>
    <n v="0.47914477299026131"/>
    <n v="68.408218008120713"/>
    <s v="Normal"/>
    <n v="-0.97959606342077532"/>
    <n v="16.364277444152382"/>
    <x v="0"/>
  </r>
  <r>
    <x v="3"/>
    <x v="1"/>
    <n v="5"/>
    <n v="0.11132572704840477"/>
    <n v="54.432097251476222"/>
    <s v="Normal"/>
    <n v="-0.47442832586698863"/>
    <n v="31.759724888035713"/>
    <x v="0"/>
  </r>
  <r>
    <x v="3"/>
    <x v="1"/>
    <n v="6"/>
    <n v="-1.9029268865925002"/>
    <n v="2.8525043055317134"/>
    <s v="Desnutricion"/>
    <n v="-50.092415434976282"/>
    <n v="0"/>
    <x v="1"/>
  </r>
  <r>
    <x v="3"/>
    <x v="1"/>
    <n v="5"/>
    <n v="-0.29979384521168606"/>
    <n v="38.216720516623802"/>
    <s v="Normal"/>
    <n v="0.82980233180768836"/>
    <n v="79.667472388085983"/>
    <x v="0"/>
  </r>
  <r>
    <x v="3"/>
    <x v="1"/>
    <n v="5"/>
    <n v="-1.2234389432009878"/>
    <n v="11.058197603949713"/>
    <s v="Normal"/>
    <n v="-0.89474865102173939"/>
    <n v="18.546073259994323"/>
    <x v="0"/>
  </r>
  <r>
    <x v="3"/>
    <x v="1"/>
    <n v="5"/>
    <n v="-0.71330259722779321"/>
    <n v="23.782926533835031"/>
    <s v="Normal"/>
    <n v="-2.4508812877855322E-3"/>
    <n v="49.902224080892815"/>
    <x v="0"/>
  </r>
  <r>
    <x v="3"/>
    <x v="1"/>
    <n v="5"/>
    <n v="-0.29713410435282889"/>
    <n v="38.318206399995312"/>
    <s v="Normal"/>
    <n v="0.22017937267416324"/>
    <n v="58.713426966323112"/>
    <x v="0"/>
  </r>
  <r>
    <x v="3"/>
    <x v="1"/>
    <n v="6"/>
    <n v="-0.26302339034765504"/>
    <n v="39.626627539150803"/>
    <s v="Normal"/>
    <n v="-0.14165732623690222"/>
    <n v="44.367534182991534"/>
    <x v="0"/>
  </r>
  <r>
    <x v="3"/>
    <x v="1"/>
    <n v="6"/>
    <n v="-0.16072756619205489"/>
    <n v="43.615398850882094"/>
    <s v="Normal"/>
    <n v="-1.2067494532365608"/>
    <n v="11.376432381586062"/>
    <x v="0"/>
  </r>
  <r>
    <x v="3"/>
    <x v="1"/>
    <n v="6"/>
    <n v="-0.56214255837346561"/>
    <n v="28.700944708732912"/>
    <s v="Normal"/>
    <n v="-2.1610495555843214"/>
    <n v="1.5345755808819324"/>
    <x v="1"/>
  </r>
  <r>
    <x v="3"/>
    <x v="0"/>
    <n v="7"/>
    <n v="-0.90839489847226518"/>
    <n v="18.183481004523692"/>
    <s v="Normal"/>
    <n v="-1.8935303808310331"/>
    <n v="2.9143685976793465"/>
    <x v="1"/>
  </r>
  <r>
    <x v="3"/>
    <x v="0"/>
    <n v="6"/>
    <n v="-0.27213079126086148"/>
    <n v="39.276072731347611"/>
    <s v="Normal"/>
    <n v="-1.0869213675695961"/>
    <n v="13.853578108987"/>
    <x v="0"/>
  </r>
  <r>
    <x v="3"/>
    <x v="0"/>
    <n v="6"/>
    <n v="-1.211225246574763"/>
    <n v="11.290454467501711"/>
    <s v="Normal"/>
    <n v="-1.6662606248169013E-2"/>
    <n v="49.335288945402041"/>
    <x v="0"/>
  </r>
  <r>
    <x v="3"/>
    <x v="0"/>
    <n v="6"/>
    <n v="-0.20879107232362731"/>
    <n v="41.730567049975519"/>
    <s v="Normal"/>
    <n v="3.7636446632641839E-2"/>
    <n v="51.50112258566687"/>
    <x v="0"/>
  </r>
  <r>
    <x v="3"/>
    <x v="0"/>
    <n v="6"/>
    <n v="0.17742992716514014"/>
    <n v="57.041464912427372"/>
    <s v="Normal"/>
    <n v="-1.9879118988122686"/>
    <n v="2.3410717271577512"/>
    <x v="1"/>
  </r>
  <r>
    <x v="3"/>
    <x v="1"/>
    <n v="6"/>
    <n v="-0.39598082278089197"/>
    <n v="34.605958778750292"/>
    <s v="Normal"/>
    <n v="-1.5880862706434249"/>
    <n v="5.6133416216224408"/>
    <x v="0"/>
  </r>
  <r>
    <x v="3"/>
    <x v="0"/>
    <n v="5"/>
    <n v="1.4585379665070666"/>
    <n v="92.765384094469269"/>
    <s v="Normal"/>
    <n v="-0.60852140766700957"/>
    <n v="27.14208560120916"/>
    <x v="0"/>
  </r>
  <r>
    <x v="3"/>
    <x v="0"/>
    <n v="7"/>
    <n v="-0.81268284298324978"/>
    <n v="20.819996025336728"/>
    <s v="Normal"/>
    <n v="-1.2083788178027466"/>
    <n v="11.345079184732208"/>
    <x v="0"/>
  </r>
  <r>
    <x v="3"/>
    <x v="1"/>
    <n v="8"/>
    <n v="-2.9641712613873783"/>
    <n v="0.15174966292112738"/>
    <s v="Desnutricion"/>
    <n v="-2.4478135726592165"/>
    <n v="0.71863000112102082"/>
    <x v="1"/>
  </r>
  <r>
    <x v="3"/>
    <x v="1"/>
    <n v="5"/>
    <n v="-0.19615046250424198"/>
    <n v="42.224619998627603"/>
    <s v="Normal"/>
    <n v="9.0132146339575656E-3"/>
    <n v="50.359570371510017"/>
    <x v="0"/>
  </r>
  <r>
    <x v="3"/>
    <x v="0"/>
    <n v="6"/>
    <n v="0.10350699086469869"/>
    <n v="54.121969930478109"/>
    <s v="Normal"/>
    <n v="-1.6185689939979411"/>
    <n v="5.2770015432088053"/>
    <x v="0"/>
  </r>
  <r>
    <x v="3"/>
    <x v="0"/>
    <n v="6"/>
    <n v="-0.93974998814578248"/>
    <n v="17.36729087369784"/>
    <s v="Normal"/>
    <n v="-1.5113243100648266"/>
    <n v="6.5352921574870004"/>
    <x v="0"/>
  </r>
  <r>
    <x v="3"/>
    <x v="0"/>
    <n v="10"/>
    <n v="-1.1934623643046909"/>
    <n v="11.634417164410845"/>
    <s v="Normal"/>
    <n v="-1.1405543671422154"/>
    <n v="12.702770805687818"/>
    <x v="0"/>
  </r>
  <r>
    <x v="3"/>
    <x v="1"/>
    <n v="6"/>
    <n v="-0.58814659874371178"/>
    <n v="27.821694877581315"/>
    <s v="Normal"/>
    <n v="-1.181548552597488"/>
    <n v="11.869243876403855"/>
    <x v="0"/>
  </r>
  <r>
    <x v="3"/>
    <x v="0"/>
    <n v="6"/>
    <n v="-8.4311900198080145E-2"/>
    <n v="46.640422555109453"/>
    <s v="Normal"/>
    <n v="-0.76793832504086779"/>
    <n v="22.126191350594475"/>
    <x v="0"/>
  </r>
  <r>
    <x v="3"/>
    <x v="1"/>
    <n v="6"/>
    <n v="-0.43010787585030746"/>
    <n v="33.355858559162158"/>
    <s v="Normal"/>
    <n v="-0.33647165986643079"/>
    <n v="36.825760959223956"/>
    <x v="0"/>
  </r>
  <r>
    <x v="3"/>
    <x v="1"/>
    <n v="6"/>
    <n v="0.71156937379658669"/>
    <n v="76.163426119887006"/>
    <s v="Normal"/>
    <n v="-6.929275923827885E-2"/>
    <n v="47.237829458836153"/>
    <x v="0"/>
  </r>
  <r>
    <x v="3"/>
    <x v="1"/>
    <n v="7"/>
    <n v="0.34541578607697576"/>
    <n v="63.51090944522123"/>
    <s v="Normal"/>
    <n v="-0.30241293823836507"/>
    <n v="38.116864646111971"/>
    <x v="0"/>
  </r>
  <r>
    <x v="3"/>
    <x v="0"/>
    <n v="7"/>
    <n v="-1.8673389527508482"/>
    <n v="3.0927134507507263"/>
    <s v="Desnutricion"/>
    <n v="-1.8658525119138842"/>
    <n v="3.1031001558232698"/>
    <x v="1"/>
  </r>
  <r>
    <x v="3"/>
    <x v="0"/>
    <n v="7"/>
    <n v="5.9529734521651598E-2"/>
    <n v="52.37349086287044"/>
    <s v="Normal"/>
    <n v="-1.5136019832673309"/>
    <n v="6.5063408912232319"/>
    <x v="0"/>
  </r>
  <r>
    <x v="3"/>
    <x v="1"/>
    <n v="7"/>
    <n v="0.18256096489539675"/>
    <n v="57.242874248759904"/>
    <s v="Normal"/>
    <n v="-0.96150531220404567"/>
    <n v="16.814907788448117"/>
    <x v="0"/>
  </r>
  <r>
    <x v="3"/>
    <x v="1"/>
    <n v="7"/>
    <n v="0.64142628514840128"/>
    <n v="73.937712008737137"/>
    <s v="Normal"/>
    <n v="-1.0521021909762518"/>
    <n v="14.6376333523082"/>
    <x v="0"/>
  </r>
  <r>
    <x v="3"/>
    <x v="1"/>
    <n v="7"/>
    <n v="-0.98678879490676707"/>
    <n v="16.187309447769668"/>
    <s v="Normal"/>
    <n v="-0.76770407228986415"/>
    <n v="22.133150813768697"/>
    <x v="0"/>
  </r>
  <r>
    <x v="3"/>
    <x v="1"/>
    <n v="7"/>
    <n v="-0.29763256664382709"/>
    <n v="38.29918079160219"/>
    <s v="Normal"/>
    <n v="-1.3799050578469667"/>
    <n v="8.3807939554342443"/>
    <x v="0"/>
  </r>
  <r>
    <x v="3"/>
    <x v="1"/>
    <n v="7"/>
    <n v="-1.3537113107981802E-2"/>
    <n v="49.459963816629269"/>
    <s v="Normal"/>
    <n v="-1.4368351236487285"/>
    <n v="7.5382423820954738"/>
    <x v="0"/>
  </r>
  <r>
    <x v="3"/>
    <x v="1"/>
    <n v="7"/>
    <n v="-0.80587600823397054"/>
    <n v="21.015717306019923"/>
    <s v="Normal"/>
    <n v="-0.47660106212495235"/>
    <n v="31.682311347311444"/>
    <x v="0"/>
  </r>
  <r>
    <x v="3"/>
    <x v="0"/>
    <n v="7"/>
    <n v="-0.90839489847226518"/>
    <n v="18.183481004523692"/>
    <s v="Normal"/>
    <n v="-0.82032277502037976"/>
    <n v="20.601606314533594"/>
    <x v="0"/>
  </r>
  <r>
    <x v="3"/>
    <x v="0"/>
    <n v="7"/>
    <n v="-0.40235170258089481"/>
    <n v="34.371260456426327"/>
    <s v="Normal"/>
    <n v="-1.8026090130241887"/>
    <n v="3.5724820266997503"/>
    <x v="1"/>
  </r>
  <r>
    <x v="3"/>
    <x v="0"/>
    <n v="7"/>
    <n v="0.24605225785309945"/>
    <n v="59.717911011954698"/>
    <s v="Normal"/>
    <n v="-0.88125409904892604"/>
    <n v="18.909015198962091"/>
    <x v="0"/>
  </r>
  <r>
    <x v="3"/>
    <x v="1"/>
    <n v="6"/>
    <n v="-0.44437634117413966"/>
    <n v="32.838525779916296"/>
    <s v="Normal"/>
    <n v="-0.62836388161339807"/>
    <n v="26.488279609456406"/>
    <x v="0"/>
  </r>
  <r>
    <x v="3"/>
    <x v="0"/>
    <n v="7"/>
    <n v="-2.534357303990924E-2"/>
    <n v="48.9890459410272"/>
    <s v="Normal"/>
    <n v="-1.3987774026824795"/>
    <n v="8.0939872338358416"/>
    <x v="0"/>
  </r>
  <r>
    <x v="3"/>
    <x v="0"/>
    <n v="7"/>
    <n v="-0.74681185984923282"/>
    <n v="22.758856781345909"/>
    <s v="Normal"/>
    <n v="-48.351344325517339"/>
    <n v="0"/>
    <x v="1"/>
  </r>
  <r>
    <x v="3"/>
    <x v="0"/>
    <n v="7"/>
    <n v="-0.77961686557016974"/>
    <n v="21.780821282306878"/>
    <s v="Normal"/>
    <n v="-2.5190220385049993"/>
    <n v="0.58840645346994558"/>
    <x v="1"/>
  </r>
  <r>
    <x v="3"/>
    <x v="1"/>
    <n v="7"/>
    <n v="-0.1974652803360131"/>
    <n v="42.173172438472974"/>
    <s v="Normal"/>
    <n v="-1.0822662594868644"/>
    <n v="13.956711692053405"/>
    <x v="0"/>
  </r>
  <r>
    <x v="3"/>
    <x v="1"/>
    <n v="7"/>
    <n v="-1.1673026841932701"/>
    <n v="12.154407753231638"/>
    <s v="Normal"/>
    <n v="-1.1405948702820627"/>
    <n v="12.701927646377309"/>
    <x v="0"/>
  </r>
  <r>
    <x v="3"/>
    <x v="1"/>
    <n v="7"/>
    <n v="-2.0003122702030245"/>
    <n v="2.2733277442086481"/>
    <s v="Desnutricion"/>
    <n v="0.56739902416297505"/>
    <n v="71.477844363424282"/>
    <x v="0"/>
  </r>
  <r>
    <x v="3"/>
    <x v="0"/>
    <n v="7"/>
    <n v="-0.10957876980485322"/>
    <n v="45.637172424492547"/>
    <s v="Normal"/>
    <n v="-0.83118733312883264"/>
    <n v="20.293390471919178"/>
    <x v="0"/>
  </r>
  <r>
    <x v="3"/>
    <x v="0"/>
    <n v="7"/>
    <n v="-0.37856410321285261"/>
    <n v="35.250579147851838"/>
    <s v="Normal"/>
    <n v="-0.87269183134020945"/>
    <n v="19.141553565985252"/>
    <x v="0"/>
  </r>
  <r>
    <x v="3"/>
    <x v="0"/>
    <n v="7"/>
    <n v="-1.1228310697236956"/>
    <n v="13.075462356041589"/>
    <s v="Normal"/>
    <n v="-3.3964805198538439"/>
    <n v="3.4129207875459026E-2"/>
    <x v="1"/>
  </r>
  <r>
    <x v="3"/>
    <x v="1"/>
    <n v="8"/>
    <n v="-1.0870874770828844"/>
    <n v="13.849907585261526"/>
    <s v="Normal"/>
    <n v="-0.59701403581563484"/>
    <n v="27.524900483900971"/>
    <x v="0"/>
  </r>
  <r>
    <x v="3"/>
    <x v="1"/>
    <n v="7"/>
    <n v="-0.26313764821558111"/>
    <n v="39.622224352195524"/>
    <s v="Normal"/>
    <n v="-0.52827522764158341"/>
    <n v="29.865416137426475"/>
    <x v="0"/>
  </r>
  <r>
    <x v="3"/>
    <x v="1"/>
    <n v="6"/>
    <n v="-2.2554855273801748"/>
    <n v="1.2051434847085931"/>
    <s v="Desnutricion"/>
    <n v="2.4519137579817458E-2"/>
    <n v="50.978074063892485"/>
    <x v="0"/>
  </r>
  <r>
    <x v="3"/>
    <x v="1"/>
    <n v="7"/>
    <n v="-1.7442591716309268"/>
    <n v="4.0556953774766802"/>
    <s v="Desnutricion"/>
    <n v="-0.82017866074138668"/>
    <n v="20.605713250906017"/>
    <x v="0"/>
  </r>
  <r>
    <x v="4"/>
    <x v="1"/>
    <n v="6"/>
    <n v="0.31506138687639623"/>
    <n v="62.364247730867064"/>
    <s v="Normal"/>
    <n v="-0.46559625357521961"/>
    <n v="32.075226256379388"/>
    <x v="0"/>
  </r>
  <r>
    <x v="4"/>
    <x v="1"/>
    <n v="6"/>
    <n v="0.31506138687639623"/>
    <n v="62.364247730867064"/>
    <s v="Normal"/>
    <n v="-1.2067494532365608"/>
    <n v="11.376432381586062"/>
    <x v="0"/>
  </r>
  <r>
    <x v="4"/>
    <x v="1"/>
    <n v="6"/>
    <n v="0.12058415789450147"/>
    <n v="54.798979128067479"/>
    <s v="Normal"/>
    <n v="-1.1515318498549438"/>
    <n v="12.475675001841632"/>
    <x v="0"/>
  </r>
  <r>
    <x v="4"/>
    <x v="0"/>
    <n v="6"/>
    <n v="0.10350699086469869"/>
    <n v="54.121969930478109"/>
    <s v="Normal"/>
    <n v="-0.23105440998320104"/>
    <n v="40.863626618598325"/>
    <x v="0"/>
  </r>
  <r>
    <x v="4"/>
    <x v="0"/>
    <n v="6"/>
    <n v="1.0426014461786028"/>
    <n v="85.143354040173904"/>
    <s v="Normal"/>
    <n v="-1.7967928717935491"/>
    <n v="3.6184254214803859"/>
    <x v="1"/>
  </r>
  <r>
    <x v="4"/>
    <x v="1"/>
    <n v="6"/>
    <n v="-0.470514655313854"/>
    <n v="31.899368311230848"/>
    <s v="Normal"/>
    <n v="-8.6389202619475261E-2"/>
    <n v="46.557851495171811"/>
    <x v="0"/>
  </r>
  <r>
    <x v="4"/>
    <x v="1"/>
    <n v="6"/>
    <n v="1.3537901249855119E-2"/>
    <n v="50.540067622801367"/>
    <s v="Normal"/>
    <n v="-1.2372624522057718"/>
    <n v="10.799483134896921"/>
    <x v="0"/>
  </r>
  <r>
    <x v="4"/>
    <x v="1"/>
    <n v="6"/>
    <n v="-0.16072756619205489"/>
    <n v="43.615398850882094"/>
    <s v="Normal"/>
    <n v="-2.356504092947858"/>
    <n v="0.92239321738119029"/>
    <x v="1"/>
  </r>
  <r>
    <x v="4"/>
    <x v="1"/>
    <n v="6"/>
    <n v="-1.0418904035180829"/>
    <n v="14.87312469084805"/>
    <s v="Normal"/>
    <n v="-1.0964262744651228"/>
    <n v="13.644613544556039"/>
    <x v="0"/>
  </r>
  <r>
    <x v="4"/>
    <x v="0"/>
    <n v="6"/>
    <n v="-1.000941079161539"/>
    <n v="15.842764747315874"/>
    <s v="Normal"/>
    <n v="-48.379783326543887"/>
    <n v="0"/>
    <x v="1"/>
  </r>
  <r>
    <x v="4"/>
    <x v="0"/>
    <n v="5"/>
    <n v="3.0178841045291596"/>
    <n v="99.872726883974863"/>
    <s v="Alto"/>
    <n v="-0.34721134259538661"/>
    <n v="36.421627507237794"/>
    <x v="0"/>
  </r>
  <r>
    <x v="4"/>
    <x v="0"/>
    <n v="6"/>
    <n v="-1.1516014491664313"/>
    <n v="12.474244281325797"/>
    <s v="Normal"/>
    <n v="-3.5226476067068053"/>
    <n v="2.1362952306310481E-2"/>
    <x v="1"/>
  </r>
  <r>
    <x v="4"/>
    <x v="0"/>
    <n v="6"/>
    <n v="-0.40190157206801103"/>
    <n v="34.387823286290008"/>
    <s v="Normal"/>
    <n v="-2.5456565615899924"/>
    <n v="0.54536220150561465"/>
    <x v="1"/>
  </r>
  <r>
    <x v="4"/>
    <x v="1"/>
    <n v="6"/>
    <n v="1.4174684012348333"/>
    <n v="92.182698672909524"/>
    <s v="Normal"/>
    <n v="-1.2970829755194049"/>
    <n v="9.7301319269617075"/>
    <x v="0"/>
  </r>
  <r>
    <x v="4"/>
    <x v="0"/>
    <n v="6"/>
    <n v="0.65956525792245291"/>
    <n v="74.523357232213669"/>
    <s v="Normal"/>
    <n v="-1.463757114958792"/>
    <n v="7.1630161879348755"/>
    <x v="0"/>
  </r>
  <r>
    <x v="4"/>
    <x v="0"/>
    <n v="5"/>
    <n v="-0.42633115178012104"/>
    <n v="33.493328073307339"/>
    <s v="Normal"/>
    <n v="-0.93047097824682756"/>
    <n v="17.606364184246047"/>
    <x v="0"/>
  </r>
  <r>
    <x v="4"/>
    <x v="1"/>
    <n v="5"/>
    <n v="0.7339780348286028"/>
    <n v="76.851893737323905"/>
    <s v="Normal"/>
    <n v="-2.529978810913482"/>
    <n v="0.57034707591397649"/>
    <x v="1"/>
  </r>
  <r>
    <x v="4"/>
    <x v="0"/>
    <n v="5"/>
    <n v="0.4640079326134175"/>
    <n v="67.867896886073268"/>
    <s v="Normal"/>
    <n v="-0.36660955823485936"/>
    <n v="35.695513874861916"/>
    <x v="0"/>
  </r>
  <r>
    <x v="4"/>
    <x v="0"/>
    <n v="5"/>
    <n v="0.4640079326134175"/>
    <n v="67.867896886073268"/>
    <s v="Normal"/>
    <n v="-0.96591475083245937"/>
    <n v="16.704342027147021"/>
    <x v="0"/>
  </r>
  <r>
    <x v="4"/>
    <x v="1"/>
    <n v="6"/>
    <n v="1.0248330372151211"/>
    <n v="84.727901248385649"/>
    <s v="Normal"/>
    <n v="0.41442139047626975"/>
    <n v="66.071723691719214"/>
    <x v="0"/>
  </r>
  <r>
    <x v="4"/>
    <x v="1"/>
    <n v="6"/>
    <n v="-0.3543052684587702"/>
    <n v="36.155505992930273"/>
    <s v="Normal"/>
    <n v="-0.40202421918324582"/>
    <n v="34.383310112907026"/>
    <x v="0"/>
  </r>
  <r>
    <x v="4"/>
    <x v="1"/>
    <n v="6"/>
    <n v="-6.8306637055047414E-2"/>
    <n v="47.277077043270175"/>
    <s v="Normal"/>
    <n v="-0.14165732623690222"/>
    <n v="44.367534182991534"/>
    <x v="0"/>
  </r>
  <r>
    <x v="4"/>
    <x v="0"/>
    <n v="6"/>
    <n v="-0.17198952530893982"/>
    <n v="43.172288194217401"/>
    <s v="Normal"/>
    <n v="-1.0323069376484142"/>
    <n v="15.096417604585586"/>
    <x v="0"/>
  </r>
  <r>
    <x v="4"/>
    <x v="0"/>
    <n v="6"/>
    <n v="-0.18446056047331005"/>
    <n v="42.682608219932327"/>
    <s v="Normal"/>
    <n v="-0.47942297261557959"/>
    <n v="31.581887692325694"/>
    <x v="0"/>
  </r>
  <r>
    <x v="4"/>
    <x v="1"/>
    <n v="6"/>
    <n v="-0.18702359874800226"/>
    <n v="42.582106513250451"/>
    <s v="Normal"/>
    <n v="-1.2081667661890687"/>
    <n v="11.34915611577715"/>
    <x v="0"/>
  </r>
  <r>
    <x v="4"/>
    <x v="1"/>
    <n v="6"/>
    <n v="5.0275754011962031"/>
    <n v="99.999975163990044"/>
    <s v="Alto"/>
    <n v="-0.5644642112121171"/>
    <n v="28.621912497200917"/>
    <x v="0"/>
  </r>
  <r>
    <x v="4"/>
    <x v="1"/>
    <n v="6"/>
    <n v="-1.4108478656351806"/>
    <n v="7.9144738648871558"/>
    <s v="Normal"/>
    <n v="3.4141887495487082"/>
    <n v="99.96801387973052"/>
    <x v="2"/>
  </r>
  <r>
    <x v="4"/>
    <x v="0"/>
    <n v="6"/>
    <n v="-0.19688220295394107"/>
    <n v="42.195986053917792"/>
    <s v="Normal"/>
    <n v="-1.778210684885188"/>
    <n v="3.7684629359902133"/>
    <x v="1"/>
  </r>
  <r>
    <x v="4"/>
    <x v="1"/>
    <n v="6"/>
    <n v="0.71753264286939189"/>
    <n v="76.347724889512008"/>
    <s v="Normal"/>
    <n v="0.57418057130825972"/>
    <n v="71.707719236943319"/>
    <x v="0"/>
  </r>
  <r>
    <x v="4"/>
    <x v="0"/>
    <n v="5"/>
    <n v="0.26683236806725691"/>
    <n v="60.520088430457896"/>
    <s v="Normal"/>
    <n v="-0.84770602759135927"/>
    <n v="19.830085433372798"/>
    <x v="0"/>
  </r>
  <r>
    <x v="4"/>
    <x v="1"/>
    <n v="6"/>
    <n v="-2.2900822911259362"/>
    <n v="1.1008273368782633"/>
    <s v="Desnutricion"/>
    <n v="-1.2372624522057718"/>
    <n v="10.799483134896921"/>
    <x v="0"/>
  </r>
  <r>
    <x v="4"/>
    <x v="1"/>
    <n v="5"/>
    <n v="1.242053410471214"/>
    <n v="89.28915717504141"/>
    <s v="Normal"/>
    <n v="-0.92667273389787208"/>
    <n v="17.704823918034318"/>
    <x v="0"/>
  </r>
  <r>
    <x v="4"/>
    <x v="1"/>
    <n v="6"/>
    <n v="-0.470514655313854"/>
    <n v="31.899368311230848"/>
    <s v="Normal"/>
    <n v="-0.82751839283936213"/>
    <n v="20.397165074356817"/>
    <x v="0"/>
  </r>
  <r>
    <x v="4"/>
    <x v="1"/>
    <n v="6"/>
    <n v="-0.89635094433121743"/>
    <n v="18.503267921199996"/>
    <s v="Normal"/>
    <n v="9.2043211579359366E-2"/>
    <n v="53.666814629445255"/>
    <x v="0"/>
  </r>
  <r>
    <x v="4"/>
    <x v="1"/>
    <n v="5"/>
    <n v="0.62568032205316293"/>
    <n v="73.423767862051506"/>
    <s v="Normal"/>
    <n v="-0.5808215638148756"/>
    <n v="28.068036007804487"/>
    <x v="0"/>
  </r>
  <r>
    <x v="4"/>
    <x v="1"/>
    <n v="5"/>
    <n v="-9.2904188652212061E-2"/>
    <n v="46.298983903956625"/>
    <s v="Normal"/>
    <n v="-0.89718214270705421"/>
    <n v="18.481086617970494"/>
    <x v="0"/>
  </r>
  <r>
    <x v="4"/>
    <x v="0"/>
    <n v="6"/>
    <n v="-0.61028419087743091"/>
    <n v="27.083678375208336"/>
    <s v="Normal"/>
    <n v="-0.9632523432754162"/>
    <n v="16.771045147430101"/>
    <x v="0"/>
  </r>
  <r>
    <x v="4"/>
    <x v="1"/>
    <n v="5"/>
    <n v="0.51978555844963847"/>
    <n v="69.839347701209888"/>
    <s v="Normal"/>
    <n v="-1.082585812822479"/>
    <n v="13.949615363769469"/>
    <x v="0"/>
  </r>
  <r>
    <x v="4"/>
    <x v="0"/>
    <n v="6"/>
    <n v="-0.68282824152542509"/>
    <n v="24.735769090530908"/>
    <s v="Normal"/>
    <n v="-0.76793832504086779"/>
    <n v="22.126191350594475"/>
    <x v="0"/>
  </r>
  <r>
    <x v="4"/>
    <x v="1"/>
    <n v="5"/>
    <n v="0.7339780348286028"/>
    <n v="76.851893737323905"/>
    <s v="Normal"/>
    <n v="-0.39000461903616351"/>
    <n v="34.826656568001226"/>
    <x v="0"/>
  </r>
  <r>
    <x v="4"/>
    <x v="0"/>
    <n v="6"/>
    <n v="0.57514134049879284"/>
    <n v="71.740214455094474"/>
    <s v="Normal"/>
    <n v="-1.3537745906753984"/>
    <n v="8.7904151261252839"/>
    <x v="0"/>
  </r>
  <r>
    <x v="4"/>
    <x v="1"/>
    <n v="5"/>
    <n v="-0.60706585478293662"/>
    <n v="27.190360458181328"/>
    <s v="Normal"/>
    <n v="-2.9251751918442533E-2"/>
    <n v="48.833190340460462"/>
    <x v="0"/>
  </r>
  <r>
    <x v="4"/>
    <x v="0"/>
    <n v="5"/>
    <n v="0.75984409082629767"/>
    <n v="77.632610785199446"/>
    <s v="Normal"/>
    <n v="-0.29618619821030923"/>
    <n v="38.354394423024921"/>
    <x v="0"/>
  </r>
  <r>
    <x v="4"/>
    <x v="0"/>
    <n v="5"/>
    <n v="1.2493508453750826"/>
    <n v="89.423161072454576"/>
    <s v="Normal"/>
    <n v="0.37007527995348311"/>
    <n v="64.433679983009199"/>
    <x v="0"/>
  </r>
  <r>
    <x v="4"/>
    <x v="0"/>
    <n v="7"/>
    <n v="-2.6744975493369747"/>
    <n v="0.37420661610475248"/>
    <s v="Desnutricion"/>
    <n v="-1.0096809178921233"/>
    <n v="15.632409380719"/>
    <x v="0"/>
  </r>
  <r>
    <x v="4"/>
    <x v="1"/>
    <n v="5"/>
    <n v="-1.5225135985565221"/>
    <n v="6.3940220351556665"/>
    <s v="Normal"/>
    <n v="0.44779244770265109"/>
    <n v="67.28485027897483"/>
    <x v="0"/>
  </r>
  <r>
    <x v="4"/>
    <x v="0"/>
    <n v="6"/>
    <n v="-2.4298858451273865E-2"/>
    <n v="49.030711184364634"/>
    <s v="Normal"/>
    <n v="-1.3592549417224753"/>
    <n v="8.7032908372192015"/>
    <x v="0"/>
  </r>
  <r>
    <x v="4"/>
    <x v="0"/>
    <n v="6"/>
    <n v="-0.75092763122766371"/>
    <n v="22.6348105081744"/>
    <s v="Normal"/>
    <n v="-1.507542193053288"/>
    <n v="6.5835868637315231"/>
    <x v="0"/>
  </r>
  <r>
    <x v="4"/>
    <x v="0"/>
    <n v="6"/>
    <n v="-5.9383537114395856E-3"/>
    <n v="49.763095355222951"/>
    <s v="Normal"/>
    <n v="-1.4786381504551176"/>
    <n v="6.9618525338651027"/>
    <x v="0"/>
  </r>
  <r>
    <x v="4"/>
    <x v="0"/>
    <n v="6"/>
    <n v="0.7578370432585565"/>
    <n v="77.572572835999836"/>
    <s v="Normal"/>
    <n v="-0.27064054812501454"/>
    <n v="39.33337531778772"/>
    <x v="0"/>
  </r>
  <r>
    <x v="4"/>
    <x v="0"/>
    <n v="6"/>
    <n v="1.7125562894710467"/>
    <n v="95.660289970237287"/>
    <s v="Alto"/>
    <n v="-0.24831927490557587"/>
    <n v="40.194369337155322"/>
    <x v="0"/>
  </r>
  <r>
    <x v="4"/>
    <x v="0"/>
    <n v="7"/>
    <n v="1.2966293765519399"/>
    <n v="90.262063015818711"/>
    <s v="Normal"/>
    <n v="-0.40675365362755983"/>
    <n v="34.209446476209479"/>
    <x v="0"/>
  </r>
  <r>
    <x v="4"/>
    <x v="1"/>
    <n v="7"/>
    <n v="-0.11267571439188419"/>
    <n v="45.51438278606993"/>
    <s v="Normal"/>
    <n v="-0.83754718057680355"/>
    <n v="20.114253418940482"/>
    <x v="0"/>
  </r>
  <r>
    <x v="4"/>
    <x v="1"/>
    <n v="7"/>
    <n v="-8.2224861542784619E-2"/>
    <n v="46.723395186471485"/>
    <s v="Normal"/>
    <n v="-1.1906203243984257"/>
    <n v="11.690133455444146"/>
    <x v="0"/>
  </r>
  <r>
    <x v="4"/>
    <x v="0"/>
    <n v="7"/>
    <n v="-1.3603804508486625"/>
    <n v="8.6854780763371817"/>
    <s v="Normal"/>
    <n v="-1.3168333665930179"/>
    <n v="9.3947242883223083"/>
    <x v="0"/>
  </r>
  <r>
    <x v="4"/>
    <x v="1"/>
    <n v="7"/>
    <n v="-9.8058676179082052E-2"/>
    <n v="46.094285048040362"/>
    <s v="Normal"/>
    <n v="-1.083198566635504"/>
    <n v="13.936014791446738"/>
    <x v="0"/>
  </r>
  <r>
    <x v="4"/>
    <x v="1"/>
    <n v="7"/>
    <n v="1.7442372132682111"/>
    <n v="95.944113258244485"/>
    <s v="Alto"/>
    <n v="-0.4232896027389596"/>
    <n v="33.60419896065244"/>
    <x v="0"/>
  </r>
  <r>
    <x v="4"/>
    <x v="0"/>
    <n v="7"/>
    <n v="0.94899947025503328"/>
    <n v="82.868955924675589"/>
    <s v="Normal"/>
    <n v="-1.4230972721663675"/>
    <n v="7.7353979516178351"/>
    <x v="0"/>
  </r>
  <r>
    <x v="4"/>
    <x v="0"/>
    <n v="7"/>
    <n v="-0.39006596329375831"/>
    <n v="34.824388532189985"/>
    <s v="Normal"/>
    <n v="0.25165192919437146"/>
    <n v="59.934494186545685"/>
    <x v="0"/>
  </r>
  <r>
    <x v="4"/>
    <x v="0"/>
    <n v="7"/>
    <n v="-1.7946008818294263"/>
    <n v="3.6358656278600021"/>
    <s v="Desnutricion"/>
    <n v="-1.2424354487640734"/>
    <n v="10.703797166453036"/>
    <x v="0"/>
  </r>
  <r>
    <x v="4"/>
    <x v="0"/>
    <n v="6"/>
    <n v="1.1339019572448925"/>
    <n v="87.158216198093342"/>
    <s v="Normal"/>
    <n v="0.44140326355673964"/>
    <n v="67.05394600066758"/>
    <x v="0"/>
  </r>
  <r>
    <x v="4"/>
    <x v="1"/>
    <n v="7"/>
    <n v="-1.8184061672781568"/>
    <n v="3.4501038224422067"/>
    <s v="Desnutricion"/>
    <n v="-0.28639882877361894"/>
    <n v="38.728633582664131"/>
    <x v="0"/>
  </r>
  <r>
    <x v="4"/>
    <x v="0"/>
    <n v="6"/>
    <n v="-0.15983153159235083"/>
    <n v="43.650689237824743"/>
    <s v="Normal"/>
    <n v="-1.0232246348769087"/>
    <n v="15.310082389281465"/>
    <x v="0"/>
  </r>
  <r>
    <x v="4"/>
    <x v="0"/>
    <n v="6"/>
    <n v="2.057997306414348"/>
    <n v="98.020480401590291"/>
    <s v="Alto"/>
    <n v="-1.9761220777176616"/>
    <n v="2.4070476244017933"/>
    <x v="1"/>
  </r>
  <r>
    <x v="4"/>
    <x v="0"/>
    <n v="7"/>
    <n v="-0.69704160442495655"/>
    <n v="24.28883786965207"/>
    <s v="Normal"/>
    <n v="0.2423566919923324"/>
    <n v="59.574810553563587"/>
    <x v="0"/>
  </r>
  <r>
    <x v="4"/>
    <x v="0"/>
    <n v="6"/>
    <n v="2.4987538241541766E-2"/>
    <n v="50.996754822548482"/>
    <s v="Normal"/>
    <n v="0.63476513963420189"/>
    <n v="73.720919881252513"/>
    <x v="0"/>
  </r>
  <r>
    <x v="4"/>
    <x v="1"/>
    <n v="7"/>
    <n v="-2.2206751198443548"/>
    <n v="1.3186486889087217"/>
    <s v="Desnutricion"/>
    <n v="1.6466242653057546"/>
    <n v="95.018235015426853"/>
    <x v="2"/>
  </r>
  <r>
    <x v="4"/>
    <x v="1"/>
    <n v="6"/>
    <n v="0.13311078185918343"/>
    <n v="55.294711583061428"/>
    <s v="Normal"/>
    <n v="-1.3591790932857584"/>
    <n v="8.7044922257766686"/>
    <x v="0"/>
  </r>
  <r>
    <x v="4"/>
    <x v="1"/>
    <n v="7"/>
    <n v="0.90340800956031964"/>
    <n v="81.684530469347663"/>
    <s v="Normal"/>
    <n v="0.26662184885344892"/>
    <n v="60.511983426667527"/>
    <x v="0"/>
  </r>
  <r>
    <x v="4"/>
    <x v="0"/>
    <n v="6"/>
    <n v="0.48444708154622879"/>
    <n v="68.596569413911084"/>
    <s v="Normal"/>
    <n v="0.34564609275215213"/>
    <n v="63.519564922638025"/>
    <x v="0"/>
  </r>
  <r>
    <x v="4"/>
    <x v="1"/>
    <n v="6"/>
    <n v="-0.23982833424249264"/>
    <n v="40.523167017248106"/>
    <s v="Normal"/>
    <n v="-0.90980981458496035"/>
    <n v="18.146140885114111"/>
    <x v="0"/>
  </r>
  <r>
    <x v="4"/>
    <x v="0"/>
    <n v="7"/>
    <n v="-0.37856410321285261"/>
    <n v="35.250579147851838"/>
    <s v="Normal"/>
    <n v="-0.62574750232796872"/>
    <n v="26.574028527565375"/>
    <x v="0"/>
  </r>
  <r>
    <x v="4"/>
    <x v="1"/>
    <n v="6"/>
    <n v="-23.116042533518261"/>
    <n v="1.596799996135726E-116"/>
    <s v="Desnutricion"/>
    <n v="-1.8054792615797653E-2"/>
    <n v="49.279757116640489"/>
    <x v="0"/>
  </r>
  <r>
    <x v="4"/>
    <x v="0"/>
    <n v="7"/>
    <n v="0.33437018232967752"/>
    <n v="63.094988155879761"/>
    <s v="Normal"/>
    <n v="0.26240223788076422"/>
    <n v="60.349432623221787"/>
    <x v="0"/>
  </r>
  <r>
    <x v="4"/>
    <x v="1"/>
    <n v="6"/>
    <n v="-0.53305421494675653"/>
    <n v="29.699802579663142"/>
    <s v="Normal"/>
    <n v="-0.95775713085687997"/>
    <n v="16.909262038279977"/>
    <x v="0"/>
  </r>
  <r>
    <x v="4"/>
    <x v="0"/>
    <n v="7"/>
    <n v="-1.1435581701334261"/>
    <n v="12.640345879333861"/>
    <s v="Normal"/>
    <n v="-0.54558044914719173"/>
    <n v="29.267718324051707"/>
    <x v="0"/>
  </r>
  <r>
    <x v="4"/>
    <x v="0"/>
    <n v="7"/>
    <n v="0.67836734813330135"/>
    <n v="75.123059674401873"/>
    <s v="Normal"/>
    <n v="-1.5748397225270805"/>
    <n v="5.7646722479109931"/>
    <x v="0"/>
  </r>
  <r>
    <x v="4"/>
    <x v="1"/>
    <n v="7"/>
    <n v="8.4852489982233201E-2"/>
    <n v="53.381066849918483"/>
    <s v="Normal"/>
    <n v="-0.51018975593413507"/>
    <n v="30.49592641515056"/>
    <x v="0"/>
  </r>
  <r>
    <x v="4"/>
    <x v="1"/>
    <n v="6"/>
    <n v="0.71156937379658669"/>
    <n v="76.163426119887006"/>
    <s v="Normal"/>
    <n v="-0.6301100794330623"/>
    <n v="26.431128275174419"/>
    <x v="0"/>
  </r>
  <r>
    <x v="4"/>
    <x v="1"/>
    <n v="7"/>
    <n v="-9.8058676179082052E-2"/>
    <n v="46.094285048040362"/>
    <s v="Normal"/>
    <n v="-1.3284113585817752"/>
    <n v="9.2021124555012737"/>
    <x v="0"/>
  </r>
  <r>
    <x v="4"/>
    <x v="0"/>
    <n v="6"/>
    <n v="0.48951597463480001"/>
    <n v="68.776177611746675"/>
    <s v="Normal"/>
    <n v="-1.2097874023460042"/>
    <n v="11.318024070925528"/>
    <x v="0"/>
  </r>
  <r>
    <x v="4"/>
    <x v="0"/>
    <n v="7"/>
    <n v="-0.11795903864963644"/>
    <n v="45.30500568229656"/>
    <s v="Normal"/>
    <n v="-0.51337886027686419"/>
    <n v="30.384316503724062"/>
    <x v="0"/>
  </r>
  <r>
    <x v="4"/>
    <x v="1"/>
    <n v="7"/>
    <n v="0.52572169137913416"/>
    <n v="70.045920483929152"/>
    <s v="Normal"/>
    <n v="-0.8247629083861705"/>
    <n v="20.475310430853085"/>
    <x v="0"/>
  </r>
  <r>
    <x v="4"/>
    <x v="1"/>
    <n v="7"/>
    <n v="0.26776365614355097"/>
    <n v="60.555937617235543"/>
    <s v="Normal"/>
    <n v="-1.5456776769922029"/>
    <n v="6.1091215531149841"/>
    <x v="0"/>
  </r>
  <r>
    <x v="4"/>
    <x v="1"/>
    <n v="6"/>
    <n v="0.42385206973847728"/>
    <n v="66.416314939265675"/>
    <s v="Normal"/>
    <n v="-0.99100734473297925"/>
    <n v="16.084099693564301"/>
    <x v="0"/>
  </r>
  <r>
    <x v="4"/>
    <x v="1"/>
    <n v="7"/>
    <n v="0.24784067641612462"/>
    <n v="59.787115934409506"/>
    <s v="Normal"/>
    <n v="-1.8747495140705766"/>
    <n v="3.0413595806075842"/>
    <x v="1"/>
  </r>
  <r>
    <x v="4"/>
    <x v="0"/>
    <n v="7"/>
    <n v="0.76793762104681784"/>
    <n v="77.87378773617678"/>
    <s v="Normal"/>
    <n v="-1.461602847399325"/>
    <n v="7.1925036835381695"/>
    <x v="0"/>
  </r>
  <r>
    <x v="4"/>
    <x v="1"/>
    <n v="6"/>
    <n v="0.52128983218877445"/>
    <n v="69.89175584810252"/>
    <s v="Normal"/>
    <n v="-1.1239650859487014"/>
    <n v="13.051391891309095"/>
    <x v="0"/>
  </r>
  <r>
    <x v="4"/>
    <x v="1"/>
    <n v="6"/>
    <n v="-0.43010787585030746"/>
    <n v="33.355858559162158"/>
    <s v="Normal"/>
    <n v="-0.4437414394927271"/>
    <n v="32.861476570081244"/>
    <x v="0"/>
  </r>
  <r>
    <x v="4"/>
    <x v="1"/>
    <n v="7"/>
    <n v="0.23955283287555718"/>
    <n v="59.466153299520272"/>
    <s v="Normal"/>
    <n v="-1.0282452043754671"/>
    <n v="15.191724970622245"/>
    <x v="0"/>
  </r>
  <r>
    <x v="4"/>
    <x v="1"/>
    <n v="7"/>
    <n v="1.731052985434073"/>
    <n v="95.82788426940516"/>
    <s v="Alto"/>
    <n v="1.0549780290435722"/>
    <n v="85.428231334816473"/>
    <x v="0"/>
  </r>
  <r>
    <x v="4"/>
    <x v="0"/>
    <n v="7"/>
    <n v="2.7596179623372179"/>
    <n v="99.710655046266041"/>
    <s v="Alto"/>
    <n v="4.1990369880196727"/>
    <n v="99.998659737316459"/>
    <x v="2"/>
  </r>
  <r>
    <x v="4"/>
    <x v="0"/>
    <n v="7"/>
    <n v="0.21759112674543746"/>
    <n v="58.612615065797357"/>
    <s v="Normal"/>
    <n v="-1.334030544833354"/>
    <n v="9.1096923159098271"/>
    <x v="0"/>
  </r>
  <r>
    <x v="4"/>
    <x v="1"/>
    <n v="7"/>
    <n v="-0.68740715911642503"/>
    <n v="24.591309373481522"/>
    <s v="Normal"/>
    <n v="-1.7452436849849895"/>
    <n v="4.0471229997195977"/>
    <x v="1"/>
  </r>
  <r>
    <x v="4"/>
    <x v="0"/>
    <n v="6"/>
    <n v="-0.42972832536294597"/>
    <n v="33.36966381264395"/>
    <s v="Normal"/>
    <n v="-0.71000376337924909"/>
    <n v="23.885090121710377"/>
    <x v="0"/>
  </r>
  <r>
    <x v="4"/>
    <x v="0"/>
    <n v="7"/>
    <n v="-0.28535478809945419"/>
    <n v="38.768617099293024"/>
    <s v="Normal"/>
    <n v="-1.4244112784135001"/>
    <n v="7.7163725639022616"/>
    <x v="0"/>
  </r>
  <r>
    <x v="4"/>
    <x v="1"/>
    <n v="7"/>
    <n v="-0.50035759200991614"/>
    <n v="30.841165423500776"/>
    <s v="Normal"/>
    <n v="-0.44075999793026088"/>
    <n v="32.969337793779651"/>
    <x v="0"/>
  </r>
  <r>
    <x v="4"/>
    <x v="1"/>
    <n v="6"/>
    <n v="-0.62038741745812487"/>
    <n v="26.750137717408084"/>
    <s v="Normal"/>
    <n v="-0.35689290691966108"/>
    <n v="36.05859899618725"/>
    <x v="0"/>
  </r>
  <r>
    <x v="4"/>
    <x v="0"/>
    <n v="6"/>
    <n v="0.30566711463525081"/>
    <n v="62.007094283764744"/>
    <s v="Normal"/>
    <n v="-0.39483634529754963"/>
    <n v="34.648183498221108"/>
    <x v="0"/>
  </r>
  <r>
    <x v="4"/>
    <x v="1"/>
    <n v="7"/>
    <n v="1.5455054132705066"/>
    <n v="93.888796972812187"/>
    <s v="Normal"/>
    <n v="-0.92648744130376459"/>
    <n v="17.709636035504229"/>
    <x v="0"/>
  </r>
  <r>
    <x v="4"/>
    <x v="0"/>
    <n v="8"/>
    <n v="4.578997414141476"/>
    <n v="99.999766395013154"/>
    <s v="Alto"/>
    <n v="3.385667477353457"/>
    <n v="99.96449731658889"/>
    <x v="2"/>
  </r>
  <r>
    <x v="4"/>
    <x v="0"/>
    <n v="8"/>
    <n v="-0.25592031713245905"/>
    <n v="39.900618306016241"/>
    <s v="Normal"/>
    <n v="-0.39839816704536024"/>
    <n v="34.5168354411175"/>
    <x v="0"/>
  </r>
  <r>
    <x v="4"/>
    <x v="0"/>
    <n v="7"/>
    <n v="-0.98845886127785065"/>
    <n v="16.146398626539071"/>
    <s v="Normal"/>
    <n v="-1.3521054801225616"/>
    <n v="8.8170787240335287"/>
    <x v="0"/>
  </r>
  <r>
    <x v="4"/>
    <x v="1"/>
    <n v="8"/>
    <n v="0.57890685392313046"/>
    <n v="71.867398737077764"/>
    <s v="Normal"/>
    <n v="-0.84525217763926919"/>
    <n v="19.898502776452244"/>
    <x v="0"/>
  </r>
  <r>
    <x v="4"/>
    <x v="0"/>
    <n v="8"/>
    <n v="-0.69398687293546124"/>
    <n v="24.384522063433501"/>
    <s v="Normal"/>
    <n v="-2.2825910343099811"/>
    <n v="1.1227234787807017"/>
    <x v="1"/>
  </r>
  <r>
    <x v="4"/>
    <x v="1"/>
    <n v="7"/>
    <n v="2.168841131457953"/>
    <n v="98.495262633765961"/>
    <s v="Alto"/>
    <n v="2.7948498479852648"/>
    <n v="99.740380872491144"/>
    <x v="2"/>
  </r>
  <r>
    <x v="4"/>
    <x v="0"/>
    <n v="7"/>
    <n v="-1.7677495634223257"/>
    <n v="3.8551390057264467"/>
    <s v="Desnutricion"/>
    <n v="-0.54558044914719173"/>
    <n v="29.267718324051707"/>
    <x v="0"/>
  </r>
  <r>
    <x v="4"/>
    <x v="1"/>
    <n v="8"/>
    <n v="-1.1507622027809281"/>
    <n v="12.491503922813383"/>
    <s v="Normal"/>
    <n v="-1.2949353193842263"/>
    <n v="9.7671271577250511"/>
    <x v="0"/>
  </r>
  <r>
    <x v="4"/>
    <x v="0"/>
    <n v="7"/>
    <n v="1.2966293765519399"/>
    <n v="90.262063015818711"/>
    <s v="Normal"/>
    <n v="9.9680110795145146E-2"/>
    <n v="53.970085441340565"/>
    <x v="0"/>
  </r>
  <r>
    <x v="4"/>
    <x v="1"/>
    <n v="7"/>
    <n v="-0.42306331599947705"/>
    <n v="33.61245330928142"/>
    <s v="Normal"/>
    <n v="-0.84560477149221014"/>
    <n v="19.888663142053122"/>
    <x v="0"/>
  </r>
  <r>
    <x v="4"/>
    <x v="0"/>
    <n v="8"/>
    <n v="0.25127426412554044"/>
    <n v="59.919896438618039"/>
    <s v="Normal"/>
    <n v="-0.64367653787737389"/>
    <n v="25.989260358203207"/>
    <x v="0"/>
  </r>
  <r>
    <x v="4"/>
    <x v="1"/>
    <n v="8"/>
    <n v="3.220501028983698E-2"/>
    <n v="51.284571969014571"/>
    <s v="Normal"/>
    <n v="-7.7749569014493156"/>
    <n v="3.7736548662460159E-13"/>
    <x v="1"/>
  </r>
  <r>
    <x v="4"/>
    <x v="0"/>
    <n v="8"/>
    <n v="-0.61333109074731229"/>
    <n v="26.982871984483982"/>
    <s v="Normal"/>
    <n v="-1.18339292336357"/>
    <n v="11.832673030708966"/>
    <x v="0"/>
  </r>
  <r>
    <x v="4"/>
    <x v="1"/>
    <n v="8"/>
    <n v="-0.42919691113583019"/>
    <n v="33.388996534627339"/>
    <s v="Normal"/>
    <n v="-1.1848889773991467"/>
    <n v="11.803067304546854"/>
    <x v="0"/>
  </r>
  <r>
    <x v="4"/>
    <x v="0"/>
    <n v="8"/>
    <n v="0.16675759106880006"/>
    <n v="56.621960561076257"/>
    <s v="Normal"/>
    <n v="-0.95709768185266297"/>
    <n v="16.925897678537712"/>
    <x v="0"/>
  </r>
  <r>
    <x v="4"/>
    <x v="1"/>
    <n v="7"/>
    <n v="0.38882641472347579"/>
    <n v="65.129772035484081"/>
    <s v="Normal"/>
    <n v="-1.0521021909762518"/>
    <n v="14.6376333523082"/>
    <x v="0"/>
  </r>
  <r>
    <x v="4"/>
    <x v="1"/>
    <n v="7"/>
    <n v="-1.138906490279473"/>
    <n v="12.737107914915969"/>
    <s v="Normal"/>
    <n v="-1.098492810537125"/>
    <n v="13.599467766064235"/>
    <x v="0"/>
  </r>
  <r>
    <x v="4"/>
    <x v="0"/>
    <n v="7"/>
    <n v="-1.2429092754054014"/>
    <n v="10.695063366081291"/>
    <s v="Normal"/>
    <n v="-1.8637064725576056"/>
    <n v="3.1181467976861015"/>
    <x v="1"/>
  </r>
  <r>
    <x v="4"/>
    <x v="0"/>
    <n v="8"/>
    <n v="1.3484161471306733"/>
    <n v="91.123771330530914"/>
    <s v="Normal"/>
    <n v="-1.7953133080759847"/>
    <n v="3.6301897949117956"/>
    <x v="1"/>
  </r>
  <r>
    <x v="4"/>
    <x v="0"/>
    <n v="8"/>
    <n v="-1.0242465283900308"/>
    <n v="15.285942354027169"/>
    <s v="Normal"/>
    <n v="-2.914416564961237"/>
    <n v="0.17817702503787133"/>
    <x v="1"/>
  </r>
  <r>
    <x v="4"/>
    <x v="1"/>
    <n v="7"/>
    <n v="-0.24410252242947808"/>
    <n v="40.357570950777188"/>
    <s v="Normal"/>
    <n v="0.10858622587667977"/>
    <n v="54.323465684721917"/>
    <x v="0"/>
  </r>
  <r>
    <x v="4"/>
    <x v="0"/>
    <n v="8"/>
    <n v="-8.653761997681568E-2"/>
    <n v="46.551952590414949"/>
    <s v="Normal"/>
    <n v="0.9138273986559432"/>
    <n v="81.959622639101852"/>
    <x v="0"/>
  </r>
  <r>
    <x v="4"/>
    <x v="0"/>
    <n v="8"/>
    <n v="-1.1160988288162326"/>
    <n v="13.218991671856827"/>
    <s v="Normal"/>
    <n v="-1.2256643850152915"/>
    <n v="11.016249894439021"/>
    <x v="0"/>
  </r>
  <r>
    <x v="4"/>
    <x v="0"/>
    <n v="8"/>
    <n v="0.92372103876438838"/>
    <n v="82.218421231086623"/>
    <s v="Normal"/>
    <n v="-0.19675558417454411"/>
    <n v="42.200940514853635"/>
    <x v="0"/>
  </r>
  <r>
    <x v="4"/>
    <x v="0"/>
    <n v="7"/>
    <n v="-1.2235168898350083E-2"/>
    <n v="49.511899559943686"/>
    <s v="Normal"/>
    <n v="2.6461551430095251E-2"/>
    <n v="51.055539981684149"/>
    <x v="0"/>
  </r>
  <r>
    <x v="4"/>
    <x v="1"/>
    <n v="8"/>
    <n v="0.40279208591390442"/>
    <n v="65.64494081724807"/>
    <s v="Normal"/>
    <n v="-1.1754074473894618"/>
    <n v="11.991587270036472"/>
    <x v="0"/>
  </r>
  <r>
    <x v="4"/>
    <x v="1"/>
    <n v="8"/>
    <n v="-0.62795779772553439"/>
    <n v="26.501579331127278"/>
    <s v="Normal"/>
    <n v="-0.42113555705950717"/>
    <n v="33.682804922569176"/>
    <x v="0"/>
  </r>
  <r>
    <x v="4"/>
    <x v="1"/>
    <n v="8"/>
    <n v="-0.47778175413223328"/>
    <n v="31.640277444546179"/>
    <s v="Normal"/>
    <n v="-1.2278010200190865"/>
    <n v="10.976083634008669"/>
    <x v="0"/>
  </r>
  <r>
    <x v="4"/>
    <x v="1"/>
    <n v="8"/>
    <n v="1.0232644435598164"/>
    <n v="84.690858477926156"/>
    <s v="Normal"/>
    <n v="-0.19840513211189742"/>
    <n v="42.136405120827725"/>
    <x v="0"/>
  </r>
  <r>
    <x v="4"/>
    <x v="0"/>
    <n v="8"/>
    <n v="-0.9138819685710563"/>
    <n v="18.038943466772405"/>
    <s v="Normal"/>
    <n v="-1.1425316589265833"/>
    <n v="12.661654712787374"/>
    <x v="0"/>
  </r>
  <r>
    <x v="4"/>
    <x v="0"/>
    <n v="8"/>
    <n v="0.33666139407820683"/>
    <n v="63.181391541637254"/>
    <s v="Normal"/>
    <n v="-2.1631532942838874"/>
    <n v="1.5264695597147329"/>
    <x v="1"/>
  </r>
  <r>
    <x v="4"/>
    <x v="1"/>
    <n v="8"/>
    <n v="-0.65389652214146177"/>
    <n v="25.658923737614899"/>
    <s v="Normal"/>
    <n v="-2.3717788643960702"/>
    <n v="0.88513411244542717"/>
    <x v="1"/>
  </r>
  <r>
    <x v="4"/>
    <x v="1"/>
    <n v="8"/>
    <n v="-0.22398979627204485"/>
    <n v="41.138262146473366"/>
    <s v="Normal"/>
    <n v="-0.5117660833898543"/>
    <n v="30.44073650743012"/>
    <x v="0"/>
  </r>
  <r>
    <x v="4"/>
    <x v="1"/>
    <n v="8"/>
    <n v="-1.1507622027809281"/>
    <n v="12.491503922813383"/>
    <s v="Normal"/>
    <n v="-1.5198535839156981"/>
    <n v="6.4273889190483127"/>
    <x v="0"/>
  </r>
  <r>
    <x v="4"/>
    <x v="1"/>
    <n v="8"/>
    <n v="-0.80222593274399978"/>
    <n v="21.121113900435429"/>
    <s v="Normal"/>
    <n v="-0.70478783135398237"/>
    <n v="24.047114121638476"/>
    <x v="0"/>
  </r>
  <r>
    <x v="4"/>
    <x v="0"/>
    <n v="8"/>
    <n v="1.3384178850565418"/>
    <n v="90.961987405224434"/>
    <s v="Normal"/>
    <n v="-2.1356072929509171"/>
    <n v="1.6355718242641952"/>
    <x v="1"/>
  </r>
  <r>
    <x v="4"/>
    <x v="0"/>
    <n v="7"/>
    <n v="-0.1932286993715624"/>
    <n v="42.338993170601633"/>
    <s v="Normal"/>
    <n v="-0.55139177290538077"/>
    <n v="29.068256961088125"/>
    <x v="0"/>
  </r>
  <r>
    <x v="4"/>
    <x v="0"/>
    <n v="7"/>
    <n v="-1.2429092754054014"/>
    <n v="10.695063366081291"/>
    <s v="Normal"/>
    <n v="-1.5594603935836282"/>
    <n v="5.9443725869262796"/>
    <x v="0"/>
  </r>
  <r>
    <x v="4"/>
    <x v="0"/>
    <n v="8"/>
    <n v="-1.912587310882425"/>
    <n v="2.790045269882365"/>
    <s v="Desnutricion"/>
    <n v="-2.1053131202198467"/>
    <n v="1.7632030389725952"/>
    <x v="1"/>
  </r>
  <r>
    <x v="4"/>
    <x v="0"/>
    <n v="7"/>
    <n v="-0.10219239270680235"/>
    <n v="45.930198294234877"/>
    <s v="Normal"/>
    <n v="-0.53357397025553011"/>
    <n v="29.681816060429544"/>
    <x v="0"/>
  </r>
  <r>
    <x v="4"/>
    <x v="0"/>
    <n v="8"/>
    <n v="8.4254324701043673E-2"/>
    <n v="53.357288658696753"/>
    <s v="Normal"/>
    <n v="0.52782035387729731"/>
    <n v="70.118798563441175"/>
    <x v="0"/>
  </r>
  <r>
    <x v="4"/>
    <x v="0"/>
    <n v="9"/>
    <n v="192.84789006980191"/>
    <n v="100"/>
    <s v="Alto"/>
    <n v="21.023558812535303"/>
    <n v="100"/>
    <x v="2"/>
  </r>
  <r>
    <x v="4"/>
    <x v="1"/>
    <n v="9"/>
    <n v="0.2568142132559687"/>
    <n v="60.133890130499957"/>
    <s v="Normal"/>
    <n v="-0.45983388832990069"/>
    <n v="32.281772839342246"/>
    <x v="0"/>
  </r>
  <r>
    <x v="4"/>
    <x v="1"/>
    <n v="9"/>
    <n v="1.0703559568304764"/>
    <n v="85.777044200932835"/>
    <s v="Normal"/>
    <n v="-0.69858561633407867"/>
    <n v="24.240551764119527"/>
    <x v="0"/>
  </r>
  <r>
    <x v="4"/>
    <x v="0"/>
    <n v="9"/>
    <n v="-0.32580636488126313"/>
    <n v="37.228543139782964"/>
    <s v="Normal"/>
    <n v="-1.1298013385581731"/>
    <n v="12.927997203354538"/>
    <x v="0"/>
  </r>
  <r>
    <x v="4"/>
    <x v="0"/>
    <n v="9"/>
    <n v="1.1411290915854848"/>
    <n v="87.309189665551841"/>
    <s v="Normal"/>
    <n v="0.12736233227613036"/>
    <n v="55.067318605455625"/>
    <x v="0"/>
  </r>
  <r>
    <x v="4"/>
    <x v="1"/>
    <n v="9"/>
    <n v="-1.0632036466936436"/>
    <n v="14.384480451042418"/>
    <s v="Normal"/>
    <n v="-1.1551645064310565"/>
    <n v="12.401153325244708"/>
    <x v="0"/>
  </r>
  <r>
    <x v="4"/>
    <x v="1"/>
    <n v="9"/>
    <n v="-1.3555134268570064"/>
    <n v="8.7627016834382445"/>
    <s v="Normal"/>
    <n v="-2.5277245152384231"/>
    <n v="0.57402197257634069"/>
    <x v="1"/>
  </r>
  <r>
    <x v="4"/>
    <x v="1"/>
    <n v="9"/>
    <n v="1.7357105641721018"/>
    <n v="95.869248768579112"/>
    <s v="Alto"/>
    <n v="-9.6068966291466773E-2"/>
    <n v="46.173289929380658"/>
    <x v="0"/>
  </r>
  <r>
    <x v="4"/>
    <x v="1"/>
    <n v="9"/>
    <n v="-0.74183874320747378"/>
    <n v="22.909252185027633"/>
    <s v="Normal"/>
    <n v="-0.50899205870761954"/>
    <n v="30.537889525084534"/>
    <x v="0"/>
  </r>
  <r>
    <x v="4"/>
    <x v="0"/>
    <n v="9"/>
    <n v="-1.6004410708802943"/>
    <n v="5.4750385010032003"/>
    <s v="Normal"/>
    <n v="-6.1256719289344073"/>
    <n v="4.515085068379251E-8"/>
    <x v="1"/>
  </r>
  <r>
    <x v="4"/>
    <x v="1"/>
    <n v="9"/>
    <n v="1.7357105641721018"/>
    <n v="95.869248768579112"/>
    <s v="Alto"/>
    <n v="0.26511416442280128"/>
    <n v="60.453924199331667"/>
    <x v="0"/>
  </r>
  <r>
    <x v="4"/>
    <x v="0"/>
    <n v="9"/>
    <n v="-0.24482029883436127"/>
    <n v="40.329778796247354"/>
    <s v="Normal"/>
    <n v="-0.52879692725249849"/>
    <n v="29.847316477721353"/>
    <x v="0"/>
  </r>
  <r>
    <x v="4"/>
    <x v="1"/>
    <n v="8"/>
    <n v="-0.28371707975052435"/>
    <n v="38.831360231031297"/>
    <s v="Normal"/>
    <n v="0.20428096684430547"/>
    <n v="58.093302868991628"/>
    <x v="0"/>
  </r>
  <r>
    <x v="4"/>
    <x v="0"/>
    <n v="9"/>
    <n v="-0.89915269861489866"/>
    <n v="18.428566570493867"/>
    <s v="Normal"/>
    <n v="-0.65969798637951438"/>
    <n v="25.472382956757588"/>
    <x v="0"/>
  </r>
  <r>
    <x v="4"/>
    <x v="0"/>
    <n v="9"/>
    <n v="0.54458068518218594"/>
    <n v="70.69790290850591"/>
    <s v="Normal"/>
    <n v="-1.2312068486332484"/>
    <n v="10.912275530278487"/>
    <x v="0"/>
  </r>
  <r>
    <x v="4"/>
    <x v="1"/>
    <n v="9"/>
    <n v="-0.42047383972130631"/>
    <n v="33.706966811273972"/>
    <s v="Normal"/>
    <n v="-0.78269937992210414"/>
    <n v="21.690183322829654"/>
    <x v="0"/>
  </r>
  <r>
    <x v="4"/>
    <x v="0"/>
    <n v="9"/>
    <n v="0.15071046937844887"/>
    <n v="55.98979428982345"/>
    <s v="Normal"/>
    <n v="-0.72953511643768543"/>
    <n v="23.283719756630802"/>
    <x v="0"/>
  </r>
  <r>
    <x v="4"/>
    <x v="1"/>
    <n v="9"/>
    <n v="-0.63521425692507849"/>
    <n v="26.264434305772621"/>
    <s v="Normal"/>
    <n v="-1.6073942631063707"/>
    <n v="5.3983953883655147"/>
    <x v="0"/>
  </r>
  <r>
    <x v="4"/>
    <x v="0"/>
    <n v="9"/>
    <n v="0.32147360733456298"/>
    <n v="62.607424501381089"/>
    <s v="Normal"/>
    <n v="-0.29405257414219832"/>
    <n v="38.435886494085423"/>
    <x v="0"/>
  </r>
  <r>
    <x v="4"/>
    <x v="1"/>
    <n v="8"/>
    <n v="0.98189637227990323"/>
    <n v="83.692454842204583"/>
    <s v="Normal"/>
    <n v="-0.48653676431966986"/>
    <n v="31.329332286722533"/>
    <x v="0"/>
  </r>
  <r>
    <x v="4"/>
    <x v="0"/>
    <n v="8"/>
    <n v="1.8062303169626003E-3"/>
    <n v="50.072058124976706"/>
    <s v="Normal"/>
    <n v="-1.2941475566183465"/>
    <n v="9.7807228719142234"/>
    <x v="0"/>
  </r>
  <r>
    <x v="4"/>
    <x v="1"/>
    <n v="8"/>
    <n v="5.2360958333487334E-2"/>
    <n v="52.087945892170893"/>
    <s v="Normal"/>
    <n v="-0.5742048022635956"/>
    <n v="28.291461001106178"/>
    <x v="0"/>
  </r>
  <r>
    <x v="4"/>
    <x v="1"/>
    <n v="9"/>
    <n v="1.4889783841135837"/>
    <n v="93.175346954422025"/>
    <s v="Normal"/>
    <n v="-0.94065010319923525"/>
    <n v="17.344209847593"/>
    <x v="0"/>
  </r>
  <r>
    <x v="4"/>
    <x v="0"/>
    <n v="9"/>
    <n v="0.80654594512939037"/>
    <n v="79.003593634851143"/>
    <s v="Normal"/>
    <n v="-0.85073117422601141"/>
    <n v="19.745935090516863"/>
    <x v="0"/>
  </r>
  <r>
    <x v="4"/>
    <x v="0"/>
    <n v="9"/>
    <n v="0.80654594512939037"/>
    <n v="79.003593634851143"/>
    <s v="Normal"/>
    <n v="-0.75215421377901004"/>
    <n v="22.597916224122923"/>
    <x v="0"/>
  </r>
  <r>
    <x v="4"/>
    <x v="1"/>
    <n v="9"/>
    <n v="0.18399422505206503"/>
    <n v="57.299100733853315"/>
    <s v="Normal"/>
    <n v="-0.70459770487300066"/>
    <n v="24.053031360694234"/>
    <x v="0"/>
  </r>
  <r>
    <x v="4"/>
    <x v="1"/>
    <n v="9"/>
    <n v="-1.3845685501798113"/>
    <n v="8.3092216801809951"/>
    <s v="Normal"/>
    <n v="-0.87504519238796541"/>
    <n v="19.077465828056596"/>
    <x v="0"/>
  </r>
  <r>
    <x v="4"/>
    <x v="0"/>
    <n v="9"/>
    <n v="3.070216854838598"/>
    <n v="99.893048300680761"/>
    <s v="Alto"/>
    <n v="-0.27205284095244803"/>
    <n v="39.279069489077187"/>
    <x v="0"/>
  </r>
  <r>
    <x v="4"/>
    <x v="0"/>
    <n v="9"/>
    <n v="-0.64867106825509913"/>
    <n v="25.827550433056434"/>
    <s v="Normal"/>
    <n v="-1.2006671420711459"/>
    <n v="11.494017238739556"/>
    <x v="0"/>
  </r>
  <r>
    <x v="4"/>
    <x v="0"/>
    <n v="9"/>
    <n v="-0.24624764097436619"/>
    <n v="40.274526926615131"/>
    <s v="Normal"/>
    <n v="-0.66891445685091733"/>
    <n v="25.177502380122586"/>
    <x v="0"/>
  </r>
  <r>
    <x v="4"/>
    <x v="1"/>
    <n v="8"/>
    <n v="-2.3001853082545969"/>
    <n v="1.0718861906260457"/>
    <s v="Desnutricion"/>
    <n v="-1.8586216750893803"/>
    <n v="3.1540391286957208"/>
    <x v="1"/>
  </r>
  <r>
    <x v="4"/>
    <x v="0"/>
    <n v="9"/>
    <n v="-0.24425712298690319"/>
    <n v="40.351584437082913"/>
    <s v="Normal"/>
    <n v="-0.54117259669324647"/>
    <n v="29.419431184513869"/>
    <x v="0"/>
  </r>
  <r>
    <x v="4"/>
    <x v="0"/>
    <n v="8"/>
    <n v="-1.1581581934217091"/>
    <n v="12.339974277442048"/>
    <s v="Normal"/>
    <n v="-1.3321560640545593"/>
    <n v="9.1404455324120235"/>
    <x v="0"/>
  </r>
  <r>
    <x v="4"/>
    <x v="0"/>
    <n v="9"/>
    <n v="-1.1228542871733644"/>
    <n v="13.074969238311294"/>
    <s v="Normal"/>
    <n v="-2.0935048369937537"/>
    <n v="1.815205636687417"/>
    <x v="1"/>
  </r>
  <r>
    <x v="4"/>
    <x v="0"/>
    <n v="9"/>
    <n v="0.24276359279184498"/>
    <n v="59.590572964893028"/>
    <s v="Normal"/>
    <n v="-0.65572139579603672"/>
    <n v="25.600169989927281"/>
    <x v="0"/>
  </r>
  <r>
    <x v="4"/>
    <x v="1"/>
    <n v="9"/>
    <n v="-1.5545196837789637"/>
    <n v="6.0030252580267165"/>
    <s v="Normal"/>
    <n v="-0.65626867073886885"/>
    <n v="25.582563581715501"/>
    <x v="0"/>
  </r>
  <r>
    <x v="4"/>
    <x v="0"/>
    <n v="9"/>
    <n v="-0.48698028899015505"/>
    <n v="31.31361497341959"/>
    <s v="Normal"/>
    <n v="6.2131920717397086E-2"/>
    <n v="52.477111148006038"/>
    <x v="0"/>
  </r>
  <r>
    <x v="4"/>
    <x v="1"/>
    <n v="9"/>
    <n v="-0.16790254899984222"/>
    <n v="43.332997239360829"/>
    <s v="Normal"/>
    <n v="-1.5528065392182044"/>
    <n v="6.0234679999200322"/>
    <x v="0"/>
  </r>
  <r>
    <x v="4"/>
    <x v="1"/>
    <n v="9"/>
    <n v="0.43814081293934576"/>
    <n v="66.935789478048932"/>
    <s v="Normal"/>
    <n v="-2.8901354856413737"/>
    <n v="0.19253791231088141"/>
    <x v="1"/>
  </r>
  <r>
    <x v="4"/>
    <x v="0"/>
    <n v="8"/>
    <n v="-0.24583117853516676"/>
    <n v="40.290646027303865"/>
    <s v="Normal"/>
    <n v="-1.26081738813466"/>
    <n v="10.368732378440949"/>
    <x v="0"/>
  </r>
  <r>
    <x v="4"/>
    <x v="0"/>
    <n v="9"/>
    <n v="1.5115226709776299"/>
    <n v="93.467233153088642"/>
    <s v="Normal"/>
    <n v="-0.48729096336102101"/>
    <n v="31.302607536408988"/>
    <x v="0"/>
  </r>
  <r>
    <x v="4"/>
    <x v="0"/>
    <n v="9"/>
    <n v="-0.24857498796402144"/>
    <n v="40.184477901147261"/>
    <s v="Normal"/>
    <n v="-0.65572139579603672"/>
    <n v="25.600169989927281"/>
    <x v="0"/>
  </r>
  <r>
    <x v="4"/>
    <x v="1"/>
    <n v="8"/>
    <n v="-0.21104048474406709"/>
    <n v="41.642784022778436"/>
    <s v="Normal"/>
    <n v="1.520606091790486"/>
    <n v="93.582064140834234"/>
    <x v="0"/>
  </r>
  <r>
    <x v="4"/>
    <x v="1"/>
    <n v="9"/>
    <n v="0.34783592144749231"/>
    <n v="63.60182946110158"/>
    <s v="Normal"/>
    <n v="-2.0902774192134213"/>
    <n v="1.8296443242566056"/>
    <x v="1"/>
  </r>
  <r>
    <x v="4"/>
    <x v="1"/>
    <n v="9"/>
    <n v="-0.16601209495540967"/>
    <n v="43.407371592736062"/>
    <s v="Normal"/>
    <n v="-1.6161769876109875"/>
    <n v="5.3028026360326281"/>
    <x v="0"/>
  </r>
  <r>
    <x v="4"/>
    <x v="0"/>
    <n v="9"/>
    <n v="0.81514343459287419"/>
    <n v="79.25048940888108"/>
    <s v="Normal"/>
    <n v="-1.4681826972639798"/>
    <n v="7.1027301476889475"/>
    <x v="0"/>
  </r>
  <r>
    <x v="4"/>
    <x v="0"/>
    <n v="9"/>
    <n v="1.5115226709776299"/>
    <n v="93.467233153088642"/>
    <s v="Normal"/>
    <n v="-0.76912680554440305"/>
    <n v="22.090901829036515"/>
    <x v="0"/>
  </r>
  <r>
    <x v="4"/>
    <x v="1"/>
    <n v="9"/>
    <n v="-2.1708108085826243"/>
    <n v="1.4972738286011595"/>
    <s v="Desnutricion"/>
    <n v="-7.6101192120174082"/>
    <n v="1.3692160983285001E-12"/>
    <x v="1"/>
  </r>
  <r>
    <x v="4"/>
    <x v="1"/>
    <n v="9"/>
    <n v="-0.82800828658300452"/>
    <n v="20.383290349694917"/>
    <s v="Normal"/>
    <n v="-2.5224627358310157"/>
    <n v="0.58268148315387802"/>
    <x v="1"/>
  </r>
  <r>
    <x v="4"/>
    <x v="0"/>
    <n v="9"/>
    <n v="-1.0389107815960827"/>
    <n v="14.942311581790976"/>
    <s v="Normal"/>
    <n v="6.2131920717397086E-2"/>
    <n v="52.477111148006038"/>
    <x v="0"/>
  </r>
  <r>
    <x v="4"/>
    <x v="1"/>
    <n v="10"/>
    <n v="-0.58314083844685682"/>
    <n v="27.989924692899553"/>
    <s v="Normal"/>
    <n v="0.1885568925215593"/>
    <n v="57.477993928077552"/>
    <x v="0"/>
  </r>
  <r>
    <x v="4"/>
    <x v="0"/>
    <n v="10"/>
    <n v="1.3075066224654683"/>
    <n v="90.447964637775726"/>
    <s v="Normal"/>
    <n v="-1.1370506684042754"/>
    <n v="12.775855240217449"/>
    <x v="0"/>
  </r>
  <r>
    <x v="4"/>
    <x v="1"/>
    <n v="10"/>
    <n v="-0.14624598647895667"/>
    <n v="44.18636019137945"/>
    <s v="Normal"/>
    <n v="0.90162338404350184"/>
    <n v="81.637151761066363"/>
    <x v="0"/>
  </r>
  <r>
    <x v="4"/>
    <x v="0"/>
    <n v="9"/>
    <n v="-0.6451149263019853"/>
    <n v="25.942635585175992"/>
    <s v="Normal"/>
    <n v="-2.2629229621407303"/>
    <n v="1.1820219319807952"/>
    <x v="1"/>
  </r>
  <r>
    <x v="4"/>
    <x v="0"/>
    <n v="9"/>
    <n v="-0.33207899892836557"/>
    <n v="36.99148037973616"/>
    <s v="Normal"/>
    <n v="-0.89432572239106134"/>
    <n v="18.55738206273579"/>
    <x v="0"/>
  </r>
  <r>
    <x v="4"/>
    <x v="0"/>
    <n v="10"/>
    <n v="-1.4234291453461871"/>
    <n v="7.730589427478705"/>
    <s v="Normal"/>
    <n v="0.85054442223457483"/>
    <n v="80.248876301088785"/>
    <x v="0"/>
  </r>
  <r>
    <x v="4"/>
    <x v="1"/>
    <n v="10"/>
    <n v="0.53660325621993799"/>
    <n v="70.422915279552086"/>
    <s v="Normal"/>
    <n v="-0.1519231936448743"/>
    <n v="43.962375737334789"/>
    <x v="0"/>
  </r>
  <r>
    <x v="4"/>
    <x v="1"/>
    <n v="10"/>
    <n v="-3.9251833126779472"/>
    <n v="4.3331858079929363E-3"/>
    <s v="Desnutricion"/>
    <n v="-11.315036717714175"/>
    <n v="5.5278007992010519E-28"/>
    <x v="1"/>
  </r>
  <r>
    <x v="4"/>
    <x v="1"/>
    <n v="10"/>
    <n v="-0.34571048557582318"/>
    <n v="36.478015163786118"/>
    <s v="Normal"/>
    <n v="-1.0602711218455207"/>
    <n v="14.451063653919437"/>
    <x v="0"/>
  </r>
  <r>
    <x v="4"/>
    <x v="0"/>
    <n v="9"/>
    <n v="-0.88146904586085129"/>
    <n v="18.903200041444236"/>
    <s v="Normal"/>
    <n v="-0.95564290281123199"/>
    <n v="16.962633913798147"/>
    <x v="0"/>
  </r>
  <r>
    <x v="4"/>
    <x v="1"/>
    <n v="10"/>
    <n v="1.9999215299836914"/>
    <n v="97.724563104733321"/>
    <s v="Alto"/>
    <n v="1.4845448908504781"/>
    <n v="93.11677884263041"/>
    <x v="0"/>
  </r>
  <r>
    <x v="4"/>
    <x v="1"/>
    <n v="9"/>
    <n v="0.73337704375687496"/>
    <n v="76.833575171348087"/>
    <s v="Normal"/>
    <n v="-0.98781536401036263"/>
    <n v="16.16215408189969"/>
    <x v="0"/>
  </r>
  <r>
    <x v="4"/>
    <x v="0"/>
    <n v="10"/>
    <n v="1.4295847735218947"/>
    <n v="92.358188588179047"/>
    <s v="Normal"/>
    <n v="-0.23345827635846883"/>
    <n v="40.770278253951361"/>
    <x v="0"/>
  </r>
  <r>
    <x v="4"/>
    <x v="1"/>
    <n v="10"/>
    <n v="-1.2331670265869173E-2"/>
    <n v="49.508050002809348"/>
    <s v="Normal"/>
    <n v="-0.52094588010323895"/>
    <n v="30.120223651490925"/>
    <x v="0"/>
  </r>
  <r>
    <x v="4"/>
    <x v="1"/>
    <n v="9"/>
    <n v="0.73337704375687496"/>
    <n v="76.833575171348087"/>
    <s v="Normal"/>
    <n v="-0.10470927220229585"/>
    <n v="45.830325212917884"/>
    <x v="0"/>
  </r>
  <r>
    <x v="4"/>
    <x v="1"/>
    <n v="10"/>
    <n v="0.84462418281424223"/>
    <n v="80.0839648685497"/>
    <s v="Normal"/>
    <n v="9.1827646370737731E-2"/>
    <n v="53.658251088501139"/>
    <x v="0"/>
  </r>
  <r>
    <x v="4"/>
    <x v="1"/>
    <n v="10"/>
    <n v="0.60657273454561511"/>
    <n v="72.793275038249035"/>
    <s v="Normal"/>
    <n v="-1.6834018970805371"/>
    <n v="4.6148658136444007"/>
    <x v="1"/>
  </r>
  <r>
    <x v="4"/>
    <x v="0"/>
    <n v="10"/>
    <n v="0.82595590033967692"/>
    <n v="79.558544577952389"/>
    <s v="Normal"/>
    <n v="-1.3101186382900611"/>
    <n v="9.5077852072112563"/>
    <x v="0"/>
  </r>
  <r>
    <x v="4"/>
    <x v="0"/>
    <n v="9"/>
    <n v="1.3227152544324101"/>
    <n v="90.703495566081997"/>
    <s v="Normal"/>
    <n v="-2.4432419887119763"/>
    <n v="0.72779867507194396"/>
    <x v="1"/>
  </r>
  <r>
    <x v="4"/>
    <x v="0"/>
    <n v="9"/>
    <n v="0.13857673725772285"/>
    <n v="55.510768655073818"/>
    <s v="Normal"/>
    <n v="-1.0986209805056606"/>
    <n v="13.596671122391568"/>
    <x v="0"/>
  </r>
  <r>
    <x v="4"/>
    <x v="1"/>
    <n v="10"/>
    <n v="0.16034937301570598"/>
    <n v="56.369706601988433"/>
    <s v="Normal"/>
    <n v="-0.26194011847677251"/>
    <n v="39.668380453058248"/>
    <x v="0"/>
  </r>
  <r>
    <x v="4"/>
    <x v="1"/>
    <n v="10"/>
    <n v="0.84462418281424223"/>
    <n v="80.0839648685497"/>
    <s v="Normal"/>
    <n v="-0.4142547739454146"/>
    <n v="33.93437657990831"/>
    <x v="0"/>
  </r>
  <r>
    <x v="4"/>
    <x v="1"/>
    <n v="10"/>
    <n v="0.62024241225770349"/>
    <n v="73.245089876100494"/>
    <s v="Normal"/>
    <n v="-0.75262738571278742"/>
    <n v="22.583692813666893"/>
    <x v="0"/>
  </r>
  <r>
    <x v="4"/>
    <x v="0"/>
    <n v="10"/>
    <n v="-0.80545724047494927"/>
    <n v="21.027793589766226"/>
    <s v="Normal"/>
    <n v="-1.3811203279661182"/>
    <n v="8.3620983137205442"/>
    <x v="0"/>
  </r>
  <r>
    <x v="4"/>
    <x v="1"/>
    <n v="10"/>
    <n v="-0.23344906026582521"/>
    <n v="40.770636039042309"/>
    <s v="Normal"/>
    <n v="-0.92576169644794015"/>
    <n v="17.728491853757866"/>
    <x v="0"/>
  </r>
  <r>
    <x v="4"/>
    <x v="0"/>
    <n v="10"/>
    <n v="0.36951987798720987"/>
    <n v="64.41298702699585"/>
    <s v="Normal"/>
    <n v="-0.69384590133724322"/>
    <n v="24.388942660793205"/>
    <x v="0"/>
  </r>
  <r>
    <x v="4"/>
    <x v="0"/>
    <n v="10"/>
    <n v="-0.35446608633575755"/>
    <n v="36.149480771114796"/>
    <s v="Normal"/>
    <n v="-1.1957916355724962"/>
    <n v="11.588894042401423"/>
    <x v="0"/>
  </r>
  <r>
    <x v="4"/>
    <x v="0"/>
    <n v="10"/>
    <n v="-0.88194396313691203"/>
    <n v="18.890355565582556"/>
    <s v="Normal"/>
    <n v="-0.9352288501001168"/>
    <n v="17.483518676931993"/>
    <x v="0"/>
  </r>
  <r>
    <x v="4"/>
    <x v="1"/>
    <n v="10"/>
    <n v="0.67693254635474009"/>
    <n v="75.077562346938649"/>
    <s v="Normal"/>
    <n v="-0.71695085726275543"/>
    <n v="23.67022098954039"/>
    <x v="0"/>
  </r>
  <r>
    <x v="4"/>
    <x v="1"/>
    <n v="10"/>
    <n v="-1.0035013767515883"/>
    <n v="15.780950649591672"/>
    <s v="Normal"/>
    <n v="-1.1519336102295779"/>
    <n v="12.46741778106526"/>
    <x v="0"/>
  </r>
  <r>
    <x v="4"/>
    <x v="1"/>
    <n v="10"/>
    <n v="0.62024241225770349"/>
    <n v="73.245089876100494"/>
    <s v="Normal"/>
    <n v="0.1778617826994692"/>
    <n v="57.058423739379769"/>
    <x v="0"/>
  </r>
  <r>
    <x v="4"/>
    <x v="1"/>
    <n v="10"/>
    <n v="0.8554650870006818"/>
    <n v="80.385313777132069"/>
    <s v="Normal"/>
    <n v="-0.22132135614805964"/>
    <n v="41.24211112315416"/>
    <x v="0"/>
  </r>
  <r>
    <x v="4"/>
    <x v="0"/>
    <n v="10"/>
    <n v="-0.11279417230858349"/>
    <n v="45.509686934127153"/>
    <s v="Normal"/>
    <n v="-0.70590502170228731"/>
    <n v="24.012360223171708"/>
    <x v="0"/>
  </r>
  <r>
    <x v="4"/>
    <x v="1"/>
    <n v="9"/>
    <n v="0.17177832323451273"/>
    <n v="56.819409612721181"/>
    <s v="Normal"/>
    <n v="-1.1483480586564176"/>
    <n v="12.541245346277918"/>
    <x v="0"/>
  </r>
  <r>
    <x v="4"/>
    <x v="1"/>
    <n v="10"/>
    <n v="1.372420677344464"/>
    <n v="91.503374159974527"/>
    <s v="Normal"/>
    <n v="0.14793847151816389"/>
    <n v="55.880433681995775"/>
    <x v="0"/>
  </r>
  <r>
    <x v="4"/>
    <x v="1"/>
    <n v="9"/>
    <n v="-0.71342035185652941"/>
    <n v="23.779284154546446"/>
    <s v="Normal"/>
    <n v="-1.6161769876109875"/>
    <n v="5.3028026360326281"/>
    <x v="0"/>
  </r>
  <r>
    <x v="4"/>
    <x v="1"/>
    <n v="10"/>
    <n v="-0.41118351511379342"/>
    <n v="34.046898753520871"/>
    <s v="Normal"/>
    <n v="-1.4617426969916818"/>
    <n v="7.1905866092166342"/>
    <x v="0"/>
  </r>
  <r>
    <x v="4"/>
    <x v="0"/>
    <n v="10"/>
    <n v="0.74204077192672546"/>
    <n v="77.09686834643415"/>
    <s v="Normal"/>
    <n v="-0.18270175007263897"/>
    <n v="42.751602125787734"/>
    <x v="0"/>
  </r>
  <r>
    <x v="4"/>
    <x v="0"/>
    <n v="10"/>
    <n v="0.67069227638725559"/>
    <n v="74.879170791720441"/>
    <s v="Normal"/>
    <n v="0.40695190249281449"/>
    <n v="65.797834281353289"/>
    <x v="0"/>
  </r>
  <r>
    <x v="4"/>
    <x v="0"/>
    <n v="11"/>
    <n v="0.88838601215520041"/>
    <n v="81.283342651843455"/>
    <s v="Normal"/>
    <n v="-1.9669583467882588"/>
    <n v="2.4594006510972108"/>
    <x v="1"/>
  </r>
  <r>
    <x v="4"/>
    <x v="1"/>
    <n v="11"/>
    <n v="-0.38151744865392334"/>
    <n v="35.14096631871999"/>
    <s v="Normal"/>
    <n v="-0.71539914943707295"/>
    <n v="23.718121896256591"/>
    <x v="0"/>
  </r>
  <r>
    <x v="4"/>
    <x v="0"/>
    <n v="10"/>
    <n v="0.53449833299135985"/>
    <n v="70.350159875208377"/>
    <s v="Normal"/>
    <n v="0.81746933710447667"/>
    <n v="79.316986729841432"/>
    <x v="0"/>
  </r>
  <r>
    <x v="4"/>
    <x v="1"/>
    <n v="11"/>
    <n v="-0.16530508186935369"/>
    <n v="43.435192954783481"/>
    <s v="Normal"/>
    <n v="-1.1500389822765069"/>
    <n v="12.506390795252258"/>
    <x v="0"/>
  </r>
  <r>
    <x v="4"/>
    <x v="1"/>
    <n v="10"/>
    <n v="-0.95065468361742145"/>
    <n v="17.088984973140537"/>
    <s v="Normal"/>
    <n v="-1.0694355994243516"/>
    <n v="14.24367166693759"/>
    <x v="0"/>
  </r>
  <r>
    <x v="4"/>
    <x v="0"/>
    <n v="10"/>
    <n v="-0.97431841504353223"/>
    <n v="16.494923198058583"/>
    <s v="Normal"/>
    <n v="-1.0779151424750142"/>
    <n v="14.053581357470851"/>
    <x v="0"/>
  </r>
  <r>
    <x v="4"/>
    <x v="1"/>
    <n v="11"/>
    <n v="2.0633271561679885"/>
    <n v="98.045922217817065"/>
    <s v="Alto"/>
    <n v="-1.9662283321916811"/>
    <n v="2.4636120559457257"/>
    <x v="1"/>
  </r>
  <r>
    <x v="4"/>
    <x v="0"/>
    <n v="11"/>
    <n v="1.5527703700496764"/>
    <n v="93.976099811198537"/>
    <s v="Normal"/>
    <n v="-2.0059343136129386"/>
    <n v="2.2431628334707825"/>
    <x v="1"/>
  </r>
  <r>
    <x v="4"/>
    <x v="0"/>
    <n v="11"/>
    <n v="-0.53651306186177705"/>
    <n v="29.580200551545165"/>
    <s v="Normal"/>
    <n v="-0.22541890621205368"/>
    <n v="41.082670253535078"/>
    <x v="0"/>
  </r>
  <r>
    <x v="4"/>
    <x v="1"/>
    <n v="11"/>
    <n v="-7.5251427529348441E-3"/>
    <n v="49.699793072324105"/>
    <s v="Normal"/>
    <n v="8.0164338201137955E-2"/>
    <n v="53.194672357947638"/>
    <x v="0"/>
  </r>
  <r>
    <x v="4"/>
    <x v="1"/>
    <n v="10"/>
    <n v="-1.97726796196586"/>
    <n v="2.4005674539180397"/>
    <s v="Desnutricion"/>
    <n v="-1.9780716194506953"/>
    <n v="2.396031385198472"/>
    <x v="1"/>
  </r>
  <r>
    <x v="4"/>
    <x v="0"/>
    <n v="10"/>
    <n v="2.0665175714756714"/>
    <n v="98.061018250175351"/>
    <s v="Alto"/>
    <n v="3.2357584641658277E-2"/>
    <n v="51.290655634327784"/>
    <x v="0"/>
  </r>
  <r>
    <x v="4"/>
    <x v="1"/>
    <n v="11"/>
    <n v="-1.6712143280432632"/>
    <n v="4.7339675582252045"/>
    <s v="Desnutricion"/>
    <n v="-2.9537531447384548"/>
    <n v="0.15696750719382116"/>
    <x v="1"/>
  </r>
  <r>
    <x v="4"/>
    <x v="1"/>
    <n v="11"/>
    <n v="0.29108867345104167"/>
    <n v="61.45082488440643"/>
    <s v="Normal"/>
    <n v="0.91341905420872616"/>
    <n v="81.948890598408525"/>
    <x v="0"/>
  </r>
  <r>
    <x v="4"/>
    <x v="1"/>
    <n v="11"/>
    <n v="-0.36289790269364358"/>
    <n v="35.834057675787875"/>
    <s v="Normal"/>
    <n v="-0.45189989336140496"/>
    <n v="32.567055063886812"/>
    <x v="0"/>
  </r>
  <r>
    <x v="4"/>
    <x v="1"/>
    <n v="11"/>
    <n v="0.86219442815752789"/>
    <n v="80.570973234975867"/>
    <s v="Normal"/>
    <n v="-1.4391075478969216E-2"/>
    <n v="49.425898969513547"/>
    <x v="0"/>
  </r>
  <r>
    <x v="4"/>
    <x v="0"/>
    <n v="11"/>
    <n v="-0.16760790331086481"/>
    <n v="43.344587661072566"/>
    <s v="Normal"/>
    <n v="0.61138751472891317"/>
    <n v="72.952846688735178"/>
    <x v="0"/>
  </r>
  <r>
    <x v="4"/>
    <x v="0"/>
    <n v="11"/>
    <n v="0.19970273283255241"/>
    <n v="57.914346183120045"/>
    <s v="Normal"/>
    <n v="-0.95041491636876496"/>
    <n v="17.09507338230156"/>
    <x v="0"/>
  </r>
  <r>
    <x v="4"/>
    <x v="1"/>
    <n v="10"/>
    <n v="0.64907395106800247"/>
    <n v="74.18547109947508"/>
    <s v="Normal"/>
    <n v="-0.21353558739151099"/>
    <n v="41.545461720972696"/>
    <x v="0"/>
  </r>
  <r>
    <x v="4"/>
    <x v="0"/>
    <n v="11"/>
    <n v="0.11502864739152639"/>
    <n v="54.578879229213449"/>
    <s v="Normal"/>
    <n v="-1.2129339351592592"/>
    <n v="11.257753998865153"/>
    <x v="0"/>
  </r>
  <r>
    <x v="4"/>
    <x v="1"/>
    <n v="11"/>
    <n v="6.2193482131798643E-2"/>
    <n v="52.479562352558027"/>
    <s v="Normal"/>
    <n v="-2.9421010337210198"/>
    <n v="0.16299677430101142"/>
    <x v="1"/>
  </r>
  <r>
    <x v="4"/>
    <x v="1"/>
    <n v="10"/>
    <n v="-0.32849544145095178"/>
    <n v="37.126854521817521"/>
    <s v="Normal"/>
    <n v="-0.99672180646427799"/>
    <n v="15.944978096966988"/>
    <x v="0"/>
  </r>
  <r>
    <x v="4"/>
    <x v="0"/>
    <n v="11"/>
    <n v="0.56565039312995813"/>
    <n v="71.418426812164782"/>
    <s v="Normal"/>
    <n v="-2.3900906410035914"/>
    <n v="0.84221075597729289"/>
    <x v="1"/>
  </r>
  <r>
    <x v="4"/>
    <x v="1"/>
    <n v="11"/>
    <n v="-0.64687496529090016"/>
    <n v="25.885643477058263"/>
    <s v="Normal"/>
    <n v="-7.3134273371804268E-2"/>
    <n v="47.084963423309325"/>
    <x v="0"/>
  </r>
  <r>
    <x v="4"/>
    <x v="0"/>
    <n v="11"/>
    <n v="0.2694673409098543"/>
    <n v="60.621496441012027"/>
    <s v="Normal"/>
    <n v="-1.2129339351592592"/>
    <n v="11.257753998865153"/>
    <x v="0"/>
  </r>
  <r>
    <x v="4"/>
    <x v="1"/>
    <n v="11"/>
    <n v="-0.37060184615518021"/>
    <n v="35.54670534021561"/>
    <s v="Normal"/>
    <n v="-0.85260392894014037"/>
    <n v="19.693949152487335"/>
    <x v="0"/>
  </r>
  <r>
    <x v="4"/>
    <x v="1"/>
    <n v="10"/>
    <n v="2.1474945199864135"/>
    <n v="98.412303350131836"/>
    <s v="Alto"/>
    <n v="6.4914676741073707E-2"/>
    <n v="52.587903255384205"/>
    <x v="0"/>
  </r>
  <r>
    <x v="4"/>
    <x v="1"/>
    <n v="11"/>
    <n v="1.9753506536402201"/>
    <n v="97.588581568816082"/>
    <s v="Alto"/>
    <n v="-0.12006023277735618"/>
    <n v="45.221771705443665"/>
    <x v="0"/>
  </r>
  <r>
    <x v="4"/>
    <x v="1"/>
    <n v="10"/>
    <n v="-0.8430843768659787"/>
    <n v="19.959062784466731"/>
    <s v="Normal"/>
    <n v="-0.54223116975885355"/>
    <n v="29.382963263735597"/>
    <x v="0"/>
  </r>
  <r>
    <x v="4"/>
    <x v="0"/>
    <n v="11"/>
    <n v="-0.61908181575046206"/>
    <n v="26.793123100280681"/>
    <s v="Normal"/>
    <n v="-1.8892586328170944"/>
    <n v="2.9428590816747153"/>
    <x v="1"/>
  </r>
  <r>
    <x v="4"/>
    <x v="0"/>
    <n v="11"/>
    <n v="0.49661431896480274"/>
    <n v="69.026947316783833"/>
    <s v="Normal"/>
    <n v="-0.83423826310896021"/>
    <n v="20.207336671453952"/>
    <x v="0"/>
  </r>
  <r>
    <x v="4"/>
    <x v="1"/>
    <n v="11"/>
    <n v="0.28809662837557709"/>
    <n v="61.336361328345987"/>
    <s v="Normal"/>
    <n v="-1.6804071764384481"/>
    <n v="4.6439060361870528"/>
    <x v="1"/>
  </r>
  <r>
    <x v="4"/>
    <x v="1"/>
    <n v="11"/>
    <n v="3.1861970672154736"/>
    <n v="99.927921816376525"/>
    <s v="Alto"/>
    <n v="-0.27250867836960674"/>
    <n v="39.261545965821412"/>
    <x v="0"/>
  </r>
  <r>
    <x v="4"/>
    <x v="1"/>
    <n v="11"/>
    <n v="2.0633271561679885"/>
    <n v="98.045922217817065"/>
    <s v="Alto"/>
    <n v="-1.6899435514704508"/>
    <n v="4.5519377264599568"/>
    <x v="1"/>
  </r>
  <r>
    <x v="5"/>
    <x v="2"/>
    <m/>
    <m/>
    <m/>
    <m/>
    <m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4">
  <r>
    <x v="0"/>
    <s v="Femenino"/>
    <n v="6"/>
    <n v="1.5149406517897486"/>
    <n v="93.510628283011684"/>
    <x v="0"/>
  </r>
  <r>
    <x v="0"/>
    <s v="Femenino"/>
    <n v="7"/>
    <n v="1.3151504041499074"/>
    <n v="90.577032023155539"/>
    <x v="0"/>
  </r>
  <r>
    <x v="0"/>
    <s v="Femenino"/>
    <n v="6"/>
    <n v="4.3617964448086849E-3"/>
    <n v="50.174009950269372"/>
    <x v="0"/>
  </r>
  <r>
    <x v="0"/>
    <s v="Femenino"/>
    <n v="7"/>
    <n v="1.3151504041499074"/>
    <n v="90.577032023155539"/>
    <x v="0"/>
  </r>
  <r>
    <x v="0"/>
    <s v="Femenino"/>
    <n v="6"/>
    <n v="-0.17198952530893982"/>
    <n v="43.172288194217401"/>
    <x v="0"/>
  </r>
  <r>
    <x v="0"/>
    <s v="Masculino"/>
    <n v="7"/>
    <n v="-1.4356054275424708"/>
    <n v="7.5557324723698267"/>
    <x v="0"/>
  </r>
  <r>
    <x v="0"/>
    <s v="Femenino"/>
    <n v="6"/>
    <n v="-0.93974998814578248"/>
    <n v="17.36729087369784"/>
    <x v="0"/>
  </r>
  <r>
    <x v="0"/>
    <s v="Masculino"/>
    <n v="6"/>
    <n v="-1.2985792426949461"/>
    <n v="9.7044182666681209"/>
    <x v="0"/>
  </r>
  <r>
    <x v="0"/>
    <s v="Femenino"/>
    <n v="7"/>
    <n v="-2.0918672762665014"/>
    <n v="1.8225195051683865"/>
    <x v="1"/>
  </r>
  <r>
    <x v="0"/>
    <s v="Femenino"/>
    <n v="6"/>
    <n v="-0.63033488105152691"/>
    <n v="26.423775303780577"/>
    <x v="0"/>
  </r>
  <r>
    <x v="0"/>
    <s v="Masculino"/>
    <n v="6"/>
    <n v="-0.72443547188380331"/>
    <n v="23.439921465076132"/>
    <x v="0"/>
  </r>
  <r>
    <x v="0"/>
    <s v="Masculino"/>
    <n v="6"/>
    <n v="-1.1071979857578993"/>
    <n v="13.410416911373826"/>
    <x v="0"/>
  </r>
  <r>
    <x v="0"/>
    <s v="Masculino"/>
    <n v="7"/>
    <n v="1.736892808127545"/>
    <n v="95.879695344767242"/>
    <x v="2"/>
  </r>
  <r>
    <x v="0"/>
    <s v="Femenino"/>
    <n v="6"/>
    <n v="-1.1285723450638938"/>
    <n v="12.953914115787679"/>
    <x v="0"/>
  </r>
  <r>
    <x v="0"/>
    <s v="Femenino"/>
    <n v="6"/>
    <n v="-0.54555495821280986"/>
    <n v="29.268594645056485"/>
    <x v="0"/>
  </r>
  <r>
    <x v="0"/>
    <s v="Masculino"/>
    <n v="7"/>
    <n v="-2.657902957858858E-2"/>
    <n v="48.939774966121604"/>
    <x v="0"/>
  </r>
  <r>
    <x v="0"/>
    <s v="Femenino"/>
    <n v="7"/>
    <n v="0.2247520734221615"/>
    <n v="58.891392398353723"/>
    <x v="0"/>
  </r>
  <r>
    <x v="0"/>
    <s v="Masculino"/>
    <n v="7"/>
    <n v="-1.0847796818368971"/>
    <n v="13.900962328448127"/>
    <x v="0"/>
  </r>
  <r>
    <x v="0"/>
    <s v="Masculino"/>
    <n v="7"/>
    <n v="0.17039105412004696"/>
    <n v="56.764869647573427"/>
    <x v="0"/>
  </r>
  <r>
    <x v="0"/>
    <s v="Masculino"/>
    <n v="6"/>
    <n v="-0.34167295800970976"/>
    <n v="36.629851251702107"/>
    <x v="0"/>
  </r>
  <r>
    <x v="0"/>
    <s v="Masculino"/>
    <n v="7"/>
    <n v="-0.93317794924813824"/>
    <n v="17.536404894693604"/>
    <x v="0"/>
  </r>
  <r>
    <x v="0"/>
    <s v="Masculino"/>
    <n v="6"/>
    <n v="-0.15029170107266301"/>
    <n v="44.026724010483747"/>
    <x v="0"/>
  </r>
  <r>
    <x v="0"/>
    <s v="Femenino"/>
    <n v="7"/>
    <n v="0.50448722221950582"/>
    <n v="69.304048043978668"/>
    <x v="0"/>
  </r>
  <r>
    <x v="0"/>
    <s v="Masculino"/>
    <n v="7"/>
    <n v="-0.780984903139475"/>
    <n v="21.740568699577874"/>
    <x v="0"/>
  </r>
  <r>
    <x v="0"/>
    <s v="Femenino"/>
    <n v="7"/>
    <n v="-0.28535478809945419"/>
    <n v="38.768617099293024"/>
    <x v="0"/>
  </r>
  <r>
    <x v="0"/>
    <s v="Femenino"/>
    <n v="7"/>
    <n v="-0.89301575006078837"/>
    <n v="18.59243691215368"/>
    <x v="0"/>
  </r>
  <r>
    <x v="0"/>
    <s v="Masculino"/>
    <n v="8"/>
    <n v="-4.6936759933381506E-2"/>
    <n v="48.128181508870568"/>
    <x v="0"/>
  </r>
  <r>
    <x v="0"/>
    <s v="Masculino"/>
    <n v="8"/>
    <n v="0.13011627640528184"/>
    <n v="55.176278355753048"/>
    <x v="0"/>
  </r>
  <r>
    <x v="0"/>
    <s v="Femenino"/>
    <n v="7"/>
    <n v="0.68097553355770268"/>
    <n v="75.205651408690741"/>
    <x v="0"/>
  </r>
  <r>
    <x v="0"/>
    <s v="Femenino"/>
    <n v="7"/>
    <n v="-1.1642348795724493"/>
    <n v="12.216441935853403"/>
    <x v="0"/>
  </r>
  <r>
    <x v="0"/>
    <s v="Femenino"/>
    <n v="7"/>
    <n v="0.68097553355770268"/>
    <n v="75.205651408690741"/>
    <x v="0"/>
  </r>
  <r>
    <x v="0"/>
    <s v="Masculino"/>
    <n v="7"/>
    <n v="-0.34374024090075989"/>
    <n v="36.552082265171343"/>
    <x v="0"/>
  </r>
  <r>
    <x v="0"/>
    <s v="Masculino"/>
    <n v="7"/>
    <n v="2.699027503055822"/>
    <n v="99.652287855458141"/>
    <x v="2"/>
  </r>
  <r>
    <x v="0"/>
    <s v="Femenino"/>
    <n v="7"/>
    <n v="-0.28535478809945419"/>
    <n v="38.768617099293024"/>
    <x v="0"/>
  </r>
  <r>
    <x v="0"/>
    <s v="Femenino"/>
    <n v="7"/>
    <n v="-0.54312222471617533"/>
    <n v="29.352282574005716"/>
    <x v="0"/>
  </r>
  <r>
    <x v="0"/>
    <s v="Masculino"/>
    <n v="8"/>
    <n v="1.2054331302015349"/>
    <n v="88.598193089968618"/>
    <x v="0"/>
  </r>
  <r>
    <x v="0"/>
    <s v="Femenino"/>
    <n v="7"/>
    <n v="-1.7153579971912409"/>
    <n v="4.313980563732474"/>
    <x v="1"/>
  </r>
  <r>
    <x v="0"/>
    <s v="Masculino"/>
    <n v="7"/>
    <n v="-0.72696954972894268"/>
    <n v="23.362230477493245"/>
    <x v="0"/>
  </r>
  <r>
    <x v="0"/>
    <s v="Femenino"/>
    <n v="8"/>
    <n v="-0.68395963711608043"/>
    <n v="24.700032686396284"/>
    <x v="0"/>
  </r>
  <r>
    <x v="0"/>
    <s v="Masculino"/>
    <n v="8"/>
    <n v="0.32251837709187081"/>
    <n v="62.646999098903656"/>
    <x v="0"/>
  </r>
  <r>
    <x v="0"/>
    <s v="Femenino"/>
    <n v="7"/>
    <n v="-1.2235168898350083E-2"/>
    <n v="49.511899559943686"/>
    <x v="0"/>
  </r>
  <r>
    <x v="0"/>
    <s v="Masculino"/>
    <n v="7"/>
    <n v="-0.85718388699065529"/>
    <n v="19.56716330037079"/>
    <x v="0"/>
  </r>
  <r>
    <x v="0"/>
    <s v="Masculino"/>
    <n v="8"/>
    <n v="-0.15952084466596206"/>
    <n v="43.662926846213814"/>
    <x v="0"/>
  </r>
  <r>
    <x v="0"/>
    <s v="Masculino"/>
    <n v="8"/>
    <n v="-0.71774032806715615"/>
    <n v="23.645870623918469"/>
    <x v="0"/>
  </r>
  <r>
    <x v="0"/>
    <s v="Masculino"/>
    <n v="9"/>
    <n v="-0.28365895754307319"/>
    <n v="38.833587519130951"/>
    <x v="0"/>
  </r>
  <r>
    <x v="0"/>
    <s v="Femenino"/>
    <n v="8"/>
    <n v="-2.0613014463343289"/>
    <n v="1.9637145160881904"/>
    <x v="1"/>
  </r>
  <r>
    <x v="0"/>
    <s v="Masculino"/>
    <n v="9"/>
    <n v="-0.16601209495540967"/>
    <n v="43.407371592736062"/>
    <x v="0"/>
  </r>
  <r>
    <x v="0"/>
    <s v="Femenino"/>
    <n v="8"/>
    <n v="1.0835287160516809"/>
    <n v="86.071309404006826"/>
    <x v="0"/>
  </r>
  <r>
    <x v="0"/>
    <s v="Femenino"/>
    <n v="8"/>
    <n v="-0.33318360999334473"/>
    <n v="36.94978446688534"/>
    <x v="0"/>
  </r>
  <r>
    <x v="0"/>
    <s v="Femenino"/>
    <n v="9"/>
    <n v="-0.88899948271638252"/>
    <n v="18.700167890467011"/>
    <x v="0"/>
  </r>
  <r>
    <x v="0"/>
    <s v="Femenino"/>
    <n v="8"/>
    <n v="-0.75500870001687204"/>
    <n v="22.512188105661412"/>
    <x v="0"/>
  </r>
  <r>
    <x v="0"/>
    <s v="Masculino"/>
    <n v="8"/>
    <n v="-2.0689399102620571"/>
    <n v="1.9275862913703996"/>
    <x v="1"/>
  </r>
  <r>
    <x v="0"/>
    <s v="Femenino"/>
    <n v="8"/>
    <n v="-1.5661731914800108"/>
    <n v="5.8654038502661727"/>
    <x v="0"/>
  </r>
  <r>
    <x v="0"/>
    <s v="Femenino"/>
    <n v="9"/>
    <n v="0.72144847698867542"/>
    <n v="76.468318508909476"/>
    <x v="0"/>
  </r>
  <r>
    <x v="0"/>
    <s v="Femenino"/>
    <n v="8"/>
    <n v="-0.82027423401880739"/>
    <n v="20.60298957087824"/>
    <x v="0"/>
  </r>
  <r>
    <x v="0"/>
    <s v="Femenino"/>
    <n v="9"/>
    <n v="-1.0417306611102288"/>
    <n v="14.876828472434973"/>
    <x v="0"/>
  </r>
  <r>
    <x v="0"/>
    <s v="Femenino"/>
    <n v="9"/>
    <n v="-1.7440462074866332"/>
    <n v="4.0575516415224842"/>
    <x v="1"/>
  </r>
  <r>
    <x v="0"/>
    <s v="Masculino"/>
    <n v="10"/>
    <n v="-0.25573836347543183"/>
    <n v="39.907643508722359"/>
    <x v="0"/>
  </r>
  <r>
    <x v="0"/>
    <s v="Femenino"/>
    <n v="9"/>
    <n v="1.6375987259028781"/>
    <n v="94.924728548476722"/>
    <x v="0"/>
  </r>
  <r>
    <x v="0"/>
    <s v="Masculino"/>
    <n v="9"/>
    <n v="-0.51386158305578"/>
    <n v="30.367438418759228"/>
    <x v="0"/>
  </r>
  <r>
    <x v="0"/>
    <s v="Masculino"/>
    <n v="9"/>
    <n v="0.15188137443572455"/>
    <n v="56.035975054942085"/>
    <x v="0"/>
  </r>
  <r>
    <x v="0"/>
    <s v="Masculino"/>
    <n v="9"/>
    <n v="0.48850796873006108"/>
    <n v="68.740495863878294"/>
    <x v="0"/>
  </r>
  <r>
    <x v="0"/>
    <s v="Masculino"/>
    <n v="10"/>
    <n v="0.38259279292278342"/>
    <n v="64.898914258319607"/>
    <x v="0"/>
  </r>
  <r>
    <x v="0"/>
    <s v="Femenino"/>
    <n v="9"/>
    <n v="-1.2003617957394703"/>
    <n v="11.499942978460114"/>
    <x v="0"/>
  </r>
  <r>
    <x v="0"/>
    <s v="Femenino"/>
    <n v="9"/>
    <n v="1.409340878780158"/>
    <n v="92.063280164992193"/>
    <x v="0"/>
  </r>
  <r>
    <x v="0"/>
    <s v="Masculino"/>
    <n v="9"/>
    <n v="1.0256682259664571"/>
    <n v="84.747600185787732"/>
    <x v="0"/>
  </r>
  <r>
    <x v="0"/>
    <s v="Femenino"/>
    <n v="10"/>
    <n v="0.28708571291812124"/>
    <n v="61.297665430838656"/>
    <x v="0"/>
  </r>
  <r>
    <x v="0"/>
    <s v="Masculino"/>
    <n v="9"/>
    <n v="-0.39513515617671108"/>
    <n v="34.637157230937078"/>
    <x v="0"/>
  </r>
  <r>
    <x v="0"/>
    <s v="Masculino"/>
    <n v="10"/>
    <n v="-0.94068827748310047"/>
    <n v="17.343231402686111"/>
    <x v="0"/>
  </r>
  <r>
    <x v="0"/>
    <s v="Femenino"/>
    <n v="10"/>
    <n v="0.44289885425766912"/>
    <n v="67.108055190819343"/>
    <x v="0"/>
  </r>
  <r>
    <x v="0"/>
    <s v="Masculino"/>
    <n v="9"/>
    <n v="8.2292637343017561E-2"/>
    <n v="53.279299544367611"/>
    <x v="0"/>
  </r>
  <r>
    <x v="0"/>
    <s v="Femenino"/>
    <n v="10"/>
    <n v="0.36016502848242249"/>
    <n v="64.063813728453241"/>
    <x v="0"/>
  </r>
  <r>
    <x v="0"/>
    <s v="Masculino"/>
    <n v="9"/>
    <n v="1.3554334200622957"/>
    <n v="91.236024606642758"/>
    <x v="0"/>
  </r>
  <r>
    <x v="0"/>
    <s v="Masculino"/>
    <n v="10"/>
    <n v="1.5400284907416939"/>
    <n v="93.8223295593438"/>
    <x v="0"/>
  </r>
  <r>
    <x v="0"/>
    <s v="Femenino"/>
    <n v="10"/>
    <n v="-1.1159731232829455"/>
    <n v="13.221681965526285"/>
    <x v="0"/>
  </r>
  <r>
    <x v="0"/>
    <s v="Masculino"/>
    <n v="9"/>
    <n v="-1.1581512468940443"/>
    <n v="12.340115991647666"/>
    <x v="0"/>
  </r>
  <r>
    <x v="0"/>
    <s v="Femenino"/>
    <n v="10"/>
    <n v="-1.0374602387301779"/>
    <n v="14.976070848861491"/>
    <x v="0"/>
  </r>
  <r>
    <x v="0"/>
    <s v="Masculino"/>
    <n v="9"/>
    <n v="-0.67530604661284566"/>
    <n v="24.974067154873342"/>
    <x v="0"/>
  </r>
  <r>
    <x v="0"/>
    <s v="Masculino"/>
    <n v="9"/>
    <n v="-1.827418536735897"/>
    <n v="3.3818432171539152"/>
    <x v="1"/>
  </r>
  <r>
    <x v="0"/>
    <s v="Masculino"/>
    <n v="9"/>
    <n v="0.58614764908050099"/>
    <n v="72.111185089987202"/>
    <x v="0"/>
  </r>
  <r>
    <x v="0"/>
    <s v="Femenino"/>
    <n v="10"/>
    <n v="0.33873909965141619"/>
    <n v="63.259685853906532"/>
    <x v="0"/>
  </r>
  <r>
    <x v="0"/>
    <s v="Masculino"/>
    <n v="10"/>
    <n v="-0.64818258459662226"/>
    <n v="25.843343226295957"/>
    <x v="0"/>
  </r>
  <r>
    <x v="0"/>
    <s v="Masculino"/>
    <n v="11"/>
    <n v="-0.37060184615518021"/>
    <n v="35.54670534021561"/>
    <x v="0"/>
  </r>
  <r>
    <x v="0"/>
    <s v="Masculino"/>
    <n v="12"/>
    <n v="-0.57589781451402888"/>
    <n v="28.234212646113733"/>
    <x v="0"/>
  </r>
  <r>
    <x v="0"/>
    <s v="Femenino"/>
    <n v="10"/>
    <n v="-0.20171848384685195"/>
    <n v="42.006840580752289"/>
    <x v="0"/>
  </r>
  <r>
    <x v="0"/>
    <s v="Femenino"/>
    <n v="10"/>
    <n v="-1.198976636406976"/>
    <n v="11.526851519538882"/>
    <x v="0"/>
  </r>
  <r>
    <x v="0"/>
    <s v="Femenino"/>
    <n v="11"/>
    <n v="-0.83498212356341395"/>
    <n v="20.186388680691998"/>
    <x v="0"/>
  </r>
  <r>
    <x v="0"/>
    <s v="Femenino"/>
    <n v="10"/>
    <n v="-1.198976636406976"/>
    <n v="11.526851519538882"/>
    <x v="0"/>
  </r>
  <r>
    <x v="0"/>
    <s v="Femenino"/>
    <n v="11"/>
    <n v="-0.45815211802715605"/>
    <n v="32.342157871454667"/>
    <x v="0"/>
  </r>
  <r>
    <x v="0"/>
    <s v="Femenino"/>
    <n v="13"/>
    <n v="-2.3444295563811304"/>
    <n v="0.95281049565392273"/>
    <x v="1"/>
  </r>
  <r>
    <x v="0"/>
    <s v="Femenino"/>
    <n v="9"/>
    <n v="-1.9835611960074819"/>
    <n v="2.3652389322477081"/>
    <x v="1"/>
  </r>
  <r>
    <x v="0"/>
    <s v="Masculino"/>
    <n v="11"/>
    <n v="-1.6510599072275824"/>
    <n v="4.9363171445939198"/>
    <x v="1"/>
  </r>
  <r>
    <x v="0"/>
    <s v="Femenino"/>
    <n v="11"/>
    <n v="-1.2062288570173549"/>
    <n v="11.386463008143716"/>
    <x v="0"/>
  </r>
  <r>
    <x v="0"/>
    <s v="Masculino"/>
    <n v="10"/>
    <n v="-0.62827226336275266"/>
    <n v="26.491279917810751"/>
    <x v="0"/>
  </r>
  <r>
    <x v="0"/>
    <s v="Femenino"/>
    <n v="10"/>
    <n v="8.1853308580893416E-2"/>
    <n v="53.261831793019176"/>
    <x v="0"/>
  </r>
  <r>
    <x v="0"/>
    <s v="Masculino"/>
    <n v="10"/>
    <n v="-6.0254338176670696E-2"/>
    <n v="47.597653434257417"/>
    <x v="0"/>
  </r>
  <r>
    <x v="0"/>
    <s v="Masculino"/>
    <n v="10"/>
    <n v="-0.21287424237289609"/>
    <n v="41.571252676173195"/>
    <x v="0"/>
  </r>
  <r>
    <x v="0"/>
    <s v="Masculino"/>
    <n v="10"/>
    <n v="-2.0368110392131644"/>
    <n v="2.08344908139073"/>
    <x v="1"/>
  </r>
  <r>
    <x v="0"/>
    <s v="Masculino"/>
    <n v="11"/>
    <n v="0.36250831003088163"/>
    <n v="64.151389263416263"/>
    <x v="0"/>
  </r>
  <r>
    <x v="0"/>
    <s v="Masculino"/>
    <n v="10"/>
    <n v="0.79828978386139771"/>
    <n v="78.76488274145045"/>
    <x v="0"/>
  </r>
  <r>
    <x v="0"/>
    <s v="Femenino"/>
    <n v="10"/>
    <n v="-0.89628883847029728"/>
    <n v="18.504925937790738"/>
    <x v="0"/>
  </r>
  <r>
    <x v="0"/>
    <s v="Femenino"/>
    <n v="6"/>
    <n v="9.4103400278492191E-2"/>
    <n v="53.748649033074649"/>
    <x v="0"/>
  </r>
  <r>
    <x v="0"/>
    <s v="Femenino"/>
    <n v="6"/>
    <n v="-0.10689348990141691"/>
    <n v="45.743673895312568"/>
    <x v="0"/>
  </r>
  <r>
    <x v="0"/>
    <s v="Femenino"/>
    <n v="5"/>
    <n v="-0.92833411483768313"/>
    <n v="17.661714155361221"/>
    <x v="0"/>
  </r>
  <r>
    <x v="0"/>
    <s v="Masculino"/>
    <n v="5"/>
    <n v="-2.2507274238977413"/>
    <n v="1.2201403359779874"/>
    <x v="1"/>
  </r>
  <r>
    <x v="0"/>
    <s v="Masculino"/>
    <n v="6"/>
    <n v="-0.26302339034765504"/>
    <n v="39.626627539150803"/>
    <x v="0"/>
  </r>
  <r>
    <x v="0"/>
    <s v="Masculino"/>
    <n v="6"/>
    <n v="-0.17040558389718163"/>
    <n v="43.234559052693569"/>
    <x v="0"/>
  </r>
  <r>
    <x v="0"/>
    <s v="Masculino"/>
    <n v="6"/>
    <n v="0.41719987781723522"/>
    <n v="66.173389272054692"/>
    <x v="0"/>
  </r>
  <r>
    <x v="0"/>
    <s v="Masculino"/>
    <n v="6"/>
    <n v="2.268294402456231"/>
    <n v="98.834436556454904"/>
    <x v="2"/>
  </r>
  <r>
    <x v="0"/>
    <s v="Femenino"/>
    <n v="6"/>
    <n v="0.47914477299026131"/>
    <n v="68.408218008120713"/>
    <x v="0"/>
  </r>
  <r>
    <x v="0"/>
    <s v="Femenino"/>
    <n v="10"/>
    <n v="-4.387308527268365"/>
    <n v="5.7380972423501993E-4"/>
    <x v="1"/>
  </r>
  <r>
    <x v="0"/>
    <s v="Femenino"/>
    <n v="6"/>
    <n v="-0.93974998814578248"/>
    <n v="17.36729087369784"/>
    <x v="0"/>
  </r>
  <r>
    <x v="0"/>
    <s v="Femenino"/>
    <n v="6"/>
    <n v="7.6927593022313973E-2"/>
    <n v="53.065942673674236"/>
    <x v="0"/>
  </r>
  <r>
    <x v="0"/>
    <s v="Masculino"/>
    <n v="6"/>
    <n v="0.51579719446931604"/>
    <n v="69.700196888324882"/>
    <x v="0"/>
  </r>
  <r>
    <x v="0"/>
    <s v="Masculino"/>
    <n v="6"/>
    <n v="0.61522240124341421"/>
    <n v="73.079607207472719"/>
    <x v="0"/>
  </r>
  <r>
    <x v="0"/>
    <s v="Femenino"/>
    <n v="6"/>
    <n v="-0.56210527430954749"/>
    <n v="28.702214751683996"/>
    <x v="0"/>
  </r>
  <r>
    <x v="0"/>
    <s v="Femenino"/>
    <n v="5"/>
    <n v="0.36445234329081977"/>
    <n v="64.223987262244194"/>
    <x v="0"/>
  </r>
  <r>
    <x v="0"/>
    <s v="Femenino"/>
    <n v="6"/>
    <n v="-1.0451629469187491"/>
    <n v="14.79738326767975"/>
    <x v="0"/>
  </r>
  <r>
    <x v="0"/>
    <s v="Femenino"/>
    <n v="5"/>
    <n v="-1.3261461283951448"/>
    <n v="9.2395649668188771"/>
    <x v="0"/>
  </r>
  <r>
    <x v="0"/>
    <s v="Masculino"/>
    <n v="8"/>
    <n v="-1.0061260581599163"/>
    <n v="15.717746758157569"/>
    <x v="0"/>
  </r>
  <r>
    <x v="0"/>
    <s v="Femenino"/>
    <n v="7"/>
    <n v="0.85854467465040718"/>
    <n v="80.47041135500406"/>
    <x v="0"/>
  </r>
  <r>
    <x v="0"/>
    <s v="Femenino"/>
    <n v="7"/>
    <n v="0.85770775239244423"/>
    <n v="80.447307089568937"/>
    <x v="0"/>
  </r>
  <r>
    <x v="0"/>
    <s v="Femenino"/>
    <n v="7"/>
    <n v="-0.71806898738848191"/>
    <n v="23.635737551820522"/>
    <x v="0"/>
  </r>
  <r>
    <x v="0"/>
    <s v="Masculino"/>
    <n v="8"/>
    <n v="0.12675941080465566"/>
    <n v="55.043458899690293"/>
    <x v="0"/>
  </r>
  <r>
    <x v="0"/>
    <s v="Masculino"/>
    <n v="8"/>
    <n v="-0.4517560987925302"/>
    <n v="32.572234974396828"/>
    <x v="0"/>
  </r>
  <r>
    <x v="0"/>
    <s v="Masculino"/>
    <n v="9"/>
    <n v="6.1573515507949761E-2"/>
    <n v="52.454876576288676"/>
    <x v="0"/>
  </r>
  <r>
    <x v="0"/>
    <s v="Femenino"/>
    <n v="9"/>
    <n v="-0.40820589899261317"/>
    <n v="34.15612588507615"/>
    <x v="0"/>
  </r>
  <r>
    <x v="0"/>
    <s v="Femenino"/>
    <n v="8"/>
    <n v="0.4143398279372541"/>
    <n v="66.068737524182936"/>
    <x v="0"/>
  </r>
  <r>
    <x v="0"/>
    <s v="Femenino"/>
    <n v="9"/>
    <n v="-0.48610775432556563"/>
    <n v="31.344538466551587"/>
    <x v="0"/>
  </r>
  <r>
    <x v="0"/>
    <s v="Femenino"/>
    <n v="9"/>
    <n v="2.4234537377788263"/>
    <n v="99.231314437761213"/>
    <x v="2"/>
  </r>
  <r>
    <x v="0"/>
    <s v="Masculino"/>
    <n v="8"/>
    <n v="-0.47709931690849172"/>
    <n v="31.664570054070907"/>
    <x v="0"/>
  </r>
  <r>
    <x v="0"/>
    <s v="Femenino"/>
    <n v="9"/>
    <n v="-1.9079511953252067E-3"/>
    <n v="49.923883806104918"/>
    <x v="0"/>
  </r>
  <r>
    <x v="0"/>
    <s v="Masculino"/>
    <n v="9"/>
    <n v="-1.1590063823968033"/>
    <n v="12.322679174680074"/>
    <x v="0"/>
  </r>
  <r>
    <x v="0"/>
    <s v="Femenino"/>
    <n v="8"/>
    <n v="-0.65593014161240959"/>
    <n v="25.593453672680756"/>
    <x v="0"/>
  </r>
  <r>
    <x v="0"/>
    <s v="Femenino"/>
    <n v="9"/>
    <n v="-0.4058650948048666"/>
    <n v="34.242086313412948"/>
    <x v="0"/>
  </r>
  <r>
    <x v="0"/>
    <s v="Masculino"/>
    <n v="9"/>
    <n v="-1.6682759388959867"/>
    <n v="4.7630481037742971"/>
    <x v="1"/>
  </r>
  <r>
    <x v="0"/>
    <s v="Masculino"/>
    <n v="10"/>
    <n v="-0.56662866675215506"/>
    <n v="28.548324717162888"/>
    <x v="0"/>
  </r>
  <r>
    <x v="0"/>
    <s v="Masculino"/>
    <n v="10"/>
    <n v="0.87061184619625398"/>
    <n v="80.801693696302436"/>
    <x v="0"/>
  </r>
  <r>
    <x v="0"/>
    <s v="Femenino"/>
    <n v="11"/>
    <n v="-0.32289876353035579"/>
    <n v="37.338595637935441"/>
    <x v="0"/>
  </r>
  <r>
    <x v="0"/>
    <s v="Femenino"/>
    <n v="11"/>
    <n v="1.5213190243952899"/>
    <n v="93.591010080337767"/>
    <x v="0"/>
  </r>
  <r>
    <x v="1"/>
    <s v="Femenino"/>
    <n v="4"/>
    <n v="1.0223446226548947"/>
    <n v="84.66910897721452"/>
    <x v="0"/>
  </r>
  <r>
    <x v="1"/>
    <s v="Femenino"/>
    <n v="4"/>
    <n v="-1.9151940258239506"/>
    <n v="2.7733882049446037"/>
    <x v="1"/>
  </r>
  <r>
    <x v="1"/>
    <s v="Femenino"/>
    <n v="4"/>
    <n v="-1.5626627909162658"/>
    <n v="5.9065965365023656"/>
    <x v="0"/>
  </r>
  <r>
    <x v="1"/>
    <s v="Masculino"/>
    <n v="3"/>
    <n v="-1.8674476065922416"/>
    <n v="3.0919553472769445"/>
    <x v="1"/>
  </r>
  <r>
    <x v="1"/>
    <s v="Masculino"/>
    <n v="3"/>
    <n v="-1.1317315932288114"/>
    <n v="12.887364743793601"/>
    <x v="0"/>
  </r>
  <r>
    <x v="1"/>
    <s v="Masculino"/>
    <n v="4"/>
    <n v="-1.2854096400427388"/>
    <n v="9.9324587143802372"/>
    <x v="0"/>
  </r>
  <r>
    <x v="1"/>
    <s v="Femenino"/>
    <n v="4"/>
    <n v="-0.61336997824985207"/>
    <n v="26.981586610309648"/>
    <x v="0"/>
  </r>
  <r>
    <x v="1"/>
    <s v="Masculino"/>
    <n v="5"/>
    <n v="-0.50681484890726403"/>
    <n v="30.614236827250739"/>
    <x v="0"/>
  </r>
  <r>
    <x v="1"/>
    <s v="Femenino"/>
    <n v="5"/>
    <n v="-1.7684776664541455"/>
    <n v="3.8490541311852535"/>
    <x v="1"/>
  </r>
  <r>
    <x v="1"/>
    <s v="Masculino"/>
    <n v="5"/>
    <n v="-1.8924237778669124"/>
    <n v="2.9217270203828747"/>
    <x v="1"/>
  </r>
  <r>
    <x v="1"/>
    <s v="Femenino"/>
    <n v="5"/>
    <n v="-0.50945723473381144"/>
    <n v="30.521588346978991"/>
    <x v="0"/>
  </r>
  <r>
    <x v="1"/>
    <s v="Masculino"/>
    <n v="5"/>
    <n v="-1.9915204117241241"/>
    <n v="2.3211851732440447"/>
    <x v="1"/>
  </r>
  <r>
    <x v="1"/>
    <s v="Masculino"/>
    <n v="4"/>
    <n v="-0.84814410279819552"/>
    <n v="19.81788613409061"/>
    <x v="0"/>
  </r>
  <r>
    <x v="1"/>
    <s v="Femenino"/>
    <n v="4"/>
    <n v="0.29455469293953035"/>
    <n v="61.583296147569143"/>
    <x v="0"/>
  </r>
  <r>
    <x v="1"/>
    <s v="Femenino"/>
    <n v="5"/>
    <n v="-0.75335172026152097"/>
    <n v="22.561929338786662"/>
    <x v="0"/>
  </r>
  <r>
    <x v="1"/>
    <s v="Masculino"/>
    <n v="5"/>
    <n v="-0.93101643828351133"/>
    <n v="17.592253052244857"/>
    <x v="0"/>
  </r>
  <r>
    <x v="1"/>
    <s v="Femenino"/>
    <n v="5"/>
    <n v="-1.166702092136924"/>
    <n v="12.166534882382921"/>
    <x v="0"/>
  </r>
  <r>
    <x v="1"/>
    <s v="Masculino"/>
    <n v="5"/>
    <n v="0.25946431277480897"/>
    <n v="60.236149316924894"/>
    <x v="0"/>
  </r>
  <r>
    <x v="1"/>
    <s v="Femenino"/>
    <n v="4"/>
    <n v="0.18193092335232774"/>
    <n v="57.218153193397626"/>
    <x v="0"/>
  </r>
  <r>
    <x v="1"/>
    <s v="Masculino"/>
    <n v="5"/>
    <n v="-0.82217781151570624"/>
    <n v="20.548785255638499"/>
    <x v="0"/>
  </r>
  <r>
    <x v="1"/>
    <s v="Masculino"/>
    <n v="4"/>
    <n v="0.24796086605367362"/>
    <n v="59.791765713845521"/>
    <x v="0"/>
  </r>
  <r>
    <x v="1"/>
    <s v="Masculino"/>
    <n v="5"/>
    <n v="0.24262719224332768"/>
    <n v="59.585289291294508"/>
    <x v="0"/>
  </r>
  <r>
    <x v="1"/>
    <s v="Masculino"/>
    <n v="4"/>
    <n v="-0.9547536237188875"/>
    <n v="16.985115253886789"/>
    <x v="0"/>
  </r>
  <r>
    <x v="1"/>
    <s v="Masculino"/>
    <n v="4"/>
    <n v="-1.2854096400427388"/>
    <n v="9.9324587143802372"/>
    <x v="0"/>
  </r>
  <r>
    <x v="1"/>
    <s v="Femenino"/>
    <n v="3"/>
    <n v="-0.53022680661738031"/>
    <n v="29.797734358787974"/>
    <x v="0"/>
  </r>
  <r>
    <x v="1"/>
    <s v="Masculino"/>
    <n v="3"/>
    <n v="-1.6105638764081873"/>
    <n v="5.3637406284311444"/>
    <x v="0"/>
  </r>
  <r>
    <x v="1"/>
    <s v="Femenino"/>
    <n v="3"/>
    <n v="-2.1975827730321735"/>
    <n v="1.3989425982179646"/>
    <x v="1"/>
  </r>
  <r>
    <x v="1"/>
    <s v="Masculino"/>
    <n v="2"/>
    <n v="-0.93529502067988712"/>
    <n v="17.481814035338232"/>
    <x v="0"/>
  </r>
  <r>
    <x v="1"/>
    <s v="Femenino"/>
    <n v="2"/>
    <n v="-2.2194069844490976"/>
    <n v="1.3229524461074191"/>
    <x v="1"/>
  </r>
  <r>
    <x v="1"/>
    <s v="Masculino"/>
    <n v="3"/>
    <n v="-0.61153224027067421"/>
    <n v="27.042364060820677"/>
    <x v="0"/>
  </r>
  <r>
    <x v="1"/>
    <s v="Masculino"/>
    <n v="3"/>
    <n v="-1.9801502940252083"/>
    <n v="2.384332160726061"/>
    <x v="1"/>
  </r>
  <r>
    <x v="1"/>
    <s v="Femenino"/>
    <n v="2"/>
    <n v="-1.1566380263371678"/>
    <n v="12.371013968615637"/>
    <x v="0"/>
  </r>
  <r>
    <x v="1"/>
    <s v="Femenino"/>
    <n v="4"/>
    <n v="-3.9160235555188403"/>
    <n v="4.5010728181255552E-3"/>
    <x v="1"/>
  </r>
  <r>
    <x v="1"/>
    <s v="Masculino"/>
    <n v="4"/>
    <n v="7.5471033953068714E-2"/>
    <n v="53.008002832599175"/>
    <x v="0"/>
  </r>
  <r>
    <x v="1"/>
    <s v="Masculino"/>
    <n v="4"/>
    <n v="-0.48279504338498413"/>
    <n v="31.462063527249619"/>
    <x v="0"/>
  </r>
  <r>
    <x v="1"/>
    <s v="Femenino"/>
    <n v="4"/>
    <n v="0.52670687842150321"/>
    <n v="70.080142087281587"/>
    <x v="0"/>
  </r>
  <r>
    <x v="1"/>
    <s v="Femenino"/>
    <n v="4"/>
    <n v="-1.1448666114843926"/>
    <n v="12.613220839032937"/>
    <x v="0"/>
  </r>
  <r>
    <x v="1"/>
    <s v="Masculino"/>
    <n v="3"/>
    <n v="-1.1317315932288114"/>
    <n v="12.887364743793601"/>
    <x v="0"/>
  </r>
  <r>
    <x v="1"/>
    <s v="Masculino"/>
    <n v="4"/>
    <n v="-0.61705098705762318"/>
    <n v="26.860054783191533"/>
    <x v="0"/>
  </r>
  <r>
    <x v="1"/>
    <s v="Femenino"/>
    <n v="4"/>
    <n v="-0.49422634580787839"/>
    <n v="31.057316771503217"/>
    <x v="0"/>
  </r>
  <r>
    <x v="1"/>
    <s v="Femenino"/>
    <n v="4"/>
    <n v="-1.4648918194214124"/>
    <n v="7.1475217537710272"/>
    <x v="0"/>
  </r>
  <r>
    <x v="1"/>
    <s v="Femenino"/>
    <n v="4"/>
    <n v="-0.59682608674237903"/>
    <n v="27.531174964021531"/>
    <x v="0"/>
  </r>
  <r>
    <x v="1"/>
    <s v="Masculino"/>
    <n v="3"/>
    <n v="-1.9889489454196536"/>
    <n v="2.3353419256684296"/>
    <x v="1"/>
  </r>
  <r>
    <x v="1"/>
    <s v="Masculino"/>
    <n v="4"/>
    <n v="-1.5086353990531864"/>
    <n v="6.5695991343675262"/>
    <x v="0"/>
  </r>
  <r>
    <x v="1"/>
    <s v="Femenino"/>
    <n v="4"/>
    <n v="1.3907322373657516"/>
    <n v="91.784668093882928"/>
    <x v="0"/>
  </r>
  <r>
    <x v="1"/>
    <s v="Masculino"/>
    <n v="4"/>
    <n v="-1.396941768034484"/>
    <n v="8.1215541497642967"/>
    <x v="0"/>
  </r>
  <r>
    <x v="1"/>
    <s v="Masculino"/>
    <n v="4"/>
    <n v="1.1141246075191358"/>
    <n v="86.738713337227153"/>
    <x v="0"/>
  </r>
  <r>
    <x v="1"/>
    <s v="Masculino"/>
    <n v="4"/>
    <n v="-0.27378153773725367"/>
    <n v="39.21262562363637"/>
    <x v="0"/>
  </r>
  <r>
    <x v="1"/>
    <s v="Masculino"/>
    <n v="4"/>
    <n v="-0.72304562985614573"/>
    <n v="23.482592549602849"/>
    <x v="0"/>
  </r>
  <r>
    <x v="1"/>
    <s v="Femenino"/>
    <n v="4"/>
    <n v="-0.53380104254894201"/>
    <n v="29.673959619978994"/>
    <x v="0"/>
  </r>
  <r>
    <x v="1"/>
    <s v="Femenino"/>
    <n v="4"/>
    <n v="0.3866646082661524"/>
    <n v="65.049773974914473"/>
    <x v="0"/>
  </r>
  <r>
    <x v="1"/>
    <s v="Femenino"/>
    <n v="3"/>
    <n v="-0.5992861735092424"/>
    <n v="27.449103322426073"/>
    <x v="0"/>
  </r>
  <r>
    <x v="1"/>
    <s v="Femenino"/>
    <n v="4"/>
    <n v="-1.252799070888613"/>
    <n v="10.513941993941714"/>
    <x v="0"/>
  </r>
  <r>
    <x v="1"/>
    <s v="Masculino"/>
    <n v="4"/>
    <n v="-2.091463048794771"/>
    <n v="1.8243287736124998"/>
    <x v="1"/>
  </r>
  <r>
    <x v="1"/>
    <s v="Femenino"/>
    <n v="4"/>
    <n v="-7.3568217141396136E-2"/>
    <n v="47.067698081543213"/>
    <x v="0"/>
  </r>
  <r>
    <x v="1"/>
    <s v="Femenino"/>
    <n v="4"/>
    <n v="-1.5626627909162658"/>
    <n v="5.9065965365023656"/>
    <x v="0"/>
  </r>
  <r>
    <x v="1"/>
    <s v="Femenino"/>
    <n v="4"/>
    <n v="-1.6910042232465317"/>
    <n v="4.5417998027349133"/>
    <x v="1"/>
  </r>
  <r>
    <x v="1"/>
    <s v="Masculino"/>
    <n v="4"/>
    <n v="-0.80776215013774555"/>
    <n v="20.961375898282697"/>
    <x v="0"/>
  </r>
  <r>
    <x v="1"/>
    <s v="Masculino"/>
    <n v="4"/>
    <n v="-1.7450314915211436"/>
    <n v="4.0489693709218688"/>
    <x v="1"/>
  </r>
  <r>
    <x v="1"/>
    <s v="Femenino"/>
    <n v="3"/>
    <n v="0.43671156342683753"/>
    <n v="66.883972894747785"/>
    <x v="0"/>
  </r>
  <r>
    <x v="1"/>
    <s v="Masculino"/>
    <n v="5"/>
    <n v="-0.82001129172818532"/>
    <n v="20.610483504763078"/>
    <x v="0"/>
  </r>
  <r>
    <x v="1"/>
    <s v="Masculino"/>
    <n v="5"/>
    <n v="-1.0385062363738089"/>
    <n v="14.951721668980964"/>
    <x v="0"/>
  </r>
  <r>
    <x v="1"/>
    <s v="Femenino"/>
    <n v="5"/>
    <n v="-0.53904190597384583"/>
    <n v="29.492896970855632"/>
    <x v="0"/>
  </r>
  <r>
    <x v="1"/>
    <s v="Femenino"/>
    <n v="4"/>
    <n v="-1.0377739719681649"/>
    <n v="14.968764857034254"/>
    <x v="0"/>
  </r>
  <r>
    <x v="1"/>
    <s v="Femenino"/>
    <n v="5"/>
    <n v="0.27138307274275447"/>
    <n v="60.695179014747936"/>
    <x v="0"/>
  </r>
  <r>
    <x v="1"/>
    <s v="Masculino"/>
    <n v="3"/>
    <n v="0.92408821238438821"/>
    <n v="82.227980500563646"/>
    <x v="0"/>
  </r>
  <r>
    <x v="2"/>
    <s v="Masculino"/>
    <n v="7"/>
    <n v="0.24784067641612462"/>
    <n v="59.787115934409506"/>
    <x v="0"/>
  </r>
  <r>
    <x v="2"/>
    <s v="Femenino"/>
    <n v="12"/>
    <n v="0.43105678911511802"/>
    <n v="66.678646058789212"/>
    <x v="0"/>
  </r>
  <r>
    <x v="2"/>
    <s v="Femenino"/>
    <n v="5"/>
    <n v="0.26510192583468667"/>
    <n v="60.45345280996407"/>
    <x v="0"/>
  </r>
  <r>
    <x v="2"/>
    <s v="Masculino"/>
    <n v="7"/>
    <n v="1.1830885119486818"/>
    <n v="88.161296485716505"/>
    <x v="0"/>
  </r>
  <r>
    <x v="2"/>
    <s v="Masculino"/>
    <n v="10"/>
    <n v="1.6146764993000053"/>
    <n v="94.680961532514758"/>
    <x v="0"/>
  </r>
  <r>
    <x v="2"/>
    <s v="Masculino"/>
    <n v="9"/>
    <n v="1.6633223903473833"/>
    <n v="95.187604044316714"/>
    <x v="2"/>
  </r>
  <r>
    <x v="2"/>
    <s v="Femenino"/>
    <n v="6"/>
    <n v="1.4232474720086099"/>
    <n v="92.266778581424802"/>
    <x v="0"/>
  </r>
  <r>
    <x v="2"/>
    <s v="Femenino"/>
    <n v="10"/>
    <n v="1.776499994704593"/>
    <n v="96.21747286040916"/>
    <x v="2"/>
  </r>
  <r>
    <x v="2"/>
    <s v="Masculino"/>
    <n v="10"/>
    <n v="2.5449192365828419"/>
    <n v="99.45348492209672"/>
    <x v="2"/>
  </r>
  <r>
    <x v="2"/>
    <s v="Masculino"/>
    <n v="8"/>
    <n v="1.898868359126398"/>
    <n v="97.120910677775356"/>
    <x v="2"/>
  </r>
  <r>
    <x v="2"/>
    <s v="Femenino"/>
    <n v="5"/>
    <n v="3.0949939079669861"/>
    <n v="99.901591530214532"/>
    <x v="2"/>
  </r>
  <r>
    <x v="2"/>
    <s v="Masculino"/>
    <n v="5"/>
    <n v="-0.61139319580076734"/>
    <n v="27.046965305525404"/>
    <x v="0"/>
  </r>
  <r>
    <x v="2"/>
    <s v="Femenino"/>
    <n v="4"/>
    <n v="0.57011981500465603"/>
    <n v="71.570178174729747"/>
    <x v="0"/>
  </r>
  <r>
    <x v="2"/>
    <s v="Masculino"/>
    <n v="8"/>
    <n v="-0.40104283261070822"/>
    <n v="34.41942944350123"/>
    <x v="0"/>
  </r>
  <r>
    <x v="2"/>
    <s v="Masculino"/>
    <n v="8"/>
    <n v="-0.42919691113583019"/>
    <n v="33.388996534627339"/>
    <x v="0"/>
  </r>
  <r>
    <x v="2"/>
    <s v="Femenino"/>
    <n v="7"/>
    <n v="1.1300613194632538"/>
    <n v="87.077480643734276"/>
    <x v="0"/>
  </r>
  <r>
    <x v="2"/>
    <s v="Masculino"/>
    <n v="5"/>
    <n v="1.9500312184973925"/>
    <n v="97.441380087890963"/>
    <x v="2"/>
  </r>
  <r>
    <x v="2"/>
    <s v="Masculino"/>
    <n v="6"/>
    <n v="0.61522240124341421"/>
    <n v="73.079607207472719"/>
    <x v="0"/>
  </r>
  <r>
    <x v="2"/>
    <s v="Femenino"/>
    <n v="5"/>
    <n v="0.50247743330772954"/>
    <n v="69.233413875691326"/>
    <x v="0"/>
  </r>
  <r>
    <x v="3"/>
    <s v="Femenino"/>
    <n v="6"/>
    <n v="7.6927593022313973E-2"/>
    <n v="53.065942673674236"/>
    <x v="0"/>
  </r>
  <r>
    <x v="3"/>
    <s v="Femenino"/>
    <n v="6"/>
    <n v="0.85377781288916599"/>
    <n v="80.338594494470598"/>
    <x v="0"/>
  </r>
  <r>
    <x v="3"/>
    <s v="Masculino"/>
    <n v="6"/>
    <n v="-0.8645805307860901"/>
    <n v="19.363453113734135"/>
    <x v="0"/>
  </r>
  <r>
    <x v="3"/>
    <s v="Masculino"/>
    <n v="6"/>
    <n v="-8.9409150730916709E-2"/>
    <n v="46.437837568375599"/>
    <x v="0"/>
  </r>
  <r>
    <x v="3"/>
    <s v="Masculino"/>
    <n v="6"/>
    <n v="2.5462903340959037E-2"/>
    <n v="51.015713113397169"/>
    <x v="0"/>
  </r>
  <r>
    <x v="3"/>
    <s v="Femenino"/>
    <n v="6"/>
    <n v="-1.5680572579246085E-2"/>
    <n v="49.374461296441815"/>
    <x v="0"/>
  </r>
  <r>
    <x v="3"/>
    <s v="Femenino"/>
    <n v="5"/>
    <n v="-0.12617502285587384"/>
    <n v="44.979669110364831"/>
    <x v="0"/>
  </r>
  <r>
    <x v="3"/>
    <s v="Femenino"/>
    <n v="5"/>
    <n v="0.4640079326134175"/>
    <n v="67.867896886073268"/>
    <x v="0"/>
  </r>
  <r>
    <x v="3"/>
    <s v="Masculino"/>
    <n v="5"/>
    <n v="-9.2904188652212061E-2"/>
    <n v="46.298983903956625"/>
    <x v="0"/>
  </r>
  <r>
    <x v="3"/>
    <s v="Femenino"/>
    <n v="5"/>
    <n v="1.1552358383617705"/>
    <n v="87.60030687958178"/>
    <x v="0"/>
  </r>
  <r>
    <x v="3"/>
    <s v="Masculino"/>
    <n v="6"/>
    <n v="-0.8645805307860901"/>
    <n v="19.363453113734135"/>
    <x v="0"/>
  </r>
  <r>
    <x v="3"/>
    <s v="Masculino"/>
    <n v="6"/>
    <n v="0.61888622007340455"/>
    <n v="73.200434150012967"/>
    <x v="0"/>
  </r>
  <r>
    <x v="3"/>
    <s v="Masculino"/>
    <n v="6"/>
    <n v="-0.95387953284974436"/>
    <n v="17.007231238764128"/>
    <x v="0"/>
  </r>
  <r>
    <x v="3"/>
    <s v="Femenino"/>
    <n v="6"/>
    <n v="-0.41495574673538188"/>
    <n v="33.908714955400143"/>
    <x v="0"/>
  </r>
  <r>
    <x v="3"/>
    <s v="Femenino"/>
    <n v="6"/>
    <n v="-0.54555495821280986"/>
    <n v="29.268594645056485"/>
    <x v="0"/>
  </r>
  <r>
    <x v="3"/>
    <s v="Masculino"/>
    <n v="6"/>
    <n v="0.61339786493946635"/>
    <n v="73.0193351278904"/>
    <x v="0"/>
  </r>
  <r>
    <x v="3"/>
    <s v="Masculino"/>
    <n v="6"/>
    <n v="-2.5208274307548595"/>
    <n v="0.58539627332319788"/>
    <x v="1"/>
  </r>
  <r>
    <x v="3"/>
    <s v="Masculino"/>
    <n v="5"/>
    <n v="-0.19615046250424198"/>
    <n v="42.224619998627603"/>
    <x v="0"/>
  </r>
  <r>
    <x v="3"/>
    <s v="Femenino"/>
    <n v="6"/>
    <n v="-1.1516014491664313"/>
    <n v="12.474244281325797"/>
    <x v="0"/>
  </r>
  <r>
    <x v="3"/>
    <s v="Masculino"/>
    <n v="6"/>
    <n v="0.212939402931688"/>
    <n v="58.431288599212735"/>
    <x v="0"/>
  </r>
  <r>
    <x v="3"/>
    <s v="Masculino"/>
    <n v="6"/>
    <n v="1.9841477757223556"/>
    <n v="97.638031576916319"/>
    <x v="2"/>
  </r>
  <r>
    <x v="3"/>
    <s v="Femenino"/>
    <n v="6"/>
    <n v="-0.61028419087743091"/>
    <n v="27.083678375208336"/>
    <x v="0"/>
  </r>
  <r>
    <x v="3"/>
    <s v="Femenino"/>
    <n v="6"/>
    <n v="1.630628032756013"/>
    <n v="94.851558480253857"/>
    <x v="0"/>
  </r>
  <r>
    <x v="3"/>
    <s v="Masculino"/>
    <n v="6"/>
    <n v="-1.1700810988310337"/>
    <n v="12.098416701208818"/>
    <x v="0"/>
  </r>
  <r>
    <x v="3"/>
    <s v="Femenino"/>
    <n v="6"/>
    <n v="0.56689319401605742"/>
    <n v="71.460662576089177"/>
    <x v="0"/>
  </r>
  <r>
    <x v="3"/>
    <s v="Masculino"/>
    <n v="6"/>
    <n v="0.71056037611537526"/>
    <n v="76.132164771867878"/>
    <x v="0"/>
  </r>
  <r>
    <x v="3"/>
    <s v="Femenino"/>
    <n v="6"/>
    <n v="0.29132588192748249"/>
    <n v="61.45989527143287"/>
    <x v="0"/>
  </r>
  <r>
    <x v="3"/>
    <s v="Femenino"/>
    <n v="5"/>
    <n v="0.56214821705856122"/>
    <n v="71.299248046176842"/>
    <x v="0"/>
  </r>
  <r>
    <x v="3"/>
    <s v="Masculino"/>
    <n v="5"/>
    <n v="0.84456377394689619"/>
    <n v="80.082277883765414"/>
    <x v="0"/>
  </r>
  <r>
    <x v="3"/>
    <s v="Femenino"/>
    <n v="6"/>
    <n v="0.17742992716514014"/>
    <n v="57.041464912427372"/>
    <x v="0"/>
  </r>
  <r>
    <x v="3"/>
    <s v="Femenino"/>
    <n v="6"/>
    <n v="-0.10689348990141691"/>
    <n v="45.743673895312568"/>
    <x v="0"/>
  </r>
  <r>
    <x v="3"/>
    <s v="Masculino"/>
    <n v="6"/>
    <n v="-1.2586464062583185"/>
    <n v="10.407903864451699"/>
    <x v="0"/>
  </r>
  <r>
    <x v="3"/>
    <s v="Femenino"/>
    <n v="6"/>
    <n v="0.19318415336292494"/>
    <n v="57.659262562120929"/>
    <x v="0"/>
  </r>
  <r>
    <x v="3"/>
    <s v="Femenino"/>
    <n v="5"/>
    <n v="-0.53052210128022403"/>
    <n v="29.78749947816538"/>
    <x v="0"/>
  </r>
  <r>
    <x v="3"/>
    <s v="Masculino"/>
    <n v="6"/>
    <n v="-0.36627407113532234"/>
    <n v="35.708028776585778"/>
    <x v="0"/>
  </r>
  <r>
    <x v="3"/>
    <s v="Femenino"/>
    <n v="6"/>
    <n v="0.27706301118125604"/>
    <n v="60.913413840554199"/>
    <x v="0"/>
  </r>
  <r>
    <x v="3"/>
    <s v="Masculino"/>
    <n v="6"/>
    <n v="-0.75801104561160371"/>
    <n v="22.422218513677358"/>
    <x v="0"/>
  </r>
  <r>
    <x v="3"/>
    <s v="Femenino"/>
    <n v="5"/>
    <n v="-0.33161609450149321"/>
    <n v="37.008958250973713"/>
    <x v="0"/>
  </r>
  <r>
    <x v="3"/>
    <s v="Masculino"/>
    <n v="6"/>
    <n v="-1.2797823836950899"/>
    <n v="10.031084055229632"/>
    <x v="0"/>
  </r>
  <r>
    <x v="3"/>
    <s v="Femenino"/>
    <n v="7"/>
    <n v="1.7590863988474952"/>
    <n v="96.071858263968807"/>
    <x v="2"/>
  </r>
  <r>
    <x v="3"/>
    <s v="Masculino"/>
    <n v="6"/>
    <n v="2.1622048610085467"/>
    <n v="98.469880548371393"/>
    <x v="2"/>
  </r>
  <r>
    <x v="3"/>
    <s v="Femenino"/>
    <n v="6"/>
    <n v="-1.6383840902634794"/>
    <n v="5.0670797940563279"/>
    <x v="0"/>
  </r>
  <r>
    <x v="3"/>
    <s v="Femenino"/>
    <n v="7"/>
    <n v="6.61972484897453E-2"/>
    <n v="52.638960632064745"/>
    <x v="0"/>
  </r>
  <r>
    <x v="3"/>
    <s v="Femenino"/>
    <n v="7"/>
    <n v="-0.66488463128092945"/>
    <n v="25.306214318074844"/>
    <x v="0"/>
  </r>
  <r>
    <x v="3"/>
    <s v="Femenino"/>
    <n v="7"/>
    <n v="-0.23370490872529148"/>
    <n v="40.760703833311425"/>
    <x v="0"/>
  </r>
  <r>
    <x v="3"/>
    <s v="Femenino"/>
    <n v="7"/>
    <n v="1.3065776966316867"/>
    <n v="90.432191226418297"/>
    <x v="0"/>
  </r>
  <r>
    <x v="3"/>
    <s v="Femenino"/>
    <n v="7"/>
    <n v="-0.77961686557016974"/>
    <n v="21.780821282306878"/>
    <x v="0"/>
  </r>
  <r>
    <x v="3"/>
    <s v="Femenino"/>
    <n v="7"/>
    <n v="0.40581392263037702"/>
    <n v="65.756033596982675"/>
    <x v="0"/>
  </r>
  <r>
    <x v="3"/>
    <s v="Masculino"/>
    <n v="7"/>
    <n v="-0.79107504517717742"/>
    <n v="21.445010023415193"/>
    <x v="0"/>
  </r>
  <r>
    <x v="3"/>
    <s v="Masculino"/>
    <n v="7"/>
    <n v="-0.51720860410298564"/>
    <n v="30.250527320234756"/>
    <x v="0"/>
  </r>
  <r>
    <x v="3"/>
    <s v="Masculino"/>
    <n v="7"/>
    <n v="-0.31330802490340465"/>
    <n v="37.702332692771677"/>
    <x v="0"/>
  </r>
  <r>
    <x v="3"/>
    <s v="Masculino"/>
    <n v="7"/>
    <n v="0.99603894484217037"/>
    <n v="84.038438843186242"/>
    <x v="0"/>
  </r>
  <r>
    <x v="3"/>
    <s v="Masculino"/>
    <n v="7"/>
    <n v="-0.70639896334762187"/>
    <n v="23.997003268664525"/>
    <x v="0"/>
  </r>
  <r>
    <x v="3"/>
    <s v="Masculino"/>
    <n v="6"/>
    <n v="-1.6813417565690345"/>
    <n v="4.6348275784594835"/>
    <x v="1"/>
  </r>
  <r>
    <x v="3"/>
    <s v="Femenino"/>
    <n v="8"/>
    <n v="-0.16602346048835437"/>
    <n v="43.406924379261994"/>
    <x v="0"/>
  </r>
  <r>
    <x v="3"/>
    <s v="Femenino"/>
    <n v="8"/>
    <n v="-1.3133065112379985"/>
    <n v="9.4539842679487318"/>
    <x v="0"/>
  </r>
  <r>
    <x v="3"/>
    <s v="Masculino"/>
    <n v="7"/>
    <n v="-2.3916320452694682"/>
    <n v="0.83868245304184763"/>
    <x v="1"/>
  </r>
  <r>
    <x v="3"/>
    <s v="Femenino"/>
    <n v="8"/>
    <n v="-2.0979924910418788"/>
    <n v="1.7952904348930629"/>
    <x v="1"/>
  </r>
  <r>
    <x v="3"/>
    <s v="Masculino"/>
    <n v="8"/>
    <n v="-1.4957079713051564"/>
    <n v="6.7364886069583241"/>
    <x v="0"/>
  </r>
  <r>
    <x v="3"/>
    <s v="Femenino"/>
    <n v="7"/>
    <n v="-0.27631471798675322"/>
    <n v="39.115317624362845"/>
    <x v="0"/>
  </r>
  <r>
    <x v="3"/>
    <s v="Femenino"/>
    <n v="8"/>
    <n v="-1.0710449366256951"/>
    <n v="14.207461245193739"/>
    <x v="0"/>
  </r>
  <r>
    <x v="3"/>
    <s v="Femenino"/>
    <n v="8"/>
    <n v="0.42161047149011194"/>
    <n v="66.334531911918731"/>
    <x v="0"/>
  </r>
  <r>
    <x v="3"/>
    <s v="Masculino"/>
    <n v="8"/>
    <n v="1.2006945297436887E-2"/>
    <n v="50.478996304511583"/>
    <x v="0"/>
  </r>
  <r>
    <x v="3"/>
    <s v="Masculino"/>
    <n v="8"/>
    <n v="-1.9150253999603546"/>
    <n v="2.7744632216557048"/>
    <x v="1"/>
  </r>
  <r>
    <x v="3"/>
    <s v="Femenino"/>
    <n v="8"/>
    <n v="0.59298304796961854"/>
    <n v="72.34037513742382"/>
    <x v="0"/>
  </r>
  <r>
    <x v="3"/>
    <s v="Masculino"/>
    <n v="8"/>
    <n v="3.220501028983698E-2"/>
    <n v="51.284571969014571"/>
    <x v="0"/>
  </r>
  <r>
    <x v="3"/>
    <s v="Masculino"/>
    <n v="8"/>
    <n v="3.220501028983698E-2"/>
    <n v="51.284571969014571"/>
    <x v="0"/>
  </r>
  <r>
    <x v="3"/>
    <s v="Femenino"/>
    <n v="8"/>
    <n v="0.33607478291570914"/>
    <n v="63.159276305231174"/>
    <x v="0"/>
  </r>
  <r>
    <x v="3"/>
    <s v="Femenino"/>
    <n v="8"/>
    <n v="-0.58098018780060001"/>
    <n v="28.062690321212703"/>
    <x v="0"/>
  </r>
  <r>
    <x v="3"/>
    <s v="Femenino"/>
    <n v="8"/>
    <n v="0.67718792797972793"/>
    <n v="75.085663691838775"/>
    <x v="0"/>
  </r>
  <r>
    <x v="3"/>
    <s v="Masculino"/>
    <n v="8"/>
    <n v="-0.30166698612300724"/>
    <n v="38.145296885554686"/>
    <x v="0"/>
  </r>
  <r>
    <x v="3"/>
    <s v="Femenino"/>
    <n v="8"/>
    <n v="-0.84371915114966745"/>
    <n v="19.941318160798076"/>
    <x v="0"/>
  </r>
  <r>
    <x v="3"/>
    <s v="Femenino"/>
    <n v="8"/>
    <n v="0.66977728703659012"/>
    <n v="74.850011271610484"/>
    <x v="0"/>
  </r>
  <r>
    <x v="3"/>
    <s v="Femenino"/>
    <n v="8"/>
    <n v="8.4356169373759393E-2"/>
    <n v="53.3613372602344"/>
    <x v="0"/>
  </r>
  <r>
    <x v="3"/>
    <s v="Masculino"/>
    <n v="8"/>
    <n v="-1.6045333056949733"/>
    <n v="5.429827457475648"/>
    <x v="0"/>
  </r>
  <r>
    <x v="3"/>
    <s v="Masculino"/>
    <n v="7"/>
    <n v="-6.5141728859479109E-2"/>
    <n v="47.403057807193534"/>
    <x v="0"/>
  </r>
  <r>
    <x v="3"/>
    <s v="Masculino"/>
    <n v="7"/>
    <n v="7.2281137860061281E-2"/>
    <n v="52.881091238243492"/>
    <x v="0"/>
  </r>
  <r>
    <x v="3"/>
    <s v="Masculino"/>
    <n v="6"/>
    <n v="0.42385206973847728"/>
    <n v="66.416314939265675"/>
    <x v="0"/>
  </r>
  <r>
    <x v="3"/>
    <s v="Masculino"/>
    <n v="6"/>
    <n v="-0.23982833424249264"/>
    <n v="40.523167017248106"/>
    <x v="0"/>
  </r>
  <r>
    <x v="3"/>
    <s v="Femenino"/>
    <n v="7"/>
    <n v="1.564148812738331"/>
    <n v="94.110868754957878"/>
    <x v="0"/>
  </r>
  <r>
    <x v="3"/>
    <s v="Femenino"/>
    <n v="7"/>
    <n v="-1.4287477893612748"/>
    <n v="7.6538368399733461"/>
    <x v="0"/>
  </r>
  <r>
    <x v="3"/>
    <s v="Femenino"/>
    <n v="6"/>
    <n v="-0.34465060142624099"/>
    <n v="36.517852972022347"/>
    <x v="0"/>
  </r>
  <r>
    <x v="3"/>
    <s v="Femenino"/>
    <n v="7"/>
    <n v="-0.74681185984923282"/>
    <n v="22.758856781345909"/>
    <x v="0"/>
  </r>
  <r>
    <x v="3"/>
    <s v="Femenino"/>
    <n v="7"/>
    <n v="-0.58247154436659376"/>
    <n v="28.012455157564411"/>
    <x v="0"/>
  </r>
  <r>
    <x v="3"/>
    <s v="Masculino"/>
    <n v="7"/>
    <n v="-0.62496322156117412"/>
    <n v="26.599759843552071"/>
    <x v="0"/>
  </r>
  <r>
    <x v="3"/>
    <s v="Masculino"/>
    <n v="6"/>
    <n v="0.51810219721473039"/>
    <n v="69.780651634261034"/>
    <x v="0"/>
  </r>
  <r>
    <x v="3"/>
    <s v="Femenino"/>
    <n v="6"/>
    <n v="-2.6359146453575364"/>
    <n v="0.41955417875598627"/>
    <x v="1"/>
  </r>
  <r>
    <x v="3"/>
    <s v="Femenino"/>
    <n v="7"/>
    <n v="1.564148812738331"/>
    <n v="94.110868754957878"/>
    <x v="0"/>
  </r>
  <r>
    <x v="3"/>
    <s v="Femenino"/>
    <n v="7"/>
    <n v="-0.55517436829932187"/>
    <n v="28.938769953683675"/>
    <x v="0"/>
  </r>
  <r>
    <x v="3"/>
    <s v="Femenino"/>
    <n v="7"/>
    <n v="2.0468565890862207"/>
    <n v="97.966391625281545"/>
    <x v="2"/>
  </r>
  <r>
    <x v="3"/>
    <s v="Femenino"/>
    <n v="6"/>
    <n v="0.67336483463434915"/>
    <n v="74.964239261456484"/>
    <x v="0"/>
  </r>
  <r>
    <x v="3"/>
    <s v="Femenino"/>
    <n v="7"/>
    <n v="2.0353705655043459"/>
    <n v="97.909319963934635"/>
    <x v="2"/>
  </r>
  <r>
    <x v="3"/>
    <s v="Masculino"/>
    <n v="7"/>
    <n v="-1.1425634765452815"/>
    <n v="12.660993851236407"/>
    <x v="0"/>
  </r>
  <r>
    <x v="3"/>
    <s v="Masculino"/>
    <n v="6"/>
    <n v="0.42385206973847728"/>
    <n v="66.416314939265675"/>
    <x v="0"/>
  </r>
  <r>
    <x v="3"/>
    <s v="Masculino"/>
    <n v="7"/>
    <n v="-0.85250312339965584"/>
    <n v="19.696745309378297"/>
    <x v="0"/>
  </r>
  <r>
    <x v="3"/>
    <s v="Masculino"/>
    <n v="7"/>
    <n v="0.71741060173254012"/>
    <n v="76.343961004076704"/>
    <x v="0"/>
  </r>
  <r>
    <x v="3"/>
    <s v="Masculino"/>
    <n v="7"/>
    <n v="-0.18125124095433801"/>
    <n v="42.808518806493105"/>
    <x v="0"/>
  </r>
  <r>
    <x v="3"/>
    <s v="Masculino"/>
    <n v="7"/>
    <n v="-1.1677015815795611"/>
    <n v="12.146357931326019"/>
    <x v="0"/>
  </r>
  <r>
    <x v="3"/>
    <s v="Masculino"/>
    <n v="6"/>
    <n v="0.71753264286939189"/>
    <n v="76.347724889512008"/>
    <x v="0"/>
  </r>
  <r>
    <x v="3"/>
    <s v="Masculino"/>
    <n v="6"/>
    <n v="-0.23982833424249264"/>
    <n v="40.523167017248106"/>
    <x v="0"/>
  </r>
  <r>
    <x v="3"/>
    <s v="Masculino"/>
    <n v="7"/>
    <n v="-0.12625845779689318"/>
    <n v="44.976366945676958"/>
    <x v="0"/>
  </r>
  <r>
    <x v="3"/>
    <s v="Femenino"/>
    <n v="7"/>
    <n v="-1.8928467703625289"/>
    <n v="2.9189124864264415"/>
    <x v="1"/>
  </r>
  <r>
    <x v="3"/>
    <s v="Femenino"/>
    <n v="7"/>
    <n v="-1.4603036529601865"/>
    <n v="7.2103319275707651"/>
    <x v="0"/>
  </r>
  <r>
    <x v="3"/>
    <s v="Femenino"/>
    <n v="6"/>
    <n v="-0.34465060142624099"/>
    <n v="36.517852972022347"/>
    <x v="0"/>
  </r>
  <r>
    <x v="3"/>
    <s v="Femenino"/>
    <n v="7"/>
    <n v="0.4005176729795133"/>
    <n v="65.561236536577169"/>
    <x v="0"/>
  </r>
  <r>
    <x v="3"/>
    <s v="Femenino"/>
    <n v="6"/>
    <n v="-0.79742604536204686"/>
    <n v="21.260181891250703"/>
    <x v="0"/>
  </r>
  <r>
    <x v="3"/>
    <s v="Femenino"/>
    <n v="6"/>
    <n v="0.1218182546357016"/>
    <n v="54.847852174308699"/>
    <x v="0"/>
  </r>
  <r>
    <x v="3"/>
    <s v="Femenino"/>
    <n v="7"/>
    <n v="-0.49949532341071279"/>
    <n v="30.871524026627057"/>
    <x v="0"/>
  </r>
  <r>
    <x v="3"/>
    <s v="Masculino"/>
    <n v="7"/>
    <n v="0.36446706782026667"/>
    <n v="64.224536939328985"/>
    <x v="0"/>
  </r>
  <r>
    <x v="3"/>
    <s v="Masculino"/>
    <n v="7"/>
    <n v="-0.2267335866530461"/>
    <n v="41.031545439582182"/>
    <x v="0"/>
  </r>
  <r>
    <x v="3"/>
    <s v="Masculino"/>
    <n v="6"/>
    <n v="0.33101029058095705"/>
    <n v="62.968164372110472"/>
    <x v="0"/>
  </r>
  <r>
    <x v="3"/>
    <s v="Masculino"/>
    <n v="7"/>
    <n v="-0.74924978202010695"/>
    <n v="22.685333464171674"/>
    <x v="0"/>
  </r>
  <r>
    <x v="3"/>
    <s v="Femenino"/>
    <n v="6"/>
    <n v="-0.71428874109402618"/>
    <n v="23.752432639489314"/>
    <x v="0"/>
  </r>
  <r>
    <x v="3"/>
    <s v="Femenino"/>
    <n v="6"/>
    <n v="-0.79742604536204686"/>
    <n v="21.260181891250703"/>
    <x v="0"/>
  </r>
  <r>
    <x v="3"/>
    <s v="Masculino"/>
    <n v="7"/>
    <n v="0.80898937773565893"/>
    <n v="79.07393718699754"/>
    <x v="0"/>
  </r>
  <r>
    <x v="3"/>
    <s v="Femenino"/>
    <n v="6"/>
    <n v="1.6883591667465629"/>
    <n v="95.432884807435101"/>
    <x v="2"/>
  </r>
  <r>
    <x v="3"/>
    <s v="Masculino"/>
    <n v="6"/>
    <n v="-0.43010787585030746"/>
    <n v="33.355858559162158"/>
    <x v="0"/>
  </r>
  <r>
    <x v="3"/>
    <s v="Masculino"/>
    <n v="7"/>
    <n v="-1.4356054275424708"/>
    <n v="7.5557324723698267"/>
    <x v="0"/>
  </r>
  <r>
    <x v="3"/>
    <s v="Masculino"/>
    <n v="7"/>
    <n v="0.62193981062914749"/>
    <n v="73.300927684163568"/>
    <x v="0"/>
  </r>
  <r>
    <x v="3"/>
    <s v="Masculino"/>
    <n v="7"/>
    <n v="0.62193981062914749"/>
    <n v="73.300927684163568"/>
    <x v="0"/>
  </r>
  <r>
    <x v="3"/>
    <s v="Femenino"/>
    <n v="7"/>
    <n v="-1.1469263443865076"/>
    <n v="12.570603181891752"/>
    <x v="0"/>
  </r>
  <r>
    <x v="3"/>
    <s v="Masculino"/>
    <n v="7"/>
    <n v="-1.0351853586641016"/>
    <n v="15.029117754276161"/>
    <x v="0"/>
  </r>
  <r>
    <x v="3"/>
    <s v="Femenino"/>
    <n v="7"/>
    <n v="0.15666482597304815"/>
    <n v="56.224549524384692"/>
    <x v="0"/>
  </r>
  <r>
    <x v="3"/>
    <s v="Masculino"/>
    <n v="7"/>
    <n v="-1.2433953940120481"/>
    <n v="10.686108338135039"/>
    <x v="0"/>
  </r>
  <r>
    <x v="3"/>
    <s v="Masculino"/>
    <n v="8"/>
    <n v="3.220501028983698E-2"/>
    <n v="51.284571969014571"/>
    <x v="0"/>
  </r>
  <r>
    <x v="3"/>
    <s v="Masculino"/>
    <n v="8"/>
    <n v="0.71127744655428016"/>
    <n v="76.154383767694796"/>
    <x v="0"/>
  </r>
  <r>
    <x v="3"/>
    <s v="Femenino"/>
    <n v="8"/>
    <n v="-0.58098018780060001"/>
    <n v="28.062690321212703"/>
    <x v="0"/>
  </r>
  <r>
    <x v="3"/>
    <s v="Masculino"/>
    <n v="8"/>
    <n v="-1.1507622027809281"/>
    <n v="12.491503922813383"/>
    <x v="0"/>
  </r>
  <r>
    <x v="3"/>
    <s v="Masculino"/>
    <n v="8"/>
    <n v="-0.10515339267014054"/>
    <n v="45.812704643738513"/>
    <x v="0"/>
  </r>
  <r>
    <x v="3"/>
    <s v="Masculino"/>
    <n v="8"/>
    <n v="-1.1507622027809281"/>
    <n v="12.491503922813383"/>
    <x v="0"/>
  </r>
  <r>
    <x v="3"/>
    <s v="Masculino"/>
    <n v="8"/>
    <n v="-8.0785204169758363E-3"/>
    <n v="49.677717169758807"/>
    <x v="0"/>
  </r>
  <r>
    <x v="3"/>
    <s v="Masculino"/>
    <n v="8"/>
    <n v="-0.74579951630025032"/>
    <n v="22.789426610046533"/>
    <x v="0"/>
  </r>
  <r>
    <x v="3"/>
    <s v="Femenino"/>
    <n v="7"/>
    <n v="-0.89301575006078837"/>
    <n v="18.59243691215368"/>
    <x v="0"/>
  </r>
  <r>
    <x v="3"/>
    <s v="Masculino"/>
    <n v="7"/>
    <n v="-0.34374024090075989"/>
    <n v="36.552082265171343"/>
    <x v="0"/>
  </r>
  <r>
    <x v="3"/>
    <s v="Femenino"/>
    <n v="8"/>
    <n v="-2.0240996963775419"/>
    <n v="2.1479947431373159"/>
    <x v="1"/>
  </r>
  <r>
    <x v="3"/>
    <s v="Masculino"/>
    <n v="8"/>
    <n v="0.6612753854212744"/>
    <n v="74.578213805017782"/>
    <x v="0"/>
  </r>
  <r>
    <x v="3"/>
    <s v="Femenino"/>
    <n v="8"/>
    <n v="-0.17895604500987727"/>
    <n v="42.898610772940835"/>
    <x v="0"/>
  </r>
  <r>
    <x v="3"/>
    <s v="Masculino"/>
    <n v="8"/>
    <n v="1.0232644435598164"/>
    <n v="84.690858477926156"/>
    <x v="0"/>
  </r>
  <r>
    <x v="3"/>
    <s v="Femenino"/>
    <n v="8"/>
    <n v="-9.0649702744721908E-2"/>
    <n v="46.388546869803029"/>
    <x v="0"/>
  </r>
  <r>
    <x v="3"/>
    <s v="Femenino"/>
    <n v="8"/>
    <n v="1.276615798683959"/>
    <n v="89.913103928984398"/>
    <x v="0"/>
  </r>
  <r>
    <x v="3"/>
    <s v="Femenino"/>
    <n v="8"/>
    <n v="-0.94519064113764739"/>
    <n v="17.228077828794184"/>
    <x v="0"/>
  </r>
  <r>
    <x v="3"/>
    <s v="Masculino"/>
    <n v="8"/>
    <n v="-0.65389652214146177"/>
    <n v="25.658923737614899"/>
    <x v="0"/>
  </r>
  <r>
    <x v="3"/>
    <s v="Femenino"/>
    <n v="8"/>
    <n v="2.0528442093343191"/>
    <n v="97.995615533590254"/>
    <x v="2"/>
  </r>
  <r>
    <x v="3"/>
    <s v="Masculino"/>
    <n v="8"/>
    <n v="-0.65389652214146177"/>
    <n v="25.658923737614899"/>
    <x v="0"/>
  </r>
  <r>
    <x v="3"/>
    <s v="Femenino"/>
    <n v="8"/>
    <n v="0.84733137361670063"/>
    <n v="80.159477795412869"/>
    <x v="0"/>
  </r>
  <r>
    <x v="3"/>
    <s v="Femenino"/>
    <n v="8"/>
    <n v="-0.17352930020515261"/>
    <n v="43.11176994956687"/>
    <x v="0"/>
  </r>
  <r>
    <x v="3"/>
    <s v="Masculino"/>
    <n v="8"/>
    <n v="-1.1507622027809281"/>
    <n v="12.491503922813383"/>
    <x v="0"/>
  </r>
  <r>
    <x v="3"/>
    <s v="Masculino"/>
    <n v="7"/>
    <n v="0.21082494305002958"/>
    <n v="58.34880628872461"/>
    <x v="0"/>
  </r>
  <r>
    <x v="3"/>
    <s v="Femenino"/>
    <n v="8"/>
    <n v="-7.2791023680143282E-3"/>
    <n v="49.709608394621057"/>
    <x v="0"/>
  </r>
  <r>
    <x v="3"/>
    <s v="Femenino"/>
    <n v="8"/>
    <n v="-0.52230993029359829"/>
    <n v="30.072727812082334"/>
    <x v="0"/>
  </r>
  <r>
    <x v="3"/>
    <s v="Masculino"/>
    <n v="8"/>
    <n v="1.2833659259600396"/>
    <n v="90.031804714749512"/>
    <x v="0"/>
  </r>
  <r>
    <x v="3"/>
    <s v="Masculino"/>
    <n v="8"/>
    <n v="0.13011627640528184"/>
    <n v="55.176278355753048"/>
    <x v="0"/>
  </r>
  <r>
    <x v="3"/>
    <s v="Masculino"/>
    <n v="8"/>
    <n v="-1.1092549779653615"/>
    <n v="13.36601006976657"/>
    <x v="0"/>
  </r>
  <r>
    <x v="3"/>
    <s v="Femenino"/>
    <n v="9"/>
    <n v="-0.24482029883436127"/>
    <n v="40.329778796247354"/>
    <x v="0"/>
  </r>
  <r>
    <x v="3"/>
    <s v="Femenino"/>
    <n v="9"/>
    <n v="-0.24482029883436127"/>
    <n v="40.329778796247354"/>
    <x v="0"/>
  </r>
  <r>
    <x v="3"/>
    <s v="Femenino"/>
    <n v="9"/>
    <n v="-1.2110890746573957"/>
    <n v="11.293063406764576"/>
    <x v="0"/>
  </r>
  <r>
    <x v="3"/>
    <s v="Femenino"/>
    <n v="9"/>
    <n v="0.32147360733456298"/>
    <n v="62.607424501381089"/>
    <x v="0"/>
  </r>
  <r>
    <x v="3"/>
    <s v="Femenino"/>
    <n v="9"/>
    <n v="0.57368770025196025"/>
    <n v="71.691042349729301"/>
    <x v="0"/>
  </r>
  <r>
    <x v="3"/>
    <s v="Femenino"/>
    <n v="9"/>
    <n v="0.56744406997767871"/>
    <n v="71.479374218247457"/>
    <x v="0"/>
  </r>
  <r>
    <x v="3"/>
    <s v="Femenino"/>
    <n v="8"/>
    <n v="-0.82673978663923176"/>
    <n v="20.419228261921191"/>
    <x v="0"/>
  </r>
  <r>
    <x v="3"/>
    <s v="Femenino"/>
    <n v="9"/>
    <n v="-1.0452341464070878"/>
    <n v="14.795738265013586"/>
    <x v="0"/>
  </r>
  <r>
    <x v="3"/>
    <s v="Masculino"/>
    <n v="8"/>
    <n v="0.54150933748817309"/>
    <n v="70.592171828755937"/>
    <x v="0"/>
  </r>
  <r>
    <x v="3"/>
    <s v="Femenino"/>
    <n v="9"/>
    <n v="0.57368770025196025"/>
    <n v="71.691042349729301"/>
    <x v="0"/>
  </r>
  <r>
    <x v="3"/>
    <s v="Femenino"/>
    <n v="9"/>
    <n v="-0.16281353638495782"/>
    <n v="43.533262499507117"/>
    <x v="0"/>
  </r>
  <r>
    <x v="3"/>
    <s v="Femenino"/>
    <n v="8"/>
    <n v="0.65882259763876827"/>
    <n v="74.499515279183285"/>
    <x v="0"/>
  </r>
  <r>
    <x v="3"/>
    <s v="Femenino"/>
    <n v="8"/>
    <n v="-0.65593014161240959"/>
    <n v="25.593453672680756"/>
    <x v="0"/>
  </r>
  <r>
    <x v="3"/>
    <s v="Femenino"/>
    <n v="9"/>
    <n v="0.23831408907715468"/>
    <n v="59.418125269778663"/>
    <x v="0"/>
  </r>
  <r>
    <x v="3"/>
    <s v="Femenino"/>
    <n v="9"/>
    <n v="0.23314426228526869"/>
    <n v="59.217530728271562"/>
    <x v="0"/>
  </r>
  <r>
    <x v="3"/>
    <s v="Masculino"/>
    <n v="9"/>
    <n v="-9.9108936235136405E-2"/>
    <n v="46.052588846696537"/>
    <x v="0"/>
  </r>
  <r>
    <x v="3"/>
    <s v="Femenino"/>
    <n v="9"/>
    <n v="0.15071046937844887"/>
    <n v="55.98979428982345"/>
    <x v="0"/>
  </r>
  <r>
    <x v="3"/>
    <s v="Masculino"/>
    <n v="7"/>
    <n v="3.2823471376583348E-2"/>
    <n v="51.309231957832303"/>
    <x v="0"/>
  </r>
  <r>
    <x v="3"/>
    <s v="Masculino"/>
    <n v="9"/>
    <n v="-0.19097265594165122"/>
    <n v="42.427350813109207"/>
    <x v="0"/>
  </r>
  <r>
    <x v="3"/>
    <s v="Masculino"/>
    <n v="9"/>
    <n v="0.60120028928447222"/>
    <n v="72.61467040862388"/>
    <x v="0"/>
  </r>
  <r>
    <x v="3"/>
    <s v="Femenino"/>
    <n v="9"/>
    <n v="-2.0163130545099222"/>
    <n v="2.1883625344283537"/>
    <x v="1"/>
  </r>
  <r>
    <x v="3"/>
    <s v="Femenino"/>
    <n v="9"/>
    <n v="0.31607673084814658"/>
    <n v="62.402786593151149"/>
    <x v="0"/>
  </r>
  <r>
    <x v="3"/>
    <s v="Femenino"/>
    <n v="9"/>
    <n v="-0.81036184752004081"/>
    <n v="20.886611938829958"/>
    <x v="0"/>
  </r>
  <r>
    <x v="3"/>
    <s v="Masculino"/>
    <n v="9"/>
    <n v="-2.1097895244839338"/>
    <n v="1.7438244587711795"/>
    <x v="1"/>
  </r>
  <r>
    <x v="3"/>
    <s v="Femenino"/>
    <n v="8"/>
    <n v="-1.2360876882438003"/>
    <n v="10.821298538608563"/>
    <x v="0"/>
  </r>
  <r>
    <x v="3"/>
    <s v="Masculino"/>
    <n v="8"/>
    <n v="0.72451703450151561"/>
    <n v="76.562581345907532"/>
    <x v="0"/>
  </r>
  <r>
    <x v="3"/>
    <s v="Masculino"/>
    <n v="9"/>
    <n v="-1.2871462810243259"/>
    <n v="9.9021653401519565"/>
    <x v="0"/>
  </r>
  <r>
    <x v="3"/>
    <s v="Masculino"/>
    <n v="9"/>
    <n v="-0.73118609421763059"/>
    <n v="23.23327463731157"/>
    <x v="0"/>
  </r>
  <r>
    <x v="3"/>
    <s v="Femenino"/>
    <n v="8"/>
    <n v="-0.24583117853516676"/>
    <n v="40.290646027303865"/>
    <x v="0"/>
  </r>
  <r>
    <x v="3"/>
    <s v="Femenino"/>
    <n v="8"/>
    <n v="0.4143398279372541"/>
    <n v="66.068737524182936"/>
    <x v="0"/>
  </r>
  <r>
    <x v="3"/>
    <s v="Masculino"/>
    <n v="8"/>
    <n v="-0.11567806070851852"/>
    <n v="45.395384726148741"/>
    <x v="0"/>
  </r>
  <r>
    <x v="3"/>
    <s v="Masculino"/>
    <n v="9"/>
    <n v="-0.55427775401662149"/>
    <n v="28.969438623630161"/>
    <x v="0"/>
  </r>
  <r>
    <x v="3"/>
    <s v="Masculino"/>
    <n v="10"/>
    <n v="-0.12740777377898166"/>
    <n v="44.930883189904186"/>
    <x v="0"/>
  </r>
  <r>
    <x v="3"/>
    <s v="Masculino"/>
    <n v="10"/>
    <n v="-0.29954366622628681"/>
    <n v="38.226262985968653"/>
    <x v="0"/>
  </r>
  <r>
    <x v="3"/>
    <s v="Femenino"/>
    <n v="10"/>
    <n v="0.36951987798720987"/>
    <n v="64.41298702699585"/>
    <x v="0"/>
  </r>
  <r>
    <x v="3"/>
    <s v="Femenino"/>
    <n v="9"/>
    <n v="-0.17519375353300354"/>
    <n v="43.046369619343857"/>
    <x v="0"/>
  </r>
  <r>
    <x v="3"/>
    <s v="Femenino"/>
    <n v="10"/>
    <n v="1.6022740201017596"/>
    <n v="94.545248597526083"/>
    <x v="0"/>
  </r>
  <r>
    <x v="3"/>
    <s v="Femenino"/>
    <n v="9"/>
    <n v="-1.5112359888017823"/>
    <n v="6.5364168092147343"/>
    <x v="0"/>
  </r>
  <r>
    <x v="3"/>
    <s v="Femenino"/>
    <n v="9"/>
    <n v="0.22062310428577941"/>
    <n v="58.730704515345856"/>
    <x v="0"/>
  </r>
  <r>
    <x v="3"/>
    <s v="Femenino"/>
    <n v="9"/>
    <n v="-2.2147019436727216"/>
    <n v="1.3390264685427828"/>
    <x v="1"/>
  </r>
  <r>
    <x v="3"/>
    <s v="Femenino"/>
    <n v="11"/>
    <n v="-0.54695508939070769"/>
    <n v="29.220479343283923"/>
    <x v="0"/>
  </r>
  <r>
    <x v="3"/>
    <s v="Femenino"/>
    <n v="11"/>
    <n v="0.78264969804314499"/>
    <n v="78.308357566799543"/>
    <x v="0"/>
  </r>
  <r>
    <x v="3"/>
    <s v="Femenino"/>
    <n v="11"/>
    <n v="0.13004420699078983"/>
    <n v="55.173427424536115"/>
    <x v="0"/>
  </r>
  <r>
    <x v="3"/>
    <s v="Femenino"/>
    <n v="11"/>
    <n v="-0.99015668520199362"/>
    <n v="16.104877012926"/>
    <x v="0"/>
  </r>
  <r>
    <x v="3"/>
    <s v="Femenino"/>
    <n v="11"/>
    <n v="1.1050667774972223"/>
    <n v="86.543467255183117"/>
    <x v="0"/>
  </r>
  <r>
    <x v="3"/>
    <s v="Femenino"/>
    <n v="11"/>
    <n v="0.87417448274492882"/>
    <n v="80.898837994562086"/>
    <x v="0"/>
  </r>
  <r>
    <x v="3"/>
    <s v="Femenino"/>
    <n v="11"/>
    <n v="0.43953996876108403"/>
    <n v="66.986483612514164"/>
    <x v="0"/>
  </r>
  <r>
    <x v="3"/>
    <s v="Masculino"/>
    <n v="11"/>
    <n v="6.9264247556456895E-2"/>
    <n v="52.761035815960497"/>
    <x v="0"/>
  </r>
  <r>
    <x v="3"/>
    <s v="Masculino"/>
    <n v="11"/>
    <n v="1.0907870143614924"/>
    <n v="86.231669413814231"/>
    <x v="0"/>
  </r>
  <r>
    <x v="3"/>
    <s v="Masculino"/>
    <n v="10"/>
    <n v="-0.17860703049505014"/>
    <n v="42.912313686254613"/>
    <x v="0"/>
  </r>
  <r>
    <x v="3"/>
    <s v="Masculino"/>
    <n v="10"/>
    <n v="-0.64818258459662226"/>
    <n v="25.843343226295957"/>
    <x v="0"/>
  </r>
  <r>
    <x v="3"/>
    <s v="Masculino"/>
    <n v="11"/>
    <n v="1.3043766112685957"/>
    <n v="90.394739714500801"/>
    <x v="0"/>
  </r>
  <r>
    <x v="3"/>
    <s v="Masculino"/>
    <n v="11"/>
    <n v="0.50625122623439178"/>
    <n v="69.36598510740437"/>
    <x v="0"/>
  </r>
  <r>
    <x v="3"/>
    <s v="Masculino"/>
    <n v="11"/>
    <n v="2.0541578032572874"/>
    <n v="98.001978950773989"/>
    <x v="2"/>
  </r>
  <r>
    <x v="3"/>
    <s v="Masculino"/>
    <n v="11"/>
    <n v="-0.16530508186935369"/>
    <n v="43.435192954783481"/>
    <x v="0"/>
  </r>
  <r>
    <x v="3"/>
    <s v="Masculino"/>
    <n v="10"/>
    <n v="0.41046976197617463"/>
    <n v="65.926930970827243"/>
    <x v="0"/>
  </r>
  <r>
    <x v="3"/>
    <s v="Masculino"/>
    <n v="10"/>
    <n v="-1.0779374962304551"/>
    <n v="14.053082528440028"/>
    <x v="0"/>
  </r>
  <r>
    <x v="3"/>
    <s v="Femenino"/>
    <n v="11"/>
    <n v="-0.91173817906500387"/>
    <n v="18.095328038246461"/>
    <x v="0"/>
  </r>
  <r>
    <x v="3"/>
    <s v="Femenino"/>
    <n v="11"/>
    <n v="-8.8809469309322875E-2"/>
    <n v="46.461666600502966"/>
    <x v="0"/>
  </r>
  <r>
    <x v="3"/>
    <s v="Femenino"/>
    <n v="10"/>
    <n v="-1.728726789060977"/>
    <n v="4.1929002212457736"/>
    <x v="1"/>
  </r>
  <r>
    <x v="3"/>
    <s v="Femenino"/>
    <n v="11"/>
    <n v="-7.9217637014703413E-2"/>
    <n v="46.842975818408163"/>
    <x v="0"/>
  </r>
  <r>
    <x v="3"/>
    <s v="Masculino"/>
    <n v="11"/>
    <n v="1.5354845599285853"/>
    <n v="93.766757657191718"/>
    <x v="0"/>
  </r>
  <r>
    <x v="3"/>
    <s v="Masculino"/>
    <n v="11"/>
    <n v="-0.9731320230348891"/>
    <n v="16.524384512405351"/>
    <x v="0"/>
  </r>
  <r>
    <x v="3"/>
    <s v="Masculino"/>
    <n v="10"/>
    <n v="-2.8718619539148543E-2"/>
    <n v="48.854450312360967"/>
    <x v="0"/>
  </r>
  <r>
    <x v="3"/>
    <s v="Masculino"/>
    <n v="11"/>
    <n v="0.1318458832022916"/>
    <n v="55.244690311867771"/>
    <x v="0"/>
  </r>
  <r>
    <x v="3"/>
    <s v="Masculino"/>
    <n v="10"/>
    <n v="0.71294186099697376"/>
    <n v="76.205913289990988"/>
    <x v="0"/>
  </r>
  <r>
    <x v="3"/>
    <s v="Masculino"/>
    <n v="11"/>
    <n v="0.94961534370324729"/>
    <n v="82.884613042035483"/>
    <x v="0"/>
  </r>
  <r>
    <x v="3"/>
    <s v="Masculino"/>
    <n v="11"/>
    <n v="1.0975189872984887"/>
    <n v="86.379270738469287"/>
    <x v="0"/>
  </r>
  <r>
    <x v="3"/>
    <s v="Masculino"/>
    <n v="11"/>
    <n v="1.1667317712884884"/>
    <n v="87.834064597420706"/>
    <x v="0"/>
  </r>
  <r>
    <x v="3"/>
    <s v="Femenino"/>
    <n v="11"/>
    <n v="-9.7208853299697889E-2"/>
    <n v="46.128026871448014"/>
    <x v="0"/>
  </r>
  <r>
    <x v="3"/>
    <s v="Femenino"/>
    <n v="10"/>
    <n v="9.2998300419165708E-2"/>
    <n v="53.704754427931114"/>
    <x v="0"/>
  </r>
  <r>
    <x v="3"/>
    <s v="Femenino"/>
    <n v="11"/>
    <n v="-0.17480723742030388"/>
    <n v="43.061555063336414"/>
    <x v="0"/>
  </r>
  <r>
    <x v="3"/>
    <s v="Femenino"/>
    <n v="11"/>
    <n v="-3.877095390171609"/>
    <n v="5.2855460282553611E-3"/>
    <x v="1"/>
  </r>
  <r>
    <x v="3"/>
    <s v="Femenino"/>
    <n v="11"/>
    <n v="-0.83498212356341395"/>
    <n v="20.186388680691998"/>
    <x v="0"/>
  </r>
  <r>
    <x v="3"/>
    <s v="Femenino"/>
    <n v="11"/>
    <n v="0.5765223724432742"/>
    <n v="71.786892384152154"/>
    <x v="0"/>
  </r>
  <r>
    <x v="3"/>
    <s v="Femenino"/>
    <n v="10"/>
    <n v="1.1556625232957434"/>
    <n v="87.609038848271013"/>
    <x v="0"/>
  </r>
  <r>
    <x v="3"/>
    <s v="Femenino"/>
    <n v="6"/>
    <n v="-1.7244329968939307"/>
    <n v="4.2314852524537478"/>
    <x v="1"/>
  </r>
  <r>
    <x v="3"/>
    <s v="Femenino"/>
    <n v="6"/>
    <n v="-1.4249183959844971"/>
    <n v="7.7090395668449041"/>
    <x v="0"/>
  </r>
  <r>
    <x v="3"/>
    <s v="Femenino"/>
    <n v="6"/>
    <n v="0.47914477299026131"/>
    <n v="68.408218008120713"/>
    <x v="0"/>
  </r>
  <r>
    <x v="3"/>
    <s v="Masculino"/>
    <n v="5"/>
    <n v="0.11132572704840477"/>
    <n v="54.432097251476222"/>
    <x v="0"/>
  </r>
  <r>
    <x v="3"/>
    <s v="Masculino"/>
    <n v="6"/>
    <n v="-1.9029268865925002"/>
    <n v="2.8525043055317134"/>
    <x v="1"/>
  </r>
  <r>
    <x v="3"/>
    <s v="Masculino"/>
    <n v="5"/>
    <n v="-0.29979384521168606"/>
    <n v="38.216720516623802"/>
    <x v="0"/>
  </r>
  <r>
    <x v="3"/>
    <s v="Masculino"/>
    <n v="5"/>
    <n v="-1.2234389432009878"/>
    <n v="11.058197603949713"/>
    <x v="0"/>
  </r>
  <r>
    <x v="3"/>
    <s v="Masculino"/>
    <n v="5"/>
    <n v="-0.71330259722779321"/>
    <n v="23.782926533835031"/>
    <x v="0"/>
  </r>
  <r>
    <x v="3"/>
    <s v="Masculino"/>
    <n v="5"/>
    <n v="-0.29713410435282889"/>
    <n v="38.318206399995312"/>
    <x v="0"/>
  </r>
  <r>
    <x v="3"/>
    <s v="Masculino"/>
    <n v="6"/>
    <n v="-0.26302339034765504"/>
    <n v="39.626627539150803"/>
    <x v="0"/>
  </r>
  <r>
    <x v="3"/>
    <s v="Masculino"/>
    <n v="6"/>
    <n v="-0.16072756619205489"/>
    <n v="43.615398850882094"/>
    <x v="0"/>
  </r>
  <r>
    <x v="3"/>
    <s v="Masculino"/>
    <n v="6"/>
    <n v="-0.56214255837346561"/>
    <n v="28.700944708732912"/>
    <x v="0"/>
  </r>
  <r>
    <x v="3"/>
    <s v="Femenino"/>
    <n v="7"/>
    <n v="-0.90839489847226518"/>
    <n v="18.183481004523692"/>
    <x v="0"/>
  </r>
  <r>
    <x v="3"/>
    <s v="Femenino"/>
    <n v="6"/>
    <n v="-0.27213079126086148"/>
    <n v="39.276072731347611"/>
    <x v="0"/>
  </r>
  <r>
    <x v="3"/>
    <s v="Femenino"/>
    <n v="6"/>
    <n v="-1.211225246574763"/>
    <n v="11.290454467501711"/>
    <x v="0"/>
  </r>
  <r>
    <x v="3"/>
    <s v="Femenino"/>
    <n v="6"/>
    <n v="-0.20879107232362731"/>
    <n v="41.730567049975519"/>
    <x v="0"/>
  </r>
  <r>
    <x v="3"/>
    <s v="Femenino"/>
    <n v="6"/>
    <n v="0.17742992716514014"/>
    <n v="57.041464912427372"/>
    <x v="0"/>
  </r>
  <r>
    <x v="3"/>
    <s v="Masculino"/>
    <n v="6"/>
    <n v="-0.39598082278089197"/>
    <n v="34.605958778750292"/>
    <x v="0"/>
  </r>
  <r>
    <x v="3"/>
    <s v="Femenino"/>
    <n v="5"/>
    <n v="1.4585379665070666"/>
    <n v="92.765384094469269"/>
    <x v="0"/>
  </r>
  <r>
    <x v="3"/>
    <s v="Femenino"/>
    <n v="7"/>
    <n v="-0.81268284298324978"/>
    <n v="20.819996025336728"/>
    <x v="0"/>
  </r>
  <r>
    <x v="3"/>
    <s v="Masculino"/>
    <n v="8"/>
    <n v="-2.9641712613873783"/>
    <n v="0.15174966292112738"/>
    <x v="1"/>
  </r>
  <r>
    <x v="3"/>
    <s v="Masculino"/>
    <n v="5"/>
    <n v="-0.19615046250424198"/>
    <n v="42.224619998627603"/>
    <x v="0"/>
  </r>
  <r>
    <x v="3"/>
    <s v="Femenino"/>
    <n v="6"/>
    <n v="0.10350699086469869"/>
    <n v="54.121969930478109"/>
    <x v="0"/>
  </r>
  <r>
    <x v="3"/>
    <s v="Femenino"/>
    <n v="6"/>
    <n v="-0.93974998814578248"/>
    <n v="17.36729087369784"/>
    <x v="0"/>
  </r>
  <r>
    <x v="3"/>
    <s v="Femenino"/>
    <n v="10"/>
    <n v="-1.1934623643046909"/>
    <n v="11.634417164410845"/>
    <x v="0"/>
  </r>
  <r>
    <x v="3"/>
    <s v="Masculino"/>
    <n v="6"/>
    <n v="-0.58814659874371178"/>
    <n v="27.821694877581315"/>
    <x v="0"/>
  </r>
  <r>
    <x v="3"/>
    <s v="Femenino"/>
    <n v="6"/>
    <n v="-8.4311900198080145E-2"/>
    <n v="46.640422555109453"/>
    <x v="0"/>
  </r>
  <r>
    <x v="3"/>
    <s v="Masculino"/>
    <n v="6"/>
    <n v="-0.43010787585030746"/>
    <n v="33.355858559162158"/>
    <x v="0"/>
  </r>
  <r>
    <x v="3"/>
    <s v="Masculino"/>
    <n v="6"/>
    <n v="0.71156937379658669"/>
    <n v="76.163426119887006"/>
    <x v="0"/>
  </r>
  <r>
    <x v="3"/>
    <s v="Masculino"/>
    <n v="7"/>
    <n v="0.34541578607697576"/>
    <n v="63.51090944522123"/>
    <x v="0"/>
  </r>
  <r>
    <x v="3"/>
    <s v="Femenino"/>
    <n v="7"/>
    <n v="-1.8673389527508482"/>
    <n v="3.0927134507507263"/>
    <x v="1"/>
  </r>
  <r>
    <x v="3"/>
    <s v="Femenino"/>
    <n v="7"/>
    <n v="5.9529734521651598E-2"/>
    <n v="52.37349086287044"/>
    <x v="0"/>
  </r>
  <r>
    <x v="3"/>
    <s v="Masculino"/>
    <n v="7"/>
    <n v="0.18256096489539675"/>
    <n v="57.242874248759904"/>
    <x v="0"/>
  </r>
  <r>
    <x v="3"/>
    <s v="Masculino"/>
    <n v="7"/>
    <n v="0.64142628514840128"/>
    <n v="73.937712008737137"/>
    <x v="0"/>
  </r>
  <r>
    <x v="3"/>
    <s v="Masculino"/>
    <n v="7"/>
    <n v="-0.98678879490676707"/>
    <n v="16.187309447769668"/>
    <x v="0"/>
  </r>
  <r>
    <x v="3"/>
    <s v="Masculino"/>
    <n v="7"/>
    <n v="-0.29763256664382709"/>
    <n v="38.29918079160219"/>
    <x v="0"/>
  </r>
  <r>
    <x v="3"/>
    <s v="Masculino"/>
    <n v="7"/>
    <n v="-1.3537113107981802E-2"/>
    <n v="49.459963816629269"/>
    <x v="0"/>
  </r>
  <r>
    <x v="3"/>
    <s v="Masculino"/>
    <n v="7"/>
    <n v="-0.80587600823397054"/>
    <n v="21.015717306019923"/>
    <x v="0"/>
  </r>
  <r>
    <x v="3"/>
    <s v="Femenino"/>
    <n v="7"/>
    <n v="-0.90839489847226518"/>
    <n v="18.183481004523692"/>
    <x v="0"/>
  </r>
  <r>
    <x v="3"/>
    <s v="Femenino"/>
    <n v="7"/>
    <n v="-0.40235170258089481"/>
    <n v="34.371260456426327"/>
    <x v="0"/>
  </r>
  <r>
    <x v="3"/>
    <s v="Femenino"/>
    <n v="7"/>
    <n v="0.24605225785309945"/>
    <n v="59.717911011954698"/>
    <x v="0"/>
  </r>
  <r>
    <x v="3"/>
    <s v="Masculino"/>
    <n v="6"/>
    <n v="-0.44437634117413966"/>
    <n v="32.838525779916296"/>
    <x v="0"/>
  </r>
  <r>
    <x v="3"/>
    <s v="Femenino"/>
    <n v="7"/>
    <n v="-2.534357303990924E-2"/>
    <n v="48.9890459410272"/>
    <x v="0"/>
  </r>
  <r>
    <x v="3"/>
    <s v="Femenino"/>
    <n v="7"/>
    <n v="-0.74681185984923282"/>
    <n v="22.758856781345909"/>
    <x v="0"/>
  </r>
  <r>
    <x v="3"/>
    <s v="Femenino"/>
    <n v="7"/>
    <n v="-0.77961686557016974"/>
    <n v="21.780821282306878"/>
    <x v="0"/>
  </r>
  <r>
    <x v="3"/>
    <s v="Masculino"/>
    <n v="7"/>
    <n v="-0.1974652803360131"/>
    <n v="42.173172438472974"/>
    <x v="0"/>
  </r>
  <r>
    <x v="3"/>
    <s v="Masculino"/>
    <n v="7"/>
    <n v="-1.1673026841932701"/>
    <n v="12.154407753231638"/>
    <x v="0"/>
  </r>
  <r>
    <x v="3"/>
    <s v="Masculino"/>
    <n v="7"/>
    <n v="-2.0003122702030245"/>
    <n v="2.2733277442086481"/>
    <x v="1"/>
  </r>
  <r>
    <x v="3"/>
    <s v="Femenino"/>
    <n v="7"/>
    <n v="-0.10957876980485322"/>
    <n v="45.637172424492547"/>
    <x v="0"/>
  </r>
  <r>
    <x v="3"/>
    <s v="Femenino"/>
    <n v="7"/>
    <n v="-0.37856410321285261"/>
    <n v="35.250579147851838"/>
    <x v="0"/>
  </r>
  <r>
    <x v="3"/>
    <s v="Femenino"/>
    <n v="7"/>
    <n v="-1.1228310697236956"/>
    <n v="13.075462356041589"/>
    <x v="0"/>
  </r>
  <r>
    <x v="3"/>
    <s v="Masculino"/>
    <n v="8"/>
    <n v="-1.0870874770828844"/>
    <n v="13.849907585261526"/>
    <x v="0"/>
  </r>
  <r>
    <x v="3"/>
    <s v="Masculino"/>
    <n v="7"/>
    <n v="-0.26313764821558111"/>
    <n v="39.622224352195524"/>
    <x v="0"/>
  </r>
  <r>
    <x v="3"/>
    <s v="Masculino"/>
    <n v="6"/>
    <n v="-2.2554855273801748"/>
    <n v="1.2051434847085931"/>
    <x v="1"/>
  </r>
  <r>
    <x v="3"/>
    <s v="Masculino"/>
    <n v="7"/>
    <n v="-1.7442591716309268"/>
    <n v="4.0556953774766802"/>
    <x v="1"/>
  </r>
  <r>
    <x v="4"/>
    <s v="Masculino"/>
    <n v="6"/>
    <n v="0.31506138687639623"/>
    <n v="62.364247730867064"/>
    <x v="0"/>
  </r>
  <r>
    <x v="4"/>
    <s v="Masculino"/>
    <n v="6"/>
    <n v="0.31506138687639623"/>
    <n v="62.364247730867064"/>
    <x v="0"/>
  </r>
  <r>
    <x v="4"/>
    <s v="Masculino"/>
    <n v="6"/>
    <n v="0.12058415789450147"/>
    <n v="54.798979128067479"/>
    <x v="0"/>
  </r>
  <r>
    <x v="4"/>
    <s v="Femenino"/>
    <n v="6"/>
    <n v="0.10350699086469869"/>
    <n v="54.121969930478109"/>
    <x v="0"/>
  </r>
  <r>
    <x v="4"/>
    <s v="Femenino"/>
    <n v="6"/>
    <n v="1.0426014461786028"/>
    <n v="85.143354040173904"/>
    <x v="0"/>
  </r>
  <r>
    <x v="4"/>
    <s v="Masculino"/>
    <n v="6"/>
    <n v="-0.470514655313854"/>
    <n v="31.899368311230848"/>
    <x v="0"/>
  </r>
  <r>
    <x v="4"/>
    <s v="Masculino"/>
    <n v="6"/>
    <n v="1.3537901249855119E-2"/>
    <n v="50.540067622801367"/>
    <x v="0"/>
  </r>
  <r>
    <x v="4"/>
    <s v="Masculino"/>
    <n v="6"/>
    <n v="-0.16072756619205489"/>
    <n v="43.615398850882094"/>
    <x v="0"/>
  </r>
  <r>
    <x v="4"/>
    <s v="Masculino"/>
    <n v="6"/>
    <n v="-1.0418904035180829"/>
    <n v="14.87312469084805"/>
    <x v="0"/>
  </r>
  <r>
    <x v="4"/>
    <s v="Femenino"/>
    <n v="6"/>
    <n v="-1.000941079161539"/>
    <n v="15.842764747315874"/>
    <x v="0"/>
  </r>
  <r>
    <x v="4"/>
    <s v="Femenino"/>
    <n v="5"/>
    <n v="3.0178841045291596"/>
    <n v="99.872726883974863"/>
    <x v="2"/>
  </r>
  <r>
    <x v="4"/>
    <s v="Femenino"/>
    <n v="6"/>
    <n v="-1.1516014491664313"/>
    <n v="12.474244281325797"/>
    <x v="0"/>
  </r>
  <r>
    <x v="4"/>
    <s v="Femenino"/>
    <n v="6"/>
    <n v="-0.40190157206801103"/>
    <n v="34.387823286290008"/>
    <x v="0"/>
  </r>
  <r>
    <x v="4"/>
    <s v="Masculino"/>
    <n v="6"/>
    <n v="1.4174684012348333"/>
    <n v="92.182698672909524"/>
    <x v="0"/>
  </r>
  <r>
    <x v="4"/>
    <s v="Femenino"/>
    <n v="6"/>
    <n v="0.65956525792245291"/>
    <n v="74.523357232213669"/>
    <x v="0"/>
  </r>
  <r>
    <x v="4"/>
    <s v="Femenino"/>
    <n v="5"/>
    <n v="-0.42633115178012104"/>
    <n v="33.493328073307339"/>
    <x v="0"/>
  </r>
  <r>
    <x v="4"/>
    <s v="Masculino"/>
    <n v="5"/>
    <n v="0.7339780348286028"/>
    <n v="76.851893737323905"/>
    <x v="0"/>
  </r>
  <r>
    <x v="4"/>
    <s v="Femenino"/>
    <n v="5"/>
    <n v="0.4640079326134175"/>
    <n v="67.867896886073268"/>
    <x v="0"/>
  </r>
  <r>
    <x v="4"/>
    <s v="Femenino"/>
    <n v="5"/>
    <n v="0.4640079326134175"/>
    <n v="67.867896886073268"/>
    <x v="0"/>
  </r>
  <r>
    <x v="4"/>
    <s v="Masculino"/>
    <n v="6"/>
    <n v="1.0248330372151211"/>
    <n v="84.727901248385649"/>
    <x v="0"/>
  </r>
  <r>
    <x v="4"/>
    <s v="Masculino"/>
    <n v="6"/>
    <n v="-0.3543052684587702"/>
    <n v="36.155505992930273"/>
    <x v="0"/>
  </r>
  <r>
    <x v="4"/>
    <s v="Masculino"/>
    <n v="6"/>
    <n v="-6.8306637055047414E-2"/>
    <n v="47.277077043270175"/>
    <x v="0"/>
  </r>
  <r>
    <x v="4"/>
    <s v="Femenino"/>
    <n v="6"/>
    <n v="-0.17198952530893982"/>
    <n v="43.172288194217401"/>
    <x v="0"/>
  </r>
  <r>
    <x v="4"/>
    <s v="Femenino"/>
    <n v="6"/>
    <n v="-0.18446056047331005"/>
    <n v="42.682608219932327"/>
    <x v="0"/>
  </r>
  <r>
    <x v="4"/>
    <s v="Masculino"/>
    <n v="6"/>
    <n v="-0.18702359874800226"/>
    <n v="42.582106513250451"/>
    <x v="0"/>
  </r>
  <r>
    <x v="4"/>
    <s v="Masculino"/>
    <n v="6"/>
    <n v="5.0275754011962031"/>
    <n v="99.999975163990044"/>
    <x v="2"/>
  </r>
  <r>
    <x v="4"/>
    <s v="Masculino"/>
    <n v="6"/>
    <n v="-1.4108478656351806"/>
    <n v="7.9144738648871558"/>
    <x v="0"/>
  </r>
  <r>
    <x v="4"/>
    <s v="Femenino"/>
    <n v="6"/>
    <n v="-0.19688220295394107"/>
    <n v="42.195986053917792"/>
    <x v="0"/>
  </r>
  <r>
    <x v="4"/>
    <s v="Masculino"/>
    <n v="6"/>
    <n v="0.71753264286939189"/>
    <n v="76.347724889512008"/>
    <x v="0"/>
  </r>
  <r>
    <x v="4"/>
    <s v="Femenino"/>
    <n v="5"/>
    <n v="0.26683236806725691"/>
    <n v="60.520088430457896"/>
    <x v="0"/>
  </r>
  <r>
    <x v="4"/>
    <s v="Masculino"/>
    <n v="6"/>
    <n v="-2.2900822911259362"/>
    <n v="1.1008273368782633"/>
    <x v="1"/>
  </r>
  <r>
    <x v="4"/>
    <s v="Masculino"/>
    <n v="5"/>
    <n v="1.242053410471214"/>
    <n v="89.28915717504141"/>
    <x v="0"/>
  </r>
  <r>
    <x v="4"/>
    <s v="Masculino"/>
    <n v="6"/>
    <n v="-0.470514655313854"/>
    <n v="31.899368311230848"/>
    <x v="0"/>
  </r>
  <r>
    <x v="4"/>
    <s v="Masculino"/>
    <n v="6"/>
    <n v="-0.89635094433121743"/>
    <n v="18.503267921199996"/>
    <x v="0"/>
  </r>
  <r>
    <x v="4"/>
    <s v="Masculino"/>
    <n v="5"/>
    <n v="0.62568032205316293"/>
    <n v="73.423767862051506"/>
    <x v="0"/>
  </r>
  <r>
    <x v="4"/>
    <s v="Masculino"/>
    <n v="5"/>
    <n v="-9.2904188652212061E-2"/>
    <n v="46.298983903956625"/>
    <x v="0"/>
  </r>
  <r>
    <x v="4"/>
    <s v="Femenino"/>
    <n v="6"/>
    <n v="-0.61028419087743091"/>
    <n v="27.083678375208336"/>
    <x v="0"/>
  </r>
  <r>
    <x v="4"/>
    <s v="Masculino"/>
    <n v="5"/>
    <n v="0.51978555844963847"/>
    <n v="69.839347701209888"/>
    <x v="0"/>
  </r>
  <r>
    <x v="4"/>
    <s v="Femenino"/>
    <n v="6"/>
    <n v="-0.68282824152542509"/>
    <n v="24.735769090530908"/>
    <x v="0"/>
  </r>
  <r>
    <x v="4"/>
    <s v="Masculino"/>
    <n v="5"/>
    <n v="0.7339780348286028"/>
    <n v="76.851893737323905"/>
    <x v="0"/>
  </r>
  <r>
    <x v="4"/>
    <s v="Femenino"/>
    <n v="6"/>
    <n v="0.57514134049879284"/>
    <n v="71.740214455094474"/>
    <x v="0"/>
  </r>
  <r>
    <x v="4"/>
    <s v="Masculino"/>
    <n v="5"/>
    <n v="-0.60706585478293662"/>
    <n v="27.190360458181328"/>
    <x v="0"/>
  </r>
  <r>
    <x v="4"/>
    <s v="Femenino"/>
    <n v="5"/>
    <n v="0.75984409082629767"/>
    <n v="77.632610785199446"/>
    <x v="0"/>
  </r>
  <r>
    <x v="4"/>
    <s v="Femenino"/>
    <n v="5"/>
    <n v="1.2493508453750826"/>
    <n v="89.423161072454576"/>
    <x v="0"/>
  </r>
  <r>
    <x v="4"/>
    <s v="Femenino"/>
    <n v="7"/>
    <n v="-2.6744975493369747"/>
    <n v="0.37420661610475248"/>
    <x v="1"/>
  </r>
  <r>
    <x v="4"/>
    <s v="Masculino"/>
    <n v="5"/>
    <n v="-1.5225135985565221"/>
    <n v="6.3940220351556665"/>
    <x v="0"/>
  </r>
  <r>
    <x v="4"/>
    <s v="Femenino"/>
    <n v="6"/>
    <n v="-2.4298858451273865E-2"/>
    <n v="49.030711184364634"/>
    <x v="0"/>
  </r>
  <r>
    <x v="4"/>
    <s v="Femenino"/>
    <n v="6"/>
    <n v="-0.75092763122766371"/>
    <n v="22.6348105081744"/>
    <x v="0"/>
  </r>
  <r>
    <x v="4"/>
    <s v="Femenino"/>
    <n v="6"/>
    <n v="-5.9383537114395856E-3"/>
    <n v="49.763095355222951"/>
    <x v="0"/>
  </r>
  <r>
    <x v="4"/>
    <s v="Femenino"/>
    <n v="6"/>
    <n v="0.7578370432585565"/>
    <n v="77.572572835999836"/>
    <x v="0"/>
  </r>
  <r>
    <x v="4"/>
    <s v="Femenino"/>
    <n v="6"/>
    <n v="1.7125562894710467"/>
    <n v="95.660289970237287"/>
    <x v="2"/>
  </r>
  <r>
    <x v="4"/>
    <s v="Femenino"/>
    <n v="7"/>
    <n v="1.2966293765519399"/>
    <n v="90.262063015818711"/>
    <x v="0"/>
  </r>
  <r>
    <x v="4"/>
    <s v="Masculino"/>
    <n v="7"/>
    <n v="-0.11267571439188419"/>
    <n v="45.51438278606993"/>
    <x v="0"/>
  </r>
  <r>
    <x v="4"/>
    <s v="Masculino"/>
    <n v="7"/>
    <n v="-8.2224861542784619E-2"/>
    <n v="46.723395186471485"/>
    <x v="0"/>
  </r>
  <r>
    <x v="4"/>
    <s v="Femenino"/>
    <n v="7"/>
    <n v="-1.3603804508486625"/>
    <n v="8.6854780763371817"/>
    <x v="0"/>
  </r>
  <r>
    <x v="4"/>
    <s v="Masculino"/>
    <n v="7"/>
    <n v="-9.8058676179082052E-2"/>
    <n v="46.094285048040362"/>
    <x v="0"/>
  </r>
  <r>
    <x v="4"/>
    <s v="Masculino"/>
    <n v="7"/>
    <n v="1.7442372132682111"/>
    <n v="95.944113258244485"/>
    <x v="2"/>
  </r>
  <r>
    <x v="4"/>
    <s v="Femenino"/>
    <n v="7"/>
    <n v="0.94899947025503328"/>
    <n v="82.868955924675589"/>
    <x v="0"/>
  </r>
  <r>
    <x v="4"/>
    <s v="Femenino"/>
    <n v="7"/>
    <n v="-0.39006596329375831"/>
    <n v="34.824388532189985"/>
    <x v="0"/>
  </r>
  <r>
    <x v="4"/>
    <s v="Femenino"/>
    <n v="7"/>
    <n v="-1.7946008818294263"/>
    <n v="3.6358656278600021"/>
    <x v="1"/>
  </r>
  <r>
    <x v="4"/>
    <s v="Femenino"/>
    <n v="6"/>
    <n v="1.1339019572448925"/>
    <n v="87.158216198093342"/>
    <x v="0"/>
  </r>
  <r>
    <x v="4"/>
    <s v="Masculino"/>
    <n v="7"/>
    <n v="-1.8184061672781568"/>
    <n v="3.4501038224422067"/>
    <x v="1"/>
  </r>
  <r>
    <x v="4"/>
    <s v="Femenino"/>
    <n v="6"/>
    <n v="-0.15983153159235083"/>
    <n v="43.650689237824743"/>
    <x v="0"/>
  </r>
  <r>
    <x v="4"/>
    <s v="Femenino"/>
    <n v="6"/>
    <n v="2.057997306414348"/>
    <n v="98.020480401590291"/>
    <x v="2"/>
  </r>
  <r>
    <x v="4"/>
    <s v="Femenino"/>
    <n v="7"/>
    <n v="-0.69704160442495655"/>
    <n v="24.28883786965207"/>
    <x v="0"/>
  </r>
  <r>
    <x v="4"/>
    <s v="Femenino"/>
    <n v="6"/>
    <n v="2.4987538241541766E-2"/>
    <n v="50.996754822548482"/>
    <x v="0"/>
  </r>
  <r>
    <x v="4"/>
    <s v="Masculino"/>
    <n v="7"/>
    <n v="-2.2206751198443548"/>
    <n v="1.3186486889087217"/>
    <x v="1"/>
  </r>
  <r>
    <x v="4"/>
    <s v="Masculino"/>
    <n v="6"/>
    <n v="0.13311078185918343"/>
    <n v="55.294711583061428"/>
    <x v="0"/>
  </r>
  <r>
    <x v="4"/>
    <s v="Masculino"/>
    <n v="7"/>
    <n v="0.90340800956031964"/>
    <n v="81.684530469347663"/>
    <x v="0"/>
  </r>
  <r>
    <x v="4"/>
    <s v="Femenino"/>
    <n v="6"/>
    <n v="0.48444708154622879"/>
    <n v="68.596569413911084"/>
    <x v="0"/>
  </r>
  <r>
    <x v="4"/>
    <s v="Masculino"/>
    <n v="6"/>
    <n v="-0.23982833424249264"/>
    <n v="40.523167017248106"/>
    <x v="0"/>
  </r>
  <r>
    <x v="4"/>
    <s v="Femenino"/>
    <n v="7"/>
    <n v="-0.37856410321285261"/>
    <n v="35.250579147851838"/>
    <x v="0"/>
  </r>
  <r>
    <x v="4"/>
    <s v="Masculino"/>
    <n v="6"/>
    <n v="-23.116042533518261"/>
    <n v="1.596799996135726E-116"/>
    <x v="1"/>
  </r>
  <r>
    <x v="4"/>
    <s v="Femenino"/>
    <n v="7"/>
    <n v="0.33437018232967752"/>
    <n v="63.094988155879761"/>
    <x v="0"/>
  </r>
  <r>
    <x v="4"/>
    <s v="Masculino"/>
    <n v="6"/>
    <n v="-0.53305421494675653"/>
    <n v="29.699802579663142"/>
    <x v="0"/>
  </r>
  <r>
    <x v="4"/>
    <s v="Femenino"/>
    <n v="7"/>
    <n v="-1.1435581701334261"/>
    <n v="12.640345879333861"/>
    <x v="0"/>
  </r>
  <r>
    <x v="4"/>
    <s v="Femenino"/>
    <n v="7"/>
    <n v="0.67836734813330135"/>
    <n v="75.123059674401873"/>
    <x v="0"/>
  </r>
  <r>
    <x v="4"/>
    <s v="Masculino"/>
    <n v="7"/>
    <n v="8.4852489982233201E-2"/>
    <n v="53.381066849918483"/>
    <x v="0"/>
  </r>
  <r>
    <x v="4"/>
    <s v="Masculino"/>
    <n v="6"/>
    <n v="0.71156937379658669"/>
    <n v="76.163426119887006"/>
    <x v="0"/>
  </r>
  <r>
    <x v="4"/>
    <s v="Masculino"/>
    <n v="7"/>
    <n v="-9.8058676179082052E-2"/>
    <n v="46.094285048040362"/>
    <x v="0"/>
  </r>
  <r>
    <x v="4"/>
    <s v="Femenino"/>
    <n v="6"/>
    <n v="0.48951597463480001"/>
    <n v="68.776177611746675"/>
    <x v="0"/>
  </r>
  <r>
    <x v="4"/>
    <s v="Femenino"/>
    <n v="7"/>
    <n v="-0.11795903864963644"/>
    <n v="45.30500568229656"/>
    <x v="0"/>
  </r>
  <r>
    <x v="4"/>
    <s v="Masculino"/>
    <n v="7"/>
    <n v="0.52572169137913416"/>
    <n v="70.045920483929152"/>
    <x v="0"/>
  </r>
  <r>
    <x v="4"/>
    <s v="Masculino"/>
    <n v="7"/>
    <n v="0.26776365614355097"/>
    <n v="60.555937617235543"/>
    <x v="0"/>
  </r>
  <r>
    <x v="4"/>
    <s v="Masculino"/>
    <n v="6"/>
    <n v="0.42385206973847728"/>
    <n v="66.416314939265675"/>
    <x v="0"/>
  </r>
  <r>
    <x v="4"/>
    <s v="Masculino"/>
    <n v="7"/>
    <n v="0.24784067641612462"/>
    <n v="59.787115934409506"/>
    <x v="0"/>
  </r>
  <r>
    <x v="4"/>
    <s v="Femenino"/>
    <n v="7"/>
    <n v="0.76793762104681784"/>
    <n v="77.87378773617678"/>
    <x v="0"/>
  </r>
  <r>
    <x v="4"/>
    <s v="Masculino"/>
    <n v="6"/>
    <n v="0.52128983218877445"/>
    <n v="69.89175584810252"/>
    <x v="0"/>
  </r>
  <r>
    <x v="4"/>
    <s v="Masculino"/>
    <n v="6"/>
    <n v="-0.43010787585030746"/>
    <n v="33.355858559162158"/>
    <x v="0"/>
  </r>
  <r>
    <x v="4"/>
    <s v="Masculino"/>
    <n v="7"/>
    <n v="0.23955283287555718"/>
    <n v="59.466153299520272"/>
    <x v="0"/>
  </r>
  <r>
    <x v="4"/>
    <s v="Masculino"/>
    <n v="7"/>
    <n v="1.731052985434073"/>
    <n v="95.82788426940516"/>
    <x v="2"/>
  </r>
  <r>
    <x v="4"/>
    <s v="Femenino"/>
    <n v="7"/>
    <n v="2.7596179623372179"/>
    <n v="99.710655046266041"/>
    <x v="2"/>
  </r>
  <r>
    <x v="4"/>
    <s v="Femenino"/>
    <n v="7"/>
    <n v="0.21759112674543746"/>
    <n v="58.612615065797357"/>
    <x v="0"/>
  </r>
  <r>
    <x v="4"/>
    <s v="Masculino"/>
    <n v="7"/>
    <n v="-0.68740715911642503"/>
    <n v="24.591309373481522"/>
    <x v="0"/>
  </r>
  <r>
    <x v="4"/>
    <s v="Femenino"/>
    <n v="6"/>
    <n v="-0.42972832536294597"/>
    <n v="33.36966381264395"/>
    <x v="0"/>
  </r>
  <r>
    <x v="4"/>
    <s v="Femenino"/>
    <n v="7"/>
    <n v="-0.28535478809945419"/>
    <n v="38.768617099293024"/>
    <x v="0"/>
  </r>
  <r>
    <x v="4"/>
    <s v="Masculino"/>
    <n v="7"/>
    <n v="-0.50035759200991614"/>
    <n v="30.841165423500776"/>
    <x v="0"/>
  </r>
  <r>
    <x v="4"/>
    <s v="Masculino"/>
    <n v="6"/>
    <n v="-0.62038741745812487"/>
    <n v="26.750137717408084"/>
    <x v="0"/>
  </r>
  <r>
    <x v="4"/>
    <s v="Femenino"/>
    <n v="6"/>
    <n v="0.30566711463525081"/>
    <n v="62.007094283764744"/>
    <x v="0"/>
  </r>
  <r>
    <x v="4"/>
    <s v="Masculino"/>
    <n v="7"/>
    <n v="1.5455054132705066"/>
    <n v="93.888796972812187"/>
    <x v="0"/>
  </r>
  <r>
    <x v="4"/>
    <s v="Femenino"/>
    <n v="8"/>
    <n v="4.578997414141476"/>
    <n v="99.999766395013154"/>
    <x v="2"/>
  </r>
  <r>
    <x v="4"/>
    <s v="Femenino"/>
    <n v="8"/>
    <n v="-0.25592031713245905"/>
    <n v="39.900618306016241"/>
    <x v="0"/>
  </r>
  <r>
    <x v="4"/>
    <s v="Femenino"/>
    <n v="7"/>
    <n v="-0.98845886127785065"/>
    <n v="16.146398626539071"/>
    <x v="0"/>
  </r>
  <r>
    <x v="4"/>
    <s v="Masculino"/>
    <n v="8"/>
    <n v="0.57890685392313046"/>
    <n v="71.867398737077764"/>
    <x v="0"/>
  </r>
  <r>
    <x v="4"/>
    <s v="Femenino"/>
    <n v="8"/>
    <n v="-0.69398687293546124"/>
    <n v="24.384522063433501"/>
    <x v="0"/>
  </r>
  <r>
    <x v="4"/>
    <s v="Masculino"/>
    <n v="7"/>
    <n v="2.168841131457953"/>
    <n v="98.495262633765961"/>
    <x v="2"/>
  </r>
  <r>
    <x v="4"/>
    <s v="Femenino"/>
    <n v="7"/>
    <n v="-1.7677495634223257"/>
    <n v="3.8551390057264467"/>
    <x v="1"/>
  </r>
  <r>
    <x v="4"/>
    <s v="Masculino"/>
    <n v="8"/>
    <n v="-1.1507622027809281"/>
    <n v="12.491503922813383"/>
    <x v="0"/>
  </r>
  <r>
    <x v="4"/>
    <s v="Femenino"/>
    <n v="7"/>
    <n v="1.2966293765519399"/>
    <n v="90.262063015818711"/>
    <x v="0"/>
  </r>
  <r>
    <x v="4"/>
    <s v="Masculino"/>
    <n v="7"/>
    <n v="-0.42306331599947705"/>
    <n v="33.61245330928142"/>
    <x v="0"/>
  </r>
  <r>
    <x v="4"/>
    <s v="Femenino"/>
    <n v="8"/>
    <n v="0.25127426412554044"/>
    <n v="59.919896438618039"/>
    <x v="0"/>
  </r>
  <r>
    <x v="4"/>
    <s v="Masculino"/>
    <n v="8"/>
    <n v="3.220501028983698E-2"/>
    <n v="51.284571969014571"/>
    <x v="0"/>
  </r>
  <r>
    <x v="4"/>
    <s v="Femenino"/>
    <n v="8"/>
    <n v="-0.61333109074731229"/>
    <n v="26.982871984483982"/>
    <x v="0"/>
  </r>
  <r>
    <x v="4"/>
    <s v="Masculino"/>
    <n v="8"/>
    <n v="-0.42919691113583019"/>
    <n v="33.388996534627339"/>
    <x v="0"/>
  </r>
  <r>
    <x v="4"/>
    <s v="Femenino"/>
    <n v="8"/>
    <n v="0.16675759106880006"/>
    <n v="56.621960561076257"/>
    <x v="0"/>
  </r>
  <r>
    <x v="4"/>
    <s v="Masculino"/>
    <n v="7"/>
    <n v="0.38882641472347579"/>
    <n v="65.129772035484081"/>
    <x v="0"/>
  </r>
  <r>
    <x v="4"/>
    <s v="Masculino"/>
    <n v="7"/>
    <n v="-1.138906490279473"/>
    <n v="12.737107914915969"/>
    <x v="0"/>
  </r>
  <r>
    <x v="4"/>
    <s v="Femenino"/>
    <n v="7"/>
    <n v="-1.2429092754054014"/>
    <n v="10.695063366081291"/>
    <x v="0"/>
  </r>
  <r>
    <x v="4"/>
    <s v="Femenino"/>
    <n v="8"/>
    <n v="1.3484161471306733"/>
    <n v="91.123771330530914"/>
    <x v="0"/>
  </r>
  <r>
    <x v="4"/>
    <s v="Femenino"/>
    <n v="8"/>
    <n v="-1.0242465283900308"/>
    <n v="15.285942354027169"/>
    <x v="0"/>
  </r>
  <r>
    <x v="4"/>
    <s v="Masculino"/>
    <n v="7"/>
    <n v="-0.24410252242947808"/>
    <n v="40.357570950777188"/>
    <x v="0"/>
  </r>
  <r>
    <x v="4"/>
    <s v="Femenino"/>
    <n v="8"/>
    <n v="-8.653761997681568E-2"/>
    <n v="46.551952590414949"/>
    <x v="0"/>
  </r>
  <r>
    <x v="4"/>
    <s v="Femenino"/>
    <n v="8"/>
    <n v="-1.1160988288162326"/>
    <n v="13.218991671856827"/>
    <x v="0"/>
  </r>
  <r>
    <x v="4"/>
    <s v="Femenino"/>
    <n v="8"/>
    <n v="0.92372103876438838"/>
    <n v="82.218421231086623"/>
    <x v="0"/>
  </r>
  <r>
    <x v="4"/>
    <s v="Femenino"/>
    <n v="7"/>
    <n v="-1.2235168898350083E-2"/>
    <n v="49.511899559943686"/>
    <x v="0"/>
  </r>
  <r>
    <x v="4"/>
    <s v="Masculino"/>
    <n v="8"/>
    <n v="0.40279208591390442"/>
    <n v="65.64494081724807"/>
    <x v="0"/>
  </r>
  <r>
    <x v="4"/>
    <s v="Masculino"/>
    <n v="8"/>
    <n v="-0.62795779772553439"/>
    <n v="26.501579331127278"/>
    <x v="0"/>
  </r>
  <r>
    <x v="4"/>
    <s v="Masculino"/>
    <n v="8"/>
    <n v="-0.47778175413223328"/>
    <n v="31.640277444546179"/>
    <x v="0"/>
  </r>
  <r>
    <x v="4"/>
    <s v="Masculino"/>
    <n v="8"/>
    <n v="1.0232644435598164"/>
    <n v="84.690858477926156"/>
    <x v="0"/>
  </r>
  <r>
    <x v="4"/>
    <s v="Femenino"/>
    <n v="8"/>
    <n v="-0.9138819685710563"/>
    <n v="18.038943466772405"/>
    <x v="0"/>
  </r>
  <r>
    <x v="4"/>
    <s v="Femenino"/>
    <n v="8"/>
    <n v="0.33666139407820683"/>
    <n v="63.181391541637254"/>
    <x v="0"/>
  </r>
  <r>
    <x v="4"/>
    <s v="Masculino"/>
    <n v="8"/>
    <n v="-0.65389652214146177"/>
    <n v="25.658923737614899"/>
    <x v="0"/>
  </r>
  <r>
    <x v="4"/>
    <s v="Masculino"/>
    <n v="8"/>
    <n v="-0.22398979627204485"/>
    <n v="41.138262146473366"/>
    <x v="0"/>
  </r>
  <r>
    <x v="4"/>
    <s v="Masculino"/>
    <n v="8"/>
    <n v="-1.1507622027809281"/>
    <n v="12.491503922813383"/>
    <x v="0"/>
  </r>
  <r>
    <x v="4"/>
    <s v="Masculino"/>
    <n v="8"/>
    <n v="-0.80222593274399978"/>
    <n v="21.121113900435429"/>
    <x v="0"/>
  </r>
  <r>
    <x v="4"/>
    <s v="Femenino"/>
    <n v="8"/>
    <n v="1.3384178850565418"/>
    <n v="90.961987405224434"/>
    <x v="0"/>
  </r>
  <r>
    <x v="4"/>
    <s v="Femenino"/>
    <n v="7"/>
    <n v="-0.1932286993715624"/>
    <n v="42.338993170601633"/>
    <x v="0"/>
  </r>
  <r>
    <x v="4"/>
    <s v="Femenino"/>
    <n v="7"/>
    <n v="-1.2429092754054014"/>
    <n v="10.695063366081291"/>
    <x v="0"/>
  </r>
  <r>
    <x v="4"/>
    <s v="Femenino"/>
    <n v="8"/>
    <n v="-1.912587310882425"/>
    <n v="2.790045269882365"/>
    <x v="1"/>
  </r>
  <r>
    <x v="4"/>
    <s v="Femenino"/>
    <n v="7"/>
    <n v="-0.10219239270680235"/>
    <n v="45.930198294234877"/>
    <x v="0"/>
  </r>
  <r>
    <x v="4"/>
    <s v="Femenino"/>
    <n v="8"/>
    <n v="8.4254324701043673E-2"/>
    <n v="53.357288658696753"/>
    <x v="0"/>
  </r>
  <r>
    <x v="4"/>
    <s v="Femenino"/>
    <n v="9"/>
    <n v="192.84789006980191"/>
    <n v="100"/>
    <x v="2"/>
  </r>
  <r>
    <x v="4"/>
    <s v="Masculino"/>
    <n v="9"/>
    <n v="0.2568142132559687"/>
    <n v="60.133890130499957"/>
    <x v="0"/>
  </r>
  <r>
    <x v="4"/>
    <s v="Masculino"/>
    <n v="9"/>
    <n v="1.0703559568304764"/>
    <n v="85.777044200932835"/>
    <x v="0"/>
  </r>
  <r>
    <x v="4"/>
    <s v="Femenino"/>
    <n v="9"/>
    <n v="-0.32580636488126313"/>
    <n v="37.228543139782964"/>
    <x v="0"/>
  </r>
  <r>
    <x v="4"/>
    <s v="Femenino"/>
    <n v="9"/>
    <n v="1.1411290915854848"/>
    <n v="87.309189665551841"/>
    <x v="0"/>
  </r>
  <r>
    <x v="4"/>
    <s v="Masculino"/>
    <n v="9"/>
    <n v="-1.0632036466936436"/>
    <n v="14.384480451042418"/>
    <x v="0"/>
  </r>
  <r>
    <x v="4"/>
    <s v="Masculino"/>
    <n v="9"/>
    <n v="-1.3555134268570064"/>
    <n v="8.7627016834382445"/>
    <x v="0"/>
  </r>
  <r>
    <x v="4"/>
    <s v="Masculino"/>
    <n v="9"/>
    <n v="1.7357105641721018"/>
    <n v="95.869248768579112"/>
    <x v="2"/>
  </r>
  <r>
    <x v="4"/>
    <s v="Masculino"/>
    <n v="9"/>
    <n v="-0.74183874320747378"/>
    <n v="22.909252185027633"/>
    <x v="0"/>
  </r>
  <r>
    <x v="4"/>
    <s v="Femenino"/>
    <n v="9"/>
    <n v="-1.6004410708802943"/>
    <n v="5.4750385010032003"/>
    <x v="0"/>
  </r>
  <r>
    <x v="4"/>
    <s v="Masculino"/>
    <n v="9"/>
    <n v="1.7357105641721018"/>
    <n v="95.869248768579112"/>
    <x v="2"/>
  </r>
  <r>
    <x v="4"/>
    <s v="Femenino"/>
    <n v="9"/>
    <n v="-0.24482029883436127"/>
    <n v="40.329778796247354"/>
    <x v="0"/>
  </r>
  <r>
    <x v="4"/>
    <s v="Masculino"/>
    <n v="8"/>
    <n v="-0.28371707975052435"/>
    <n v="38.831360231031297"/>
    <x v="0"/>
  </r>
  <r>
    <x v="4"/>
    <s v="Femenino"/>
    <n v="9"/>
    <n v="-0.89915269861489866"/>
    <n v="18.428566570493867"/>
    <x v="0"/>
  </r>
  <r>
    <x v="4"/>
    <s v="Femenino"/>
    <n v="9"/>
    <n v="0.54458068518218594"/>
    <n v="70.69790290850591"/>
    <x v="0"/>
  </r>
  <r>
    <x v="4"/>
    <s v="Masculino"/>
    <n v="9"/>
    <n v="-0.42047383972130631"/>
    <n v="33.706966811273972"/>
    <x v="0"/>
  </r>
  <r>
    <x v="4"/>
    <s v="Femenino"/>
    <n v="9"/>
    <n v="0.15071046937844887"/>
    <n v="55.98979428982345"/>
    <x v="0"/>
  </r>
  <r>
    <x v="4"/>
    <s v="Masculino"/>
    <n v="9"/>
    <n v="-0.63521425692507849"/>
    <n v="26.264434305772621"/>
    <x v="0"/>
  </r>
  <r>
    <x v="4"/>
    <s v="Femenino"/>
    <n v="9"/>
    <n v="0.32147360733456298"/>
    <n v="62.607424501381089"/>
    <x v="0"/>
  </r>
  <r>
    <x v="4"/>
    <s v="Masculino"/>
    <n v="8"/>
    <n v="0.98189637227990323"/>
    <n v="83.692454842204583"/>
    <x v="0"/>
  </r>
  <r>
    <x v="4"/>
    <s v="Femenino"/>
    <n v="8"/>
    <n v="1.8062303169626003E-3"/>
    <n v="50.072058124976706"/>
    <x v="0"/>
  </r>
  <r>
    <x v="4"/>
    <s v="Masculino"/>
    <n v="8"/>
    <n v="5.2360958333487334E-2"/>
    <n v="52.087945892170893"/>
    <x v="0"/>
  </r>
  <r>
    <x v="4"/>
    <s v="Masculino"/>
    <n v="9"/>
    <n v="1.4889783841135837"/>
    <n v="93.175346954422025"/>
    <x v="0"/>
  </r>
  <r>
    <x v="4"/>
    <s v="Femenino"/>
    <n v="9"/>
    <n v="0.80654594512939037"/>
    <n v="79.003593634851143"/>
    <x v="0"/>
  </r>
  <r>
    <x v="4"/>
    <s v="Femenino"/>
    <n v="9"/>
    <n v="0.80654594512939037"/>
    <n v="79.003593634851143"/>
    <x v="0"/>
  </r>
  <r>
    <x v="4"/>
    <s v="Masculino"/>
    <n v="9"/>
    <n v="0.18399422505206503"/>
    <n v="57.299100733853315"/>
    <x v="0"/>
  </r>
  <r>
    <x v="4"/>
    <s v="Masculino"/>
    <n v="9"/>
    <n v="-1.3845685501798113"/>
    <n v="8.3092216801809951"/>
    <x v="0"/>
  </r>
  <r>
    <x v="4"/>
    <s v="Femenino"/>
    <n v="9"/>
    <n v="3.070216854838598"/>
    <n v="99.893048300680761"/>
    <x v="2"/>
  </r>
  <r>
    <x v="4"/>
    <s v="Femenino"/>
    <n v="9"/>
    <n v="-0.64867106825509913"/>
    <n v="25.827550433056434"/>
    <x v="0"/>
  </r>
  <r>
    <x v="4"/>
    <s v="Femenino"/>
    <n v="9"/>
    <n v="-0.24624764097436619"/>
    <n v="40.274526926615131"/>
    <x v="0"/>
  </r>
  <r>
    <x v="4"/>
    <s v="Masculino"/>
    <n v="8"/>
    <n v="-2.3001853082545969"/>
    <n v="1.0718861906260457"/>
    <x v="1"/>
  </r>
  <r>
    <x v="4"/>
    <s v="Femenino"/>
    <n v="9"/>
    <n v="-0.24425712298690319"/>
    <n v="40.351584437082913"/>
    <x v="0"/>
  </r>
  <r>
    <x v="4"/>
    <s v="Femenino"/>
    <n v="8"/>
    <n v="-1.1581581934217091"/>
    <n v="12.339974277442048"/>
    <x v="0"/>
  </r>
  <r>
    <x v="4"/>
    <s v="Femenino"/>
    <n v="9"/>
    <n v="-1.1228542871733644"/>
    <n v="13.074969238311294"/>
    <x v="0"/>
  </r>
  <r>
    <x v="4"/>
    <s v="Femenino"/>
    <n v="9"/>
    <n v="0.24276359279184498"/>
    <n v="59.590572964893028"/>
    <x v="0"/>
  </r>
  <r>
    <x v="4"/>
    <s v="Masculino"/>
    <n v="9"/>
    <n v="-1.5545196837789637"/>
    <n v="6.0030252580267165"/>
    <x v="0"/>
  </r>
  <r>
    <x v="4"/>
    <s v="Femenino"/>
    <n v="9"/>
    <n v="-0.48698028899015505"/>
    <n v="31.31361497341959"/>
    <x v="0"/>
  </r>
  <r>
    <x v="4"/>
    <s v="Masculino"/>
    <n v="9"/>
    <n v="-0.16790254899984222"/>
    <n v="43.332997239360829"/>
    <x v="0"/>
  </r>
  <r>
    <x v="4"/>
    <s v="Masculino"/>
    <n v="9"/>
    <n v="0.43814081293934576"/>
    <n v="66.935789478048932"/>
    <x v="0"/>
  </r>
  <r>
    <x v="4"/>
    <s v="Femenino"/>
    <n v="8"/>
    <n v="-0.24583117853516676"/>
    <n v="40.290646027303865"/>
    <x v="0"/>
  </r>
  <r>
    <x v="4"/>
    <s v="Femenino"/>
    <n v="9"/>
    <n v="1.5115226709776299"/>
    <n v="93.467233153088642"/>
    <x v="0"/>
  </r>
  <r>
    <x v="4"/>
    <s v="Femenino"/>
    <n v="9"/>
    <n v="-0.24857498796402144"/>
    <n v="40.184477901147261"/>
    <x v="0"/>
  </r>
  <r>
    <x v="4"/>
    <s v="Masculino"/>
    <n v="8"/>
    <n v="-0.21104048474406709"/>
    <n v="41.642784022778436"/>
    <x v="0"/>
  </r>
  <r>
    <x v="4"/>
    <s v="Masculino"/>
    <n v="9"/>
    <n v="0.34783592144749231"/>
    <n v="63.60182946110158"/>
    <x v="0"/>
  </r>
  <r>
    <x v="4"/>
    <s v="Masculino"/>
    <n v="9"/>
    <n v="-0.16601209495540967"/>
    <n v="43.407371592736062"/>
    <x v="0"/>
  </r>
  <r>
    <x v="4"/>
    <s v="Femenino"/>
    <n v="9"/>
    <n v="0.81514343459287419"/>
    <n v="79.25048940888108"/>
    <x v="0"/>
  </r>
  <r>
    <x v="4"/>
    <s v="Femenino"/>
    <n v="9"/>
    <n v="1.5115226709776299"/>
    <n v="93.467233153088642"/>
    <x v="0"/>
  </r>
  <r>
    <x v="4"/>
    <s v="Masculino"/>
    <n v="9"/>
    <n v="-2.1708108085826243"/>
    <n v="1.4972738286011595"/>
    <x v="1"/>
  </r>
  <r>
    <x v="4"/>
    <s v="Masculino"/>
    <n v="9"/>
    <n v="-0.82800828658300452"/>
    <n v="20.383290349694917"/>
    <x v="0"/>
  </r>
  <r>
    <x v="4"/>
    <s v="Femenino"/>
    <n v="9"/>
    <n v="-1.0389107815960827"/>
    <n v="14.942311581790976"/>
    <x v="0"/>
  </r>
  <r>
    <x v="4"/>
    <s v="Masculino"/>
    <n v="10"/>
    <n v="-0.58314083844685682"/>
    <n v="27.989924692899553"/>
    <x v="0"/>
  </r>
  <r>
    <x v="4"/>
    <s v="Femenino"/>
    <n v="10"/>
    <n v="1.3075066224654683"/>
    <n v="90.447964637775726"/>
    <x v="0"/>
  </r>
  <r>
    <x v="4"/>
    <s v="Masculino"/>
    <n v="10"/>
    <n v="-0.14624598647895667"/>
    <n v="44.18636019137945"/>
    <x v="0"/>
  </r>
  <r>
    <x v="4"/>
    <s v="Femenino"/>
    <n v="9"/>
    <n v="-0.6451149263019853"/>
    <n v="25.942635585175992"/>
    <x v="0"/>
  </r>
  <r>
    <x v="4"/>
    <s v="Femenino"/>
    <n v="9"/>
    <n v="-0.33207899892836557"/>
    <n v="36.99148037973616"/>
    <x v="0"/>
  </r>
  <r>
    <x v="4"/>
    <s v="Femenino"/>
    <n v="10"/>
    <n v="-1.4234291453461871"/>
    <n v="7.730589427478705"/>
    <x v="0"/>
  </r>
  <r>
    <x v="4"/>
    <s v="Masculino"/>
    <n v="10"/>
    <n v="0.53660325621993799"/>
    <n v="70.422915279552086"/>
    <x v="0"/>
  </r>
  <r>
    <x v="4"/>
    <s v="Masculino"/>
    <n v="10"/>
    <n v="-3.9251833126779472"/>
    <n v="4.3331858079929363E-3"/>
    <x v="1"/>
  </r>
  <r>
    <x v="4"/>
    <s v="Masculino"/>
    <n v="10"/>
    <n v="-0.34571048557582318"/>
    <n v="36.478015163786118"/>
    <x v="0"/>
  </r>
  <r>
    <x v="4"/>
    <s v="Femenino"/>
    <n v="9"/>
    <n v="-0.88146904586085129"/>
    <n v="18.903200041444236"/>
    <x v="0"/>
  </r>
  <r>
    <x v="4"/>
    <s v="Masculino"/>
    <n v="10"/>
    <n v="1.9999215299836914"/>
    <n v="97.724563104733321"/>
    <x v="2"/>
  </r>
  <r>
    <x v="4"/>
    <s v="Masculino"/>
    <n v="9"/>
    <n v="0.73337704375687496"/>
    <n v="76.833575171348087"/>
    <x v="0"/>
  </r>
  <r>
    <x v="4"/>
    <s v="Femenino"/>
    <n v="10"/>
    <n v="1.4295847735218947"/>
    <n v="92.358188588179047"/>
    <x v="0"/>
  </r>
  <r>
    <x v="4"/>
    <s v="Masculino"/>
    <n v="10"/>
    <n v="-1.2331670265869173E-2"/>
    <n v="49.508050002809348"/>
    <x v="0"/>
  </r>
  <r>
    <x v="4"/>
    <s v="Masculino"/>
    <n v="9"/>
    <n v="0.73337704375687496"/>
    <n v="76.833575171348087"/>
    <x v="0"/>
  </r>
  <r>
    <x v="4"/>
    <s v="Masculino"/>
    <n v="10"/>
    <n v="0.84462418281424223"/>
    <n v="80.0839648685497"/>
    <x v="0"/>
  </r>
  <r>
    <x v="4"/>
    <s v="Masculino"/>
    <n v="10"/>
    <n v="0.60657273454561511"/>
    <n v="72.793275038249035"/>
    <x v="0"/>
  </r>
  <r>
    <x v="4"/>
    <s v="Femenino"/>
    <n v="10"/>
    <n v="0.82595590033967692"/>
    <n v="79.558544577952389"/>
    <x v="0"/>
  </r>
  <r>
    <x v="4"/>
    <s v="Femenino"/>
    <n v="9"/>
    <n v="1.3227152544324101"/>
    <n v="90.703495566081997"/>
    <x v="0"/>
  </r>
  <r>
    <x v="4"/>
    <s v="Femenino"/>
    <n v="9"/>
    <n v="0.13857673725772285"/>
    <n v="55.510768655073818"/>
    <x v="0"/>
  </r>
  <r>
    <x v="4"/>
    <s v="Masculino"/>
    <n v="10"/>
    <n v="0.16034937301570598"/>
    <n v="56.369706601988433"/>
    <x v="0"/>
  </r>
  <r>
    <x v="4"/>
    <s v="Masculino"/>
    <n v="10"/>
    <n v="0.84462418281424223"/>
    <n v="80.0839648685497"/>
    <x v="0"/>
  </r>
  <r>
    <x v="4"/>
    <s v="Masculino"/>
    <n v="10"/>
    <n v="0.62024241225770349"/>
    <n v="73.245089876100494"/>
    <x v="0"/>
  </r>
  <r>
    <x v="4"/>
    <s v="Femenino"/>
    <n v="10"/>
    <n v="-0.80545724047494927"/>
    <n v="21.027793589766226"/>
    <x v="0"/>
  </r>
  <r>
    <x v="4"/>
    <s v="Masculino"/>
    <n v="10"/>
    <n v="-0.23344906026582521"/>
    <n v="40.770636039042309"/>
    <x v="0"/>
  </r>
  <r>
    <x v="4"/>
    <s v="Femenino"/>
    <n v="10"/>
    <n v="0.36951987798720987"/>
    <n v="64.41298702699585"/>
    <x v="0"/>
  </r>
  <r>
    <x v="4"/>
    <s v="Femenino"/>
    <n v="10"/>
    <n v="-0.35446608633575755"/>
    <n v="36.149480771114796"/>
    <x v="0"/>
  </r>
  <r>
    <x v="4"/>
    <s v="Femenino"/>
    <n v="10"/>
    <n v="-0.88194396313691203"/>
    <n v="18.890355565582556"/>
    <x v="0"/>
  </r>
  <r>
    <x v="4"/>
    <s v="Masculino"/>
    <n v="10"/>
    <n v="0.67693254635474009"/>
    <n v="75.077562346938649"/>
    <x v="0"/>
  </r>
  <r>
    <x v="4"/>
    <s v="Masculino"/>
    <n v="10"/>
    <n v="-1.0035013767515883"/>
    <n v="15.780950649591672"/>
    <x v="0"/>
  </r>
  <r>
    <x v="4"/>
    <s v="Masculino"/>
    <n v="10"/>
    <n v="0.62024241225770349"/>
    <n v="73.245089876100494"/>
    <x v="0"/>
  </r>
  <r>
    <x v="4"/>
    <s v="Masculino"/>
    <n v="10"/>
    <n v="0.8554650870006818"/>
    <n v="80.385313777132069"/>
    <x v="0"/>
  </r>
  <r>
    <x v="4"/>
    <s v="Femenino"/>
    <n v="10"/>
    <n v="-0.11279417230858349"/>
    <n v="45.509686934127153"/>
    <x v="0"/>
  </r>
  <r>
    <x v="4"/>
    <s v="Masculino"/>
    <n v="9"/>
    <n v="0.17177832323451273"/>
    <n v="56.819409612721181"/>
    <x v="0"/>
  </r>
  <r>
    <x v="4"/>
    <s v="Masculino"/>
    <n v="10"/>
    <n v="1.372420677344464"/>
    <n v="91.503374159974527"/>
    <x v="0"/>
  </r>
  <r>
    <x v="4"/>
    <s v="Masculino"/>
    <n v="9"/>
    <n v="-0.71342035185652941"/>
    <n v="23.779284154546446"/>
    <x v="0"/>
  </r>
  <r>
    <x v="4"/>
    <s v="Masculino"/>
    <n v="10"/>
    <n v="-0.41118351511379342"/>
    <n v="34.046898753520871"/>
    <x v="0"/>
  </r>
  <r>
    <x v="4"/>
    <s v="Femenino"/>
    <n v="10"/>
    <n v="0.74204077192672546"/>
    <n v="77.09686834643415"/>
    <x v="0"/>
  </r>
  <r>
    <x v="4"/>
    <s v="Femenino"/>
    <n v="10"/>
    <n v="0.67069227638725559"/>
    <n v="74.879170791720441"/>
    <x v="0"/>
  </r>
  <r>
    <x v="4"/>
    <s v="Femenino"/>
    <n v="11"/>
    <n v="0.88838601215520041"/>
    <n v="81.283342651843455"/>
    <x v="0"/>
  </r>
  <r>
    <x v="4"/>
    <s v="Masculino"/>
    <n v="11"/>
    <n v="-0.38151744865392334"/>
    <n v="35.14096631871999"/>
    <x v="0"/>
  </r>
  <r>
    <x v="4"/>
    <s v="Femenino"/>
    <n v="10"/>
    <n v="0.53449833299135985"/>
    <n v="70.350159875208377"/>
    <x v="0"/>
  </r>
  <r>
    <x v="4"/>
    <s v="Masculino"/>
    <n v="11"/>
    <n v="-0.16530508186935369"/>
    <n v="43.435192954783481"/>
    <x v="0"/>
  </r>
  <r>
    <x v="4"/>
    <s v="Masculino"/>
    <n v="10"/>
    <n v="-0.95065468361742145"/>
    <n v="17.088984973140537"/>
    <x v="0"/>
  </r>
  <r>
    <x v="4"/>
    <s v="Femenino"/>
    <n v="10"/>
    <n v="-0.97431841504353223"/>
    <n v="16.494923198058583"/>
    <x v="0"/>
  </r>
  <r>
    <x v="4"/>
    <s v="Masculino"/>
    <n v="11"/>
    <n v="2.0633271561679885"/>
    <n v="98.045922217817065"/>
    <x v="2"/>
  </r>
  <r>
    <x v="4"/>
    <s v="Femenino"/>
    <n v="11"/>
    <n v="1.5527703700496764"/>
    <n v="93.976099811198537"/>
    <x v="0"/>
  </r>
  <r>
    <x v="4"/>
    <s v="Femenino"/>
    <n v="11"/>
    <n v="-0.53651306186177705"/>
    <n v="29.580200551545165"/>
    <x v="0"/>
  </r>
  <r>
    <x v="4"/>
    <s v="Masculino"/>
    <n v="11"/>
    <n v="-7.5251427529348441E-3"/>
    <n v="49.699793072324105"/>
    <x v="0"/>
  </r>
  <r>
    <x v="4"/>
    <s v="Masculino"/>
    <n v="10"/>
    <n v="-1.97726796196586"/>
    <n v="2.4005674539180397"/>
    <x v="1"/>
  </r>
  <r>
    <x v="4"/>
    <s v="Femenino"/>
    <n v="10"/>
    <n v="2.0665175714756714"/>
    <n v="98.061018250175351"/>
    <x v="2"/>
  </r>
  <r>
    <x v="4"/>
    <s v="Masculino"/>
    <n v="11"/>
    <n v="-1.6712143280432632"/>
    <n v="4.7339675582252045"/>
    <x v="1"/>
  </r>
  <r>
    <x v="4"/>
    <s v="Masculino"/>
    <n v="11"/>
    <n v="0.29108867345104167"/>
    <n v="61.45082488440643"/>
    <x v="0"/>
  </r>
  <r>
    <x v="4"/>
    <s v="Masculino"/>
    <n v="11"/>
    <n v="-0.36289790269364358"/>
    <n v="35.834057675787875"/>
    <x v="0"/>
  </r>
  <r>
    <x v="4"/>
    <s v="Masculino"/>
    <n v="11"/>
    <n v="0.86219442815752789"/>
    <n v="80.570973234975867"/>
    <x v="0"/>
  </r>
  <r>
    <x v="4"/>
    <s v="Femenino"/>
    <n v="11"/>
    <n v="-0.16760790331086481"/>
    <n v="43.344587661072566"/>
    <x v="0"/>
  </r>
  <r>
    <x v="4"/>
    <s v="Femenino"/>
    <n v="11"/>
    <n v="0.19970273283255241"/>
    <n v="57.914346183120045"/>
    <x v="0"/>
  </r>
  <r>
    <x v="4"/>
    <s v="Masculino"/>
    <n v="10"/>
    <n v="0.64907395106800247"/>
    <n v="74.18547109947508"/>
    <x v="0"/>
  </r>
  <r>
    <x v="4"/>
    <s v="Femenino"/>
    <n v="11"/>
    <n v="0.11502864739152639"/>
    <n v="54.578879229213449"/>
    <x v="0"/>
  </r>
  <r>
    <x v="4"/>
    <s v="Masculino"/>
    <n v="11"/>
    <n v="6.2193482131798643E-2"/>
    <n v="52.479562352558027"/>
    <x v="0"/>
  </r>
  <r>
    <x v="4"/>
    <s v="Masculino"/>
    <n v="10"/>
    <n v="-0.32849544145095178"/>
    <n v="37.126854521817521"/>
    <x v="0"/>
  </r>
  <r>
    <x v="4"/>
    <s v="Femenino"/>
    <n v="11"/>
    <n v="0.56565039312995813"/>
    <n v="71.418426812164782"/>
    <x v="0"/>
  </r>
  <r>
    <x v="4"/>
    <s v="Masculino"/>
    <n v="11"/>
    <n v="-0.64687496529090016"/>
    <n v="25.885643477058263"/>
    <x v="0"/>
  </r>
  <r>
    <x v="4"/>
    <s v="Femenino"/>
    <n v="11"/>
    <n v="0.2694673409098543"/>
    <n v="60.621496441012027"/>
    <x v="0"/>
  </r>
  <r>
    <x v="4"/>
    <s v="Masculino"/>
    <n v="11"/>
    <n v="-0.37060184615518021"/>
    <n v="35.54670534021561"/>
    <x v="0"/>
  </r>
  <r>
    <x v="4"/>
    <s v="Masculino"/>
    <n v="10"/>
    <n v="2.1474945199864135"/>
    <n v="98.412303350131836"/>
    <x v="2"/>
  </r>
  <r>
    <x v="4"/>
    <s v="Masculino"/>
    <n v="11"/>
    <n v="1.9753506536402201"/>
    <n v="97.588581568816082"/>
    <x v="2"/>
  </r>
  <r>
    <x v="4"/>
    <s v="Masculino"/>
    <n v="10"/>
    <n v="-0.8430843768659787"/>
    <n v="19.959062784466731"/>
    <x v="0"/>
  </r>
  <r>
    <x v="4"/>
    <s v="Femenino"/>
    <n v="11"/>
    <n v="-0.61908181575046206"/>
    <n v="26.793123100280681"/>
    <x v="0"/>
  </r>
  <r>
    <x v="4"/>
    <s v="Femenino"/>
    <n v="11"/>
    <n v="0.49661431896480274"/>
    <n v="69.026947316783833"/>
    <x v="0"/>
  </r>
  <r>
    <x v="4"/>
    <s v="Masculino"/>
    <n v="11"/>
    <n v="0.28809662837557709"/>
    <n v="61.336361328345987"/>
    <x v="0"/>
  </r>
  <r>
    <x v="4"/>
    <s v="Masculino"/>
    <n v="11"/>
    <n v="3.1861970672154736"/>
    <n v="99.927921816376525"/>
    <x v="2"/>
  </r>
  <r>
    <x v="4"/>
    <s v="Masculino"/>
    <n v="11"/>
    <n v="2.0633271561679885"/>
    <n v="98.045922217817065"/>
    <x v="2"/>
  </r>
  <r>
    <x v="5"/>
    <m/>
    <m/>
    <m/>
    <m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4">
  <r>
    <s v="Esc. 17 de abril de 1869, Xochitepec, Morelos"/>
    <x v="0"/>
    <x v="0"/>
  </r>
  <r>
    <s v="Esc. 17 de abril de 1869, Xochitepec, Morelos"/>
    <x v="0"/>
    <x v="1"/>
  </r>
  <r>
    <s v="Esc. 17 de abril de 1869, Xochitepec, Morelos"/>
    <x v="0"/>
    <x v="0"/>
  </r>
  <r>
    <s v="Esc. 17 de abril de 1869, Xochitepec, Morelos"/>
    <x v="0"/>
    <x v="1"/>
  </r>
  <r>
    <s v="Esc. 17 de abril de 1869, Xochitepec, Morelos"/>
    <x v="0"/>
    <x v="0"/>
  </r>
  <r>
    <s v="Esc. 17 de abril de 1869, Xochitepec, Morelos"/>
    <x v="1"/>
    <x v="1"/>
  </r>
  <r>
    <s v="Esc. 17 de abril de 1869, Xochitepec, Morelos"/>
    <x v="0"/>
    <x v="0"/>
  </r>
  <r>
    <s v="Esc. 17 de abril de 1869, Xochitepec, Morelos"/>
    <x v="1"/>
    <x v="0"/>
  </r>
  <r>
    <s v="Esc. 17 de abril de 1869, Xochitepec, Morelos"/>
    <x v="0"/>
    <x v="1"/>
  </r>
  <r>
    <s v="Esc. 17 de abril de 1869, Xochitepec, Morelos"/>
    <x v="0"/>
    <x v="0"/>
  </r>
  <r>
    <s v="Esc. 17 de abril de 1869, Xochitepec, Morelos"/>
    <x v="1"/>
    <x v="0"/>
  </r>
  <r>
    <s v="Esc. 17 de abril de 1869, Xochitepec, Morelos"/>
    <x v="1"/>
    <x v="0"/>
  </r>
  <r>
    <s v="Esc. 17 de abril de 1869, Xochitepec, Morelos"/>
    <x v="1"/>
    <x v="1"/>
  </r>
  <r>
    <s v="Esc. 17 de abril de 1869, Xochitepec, Morelos"/>
    <x v="0"/>
    <x v="0"/>
  </r>
  <r>
    <s v="Esc. 17 de abril de 1869, Xochitepec, Morelos"/>
    <x v="0"/>
    <x v="0"/>
  </r>
  <r>
    <s v="Esc. 17 de abril de 1869, Xochitepec, Morelos"/>
    <x v="1"/>
    <x v="1"/>
  </r>
  <r>
    <s v="Esc. 17 de abril de 1869, Xochitepec, Morelos"/>
    <x v="0"/>
    <x v="1"/>
  </r>
  <r>
    <s v="Esc. 17 de abril de 1869, Xochitepec, Morelos"/>
    <x v="1"/>
    <x v="1"/>
  </r>
  <r>
    <s v="Esc. 17 de abril de 1869, Xochitepec, Morelos"/>
    <x v="1"/>
    <x v="1"/>
  </r>
  <r>
    <s v="Esc. 17 de abril de 1869, Xochitepec, Morelos"/>
    <x v="1"/>
    <x v="0"/>
  </r>
  <r>
    <s v="Esc. 17 de abril de 1869, Xochitepec, Morelos"/>
    <x v="1"/>
    <x v="1"/>
  </r>
  <r>
    <s v="Esc. 17 de abril de 1869, Xochitepec, Morelos"/>
    <x v="1"/>
    <x v="0"/>
  </r>
  <r>
    <s v="Esc. 17 de abril de 1869, Xochitepec, Morelos"/>
    <x v="0"/>
    <x v="1"/>
  </r>
  <r>
    <s v="Esc. 17 de abril de 1869, Xochitepec, Morelos"/>
    <x v="1"/>
    <x v="1"/>
  </r>
  <r>
    <s v="Esc. 17 de abril de 1869, Xochitepec, Morelos"/>
    <x v="0"/>
    <x v="1"/>
  </r>
  <r>
    <s v="Esc. 17 de abril de 1869, Xochitepec, Morelos"/>
    <x v="0"/>
    <x v="1"/>
  </r>
  <r>
    <s v="Esc. 17 de abril de 1869, Xochitepec, Morelos"/>
    <x v="1"/>
    <x v="2"/>
  </r>
  <r>
    <s v="Esc. 17 de abril de 1869, Xochitepec, Morelos"/>
    <x v="1"/>
    <x v="2"/>
  </r>
  <r>
    <s v="Esc. 17 de abril de 1869, Xochitepec, Morelos"/>
    <x v="0"/>
    <x v="1"/>
  </r>
  <r>
    <s v="Esc. 17 de abril de 1869, Xochitepec, Morelos"/>
    <x v="0"/>
    <x v="1"/>
  </r>
  <r>
    <s v="Esc. 17 de abril de 1869, Xochitepec, Morelos"/>
    <x v="0"/>
    <x v="1"/>
  </r>
  <r>
    <s v="Esc. 17 de abril de 1869, Xochitepec, Morelos"/>
    <x v="1"/>
    <x v="1"/>
  </r>
  <r>
    <s v="Esc. 17 de abril de 1869, Xochitepec, Morelos"/>
    <x v="1"/>
    <x v="1"/>
  </r>
  <r>
    <s v="Esc. 17 de abril de 1869, Xochitepec, Morelos"/>
    <x v="0"/>
    <x v="1"/>
  </r>
  <r>
    <s v="Esc. 17 de abril de 1869, Xochitepec, Morelos"/>
    <x v="0"/>
    <x v="1"/>
  </r>
  <r>
    <s v="Esc. 17 de abril de 1869, Xochitepec, Morelos"/>
    <x v="1"/>
    <x v="2"/>
  </r>
  <r>
    <s v="Esc. 17 de abril de 1869, Xochitepec, Morelos"/>
    <x v="0"/>
    <x v="1"/>
  </r>
  <r>
    <s v="Esc. 17 de abril de 1869, Xochitepec, Morelos"/>
    <x v="1"/>
    <x v="1"/>
  </r>
  <r>
    <s v="Esc. 17 de abril de 1869, Xochitepec, Morelos"/>
    <x v="0"/>
    <x v="2"/>
  </r>
  <r>
    <s v="Esc. 17 de abril de 1869, Xochitepec, Morelos"/>
    <x v="1"/>
    <x v="2"/>
  </r>
  <r>
    <s v="Esc. 17 de abril de 1869, Xochitepec, Morelos"/>
    <x v="0"/>
    <x v="1"/>
  </r>
  <r>
    <s v="Esc. 17 de abril de 1869, Xochitepec, Morelos"/>
    <x v="1"/>
    <x v="1"/>
  </r>
  <r>
    <s v="Esc. 17 de abril de 1869, Xochitepec, Morelos"/>
    <x v="1"/>
    <x v="2"/>
  </r>
  <r>
    <s v="Esc. 17 de abril de 1869, Xochitepec, Morelos"/>
    <x v="1"/>
    <x v="2"/>
  </r>
  <r>
    <s v="Esc. 17 de abril de 1869, Xochitepec, Morelos"/>
    <x v="1"/>
    <x v="3"/>
  </r>
  <r>
    <s v="Esc. 17 de abril de 1869, Xochitepec, Morelos"/>
    <x v="0"/>
    <x v="2"/>
  </r>
  <r>
    <s v="Esc. 17 de abril de 1869, Xochitepec, Morelos"/>
    <x v="1"/>
    <x v="3"/>
  </r>
  <r>
    <s v="Esc. 17 de abril de 1869, Xochitepec, Morelos"/>
    <x v="0"/>
    <x v="2"/>
  </r>
  <r>
    <s v="Esc. 17 de abril de 1869, Xochitepec, Morelos"/>
    <x v="0"/>
    <x v="2"/>
  </r>
  <r>
    <s v="Esc. 17 de abril de 1869, Xochitepec, Morelos"/>
    <x v="0"/>
    <x v="3"/>
  </r>
  <r>
    <s v="Esc. 17 de abril de 1869, Xochitepec, Morelos"/>
    <x v="0"/>
    <x v="2"/>
  </r>
  <r>
    <s v="Esc. 17 de abril de 1869, Xochitepec, Morelos"/>
    <x v="1"/>
    <x v="2"/>
  </r>
  <r>
    <s v="Esc. 17 de abril de 1869, Xochitepec, Morelos"/>
    <x v="0"/>
    <x v="2"/>
  </r>
  <r>
    <s v="Esc. 17 de abril de 1869, Xochitepec, Morelos"/>
    <x v="0"/>
    <x v="3"/>
  </r>
  <r>
    <s v="Esc. 17 de abril de 1869, Xochitepec, Morelos"/>
    <x v="0"/>
    <x v="2"/>
  </r>
  <r>
    <s v="Esc. 17 de abril de 1869, Xochitepec, Morelos"/>
    <x v="0"/>
    <x v="3"/>
  </r>
  <r>
    <s v="Esc. 17 de abril de 1869, Xochitepec, Morelos"/>
    <x v="0"/>
    <x v="3"/>
  </r>
  <r>
    <s v="Esc. 17 de abril de 1869, Xochitepec, Morelos"/>
    <x v="1"/>
    <x v="4"/>
  </r>
  <r>
    <s v="Esc. 17 de abril de 1869, Xochitepec, Morelos"/>
    <x v="0"/>
    <x v="3"/>
  </r>
  <r>
    <s v="Esc. 17 de abril de 1869, Xochitepec, Morelos"/>
    <x v="1"/>
    <x v="3"/>
  </r>
  <r>
    <s v="Esc. 17 de abril de 1869, Xochitepec, Morelos"/>
    <x v="1"/>
    <x v="3"/>
  </r>
  <r>
    <s v="Esc. 17 de abril de 1869, Xochitepec, Morelos"/>
    <x v="1"/>
    <x v="3"/>
  </r>
  <r>
    <s v="Esc. 17 de abril de 1869, Xochitepec, Morelos"/>
    <x v="1"/>
    <x v="4"/>
  </r>
  <r>
    <s v="Esc. 17 de abril de 1869, Xochitepec, Morelos"/>
    <x v="0"/>
    <x v="3"/>
  </r>
  <r>
    <s v="Esc. 17 de abril de 1869, Xochitepec, Morelos"/>
    <x v="0"/>
    <x v="3"/>
  </r>
  <r>
    <s v="Esc. 17 de abril de 1869, Xochitepec, Morelos"/>
    <x v="1"/>
    <x v="3"/>
  </r>
  <r>
    <s v="Esc. 17 de abril de 1869, Xochitepec, Morelos"/>
    <x v="0"/>
    <x v="4"/>
  </r>
  <r>
    <s v="Esc. 17 de abril de 1869, Xochitepec, Morelos"/>
    <x v="1"/>
    <x v="3"/>
  </r>
  <r>
    <s v="Esc. 17 de abril de 1869, Xochitepec, Morelos"/>
    <x v="1"/>
    <x v="4"/>
  </r>
  <r>
    <s v="Esc. 17 de abril de 1869, Xochitepec, Morelos"/>
    <x v="0"/>
    <x v="4"/>
  </r>
  <r>
    <s v="Esc. 17 de abril de 1869, Xochitepec, Morelos"/>
    <x v="1"/>
    <x v="3"/>
  </r>
  <r>
    <s v="Esc. 17 de abril de 1869, Xochitepec, Morelos"/>
    <x v="0"/>
    <x v="4"/>
  </r>
  <r>
    <s v="Esc. 17 de abril de 1869, Xochitepec, Morelos"/>
    <x v="1"/>
    <x v="3"/>
  </r>
  <r>
    <s v="Esc. 17 de abril de 1869, Xochitepec, Morelos"/>
    <x v="1"/>
    <x v="4"/>
  </r>
  <r>
    <s v="Esc. 17 de abril de 1869, Xochitepec, Morelos"/>
    <x v="0"/>
    <x v="4"/>
  </r>
  <r>
    <s v="Esc. 17 de abril de 1869, Xochitepec, Morelos"/>
    <x v="1"/>
    <x v="3"/>
  </r>
  <r>
    <s v="Esc. 17 de abril de 1869, Xochitepec, Morelos"/>
    <x v="0"/>
    <x v="4"/>
  </r>
  <r>
    <s v="Esc. 17 de abril de 1869, Xochitepec, Morelos"/>
    <x v="1"/>
    <x v="3"/>
  </r>
  <r>
    <s v="Esc. 17 de abril de 1869, Xochitepec, Morelos"/>
    <x v="1"/>
    <x v="3"/>
  </r>
  <r>
    <s v="Esc. 17 de abril de 1869, Xochitepec, Morelos"/>
    <x v="1"/>
    <x v="3"/>
  </r>
  <r>
    <s v="Esc. 17 de abril de 1869, Xochitepec, Morelos"/>
    <x v="0"/>
    <x v="4"/>
  </r>
  <r>
    <s v="Esc. 17 de abril de 1869, Xochitepec, Morelos"/>
    <x v="1"/>
    <x v="4"/>
  </r>
  <r>
    <s v="Esc. 17 de abril de 1869, Xochitepec, Morelos"/>
    <x v="1"/>
    <x v="5"/>
  </r>
  <r>
    <s v="Esc. 17 de abril de 1869, Xochitepec, Morelos"/>
    <x v="1"/>
    <x v="6"/>
  </r>
  <r>
    <s v="Esc. 17 de abril de 1869, Xochitepec, Morelos"/>
    <x v="0"/>
    <x v="4"/>
  </r>
  <r>
    <s v="Esc. 17 de abril de 1869, Xochitepec, Morelos"/>
    <x v="0"/>
    <x v="4"/>
  </r>
  <r>
    <s v="Esc. 17 de abril de 1869, Xochitepec, Morelos"/>
    <x v="0"/>
    <x v="5"/>
  </r>
  <r>
    <s v="Esc. 17 de abril de 1869, Xochitepec, Morelos"/>
    <x v="0"/>
    <x v="4"/>
  </r>
  <r>
    <s v="Esc. 17 de abril de 1869, Xochitepec, Morelos"/>
    <x v="0"/>
    <x v="5"/>
  </r>
  <r>
    <s v="Esc. 17 de abril de 1869, Xochitepec, Morelos"/>
    <x v="0"/>
    <x v="7"/>
  </r>
  <r>
    <s v="Esc. 17 de abril de 1869, Xochitepec, Morelos"/>
    <x v="0"/>
    <x v="3"/>
  </r>
  <r>
    <s v="Esc. 17 de abril de 1869, Xochitepec, Morelos"/>
    <x v="1"/>
    <x v="5"/>
  </r>
  <r>
    <s v="Esc. 17 de abril de 1869, Xochitepec, Morelos"/>
    <x v="0"/>
    <x v="5"/>
  </r>
  <r>
    <s v="Esc. 17 de abril de 1869, Xochitepec, Morelos"/>
    <x v="1"/>
    <x v="4"/>
  </r>
  <r>
    <s v="Esc. 17 de abril de 1869, Xochitepec, Morelos"/>
    <x v="0"/>
    <x v="4"/>
  </r>
  <r>
    <s v="Esc. 17 de abril de 1869, Xochitepec, Morelos"/>
    <x v="1"/>
    <x v="4"/>
  </r>
  <r>
    <s v="Esc. 17 de abril de 1869, Xochitepec, Morelos"/>
    <x v="1"/>
    <x v="4"/>
  </r>
  <r>
    <s v="Esc. 17 de abril de 1869, Xochitepec, Morelos"/>
    <x v="1"/>
    <x v="4"/>
  </r>
  <r>
    <s v="Esc. 17 de abril de 1869, Xochitepec, Morelos"/>
    <x v="1"/>
    <x v="5"/>
  </r>
  <r>
    <s v="Esc. 17 de abril de 1869, Xochitepec, Morelos"/>
    <x v="1"/>
    <x v="4"/>
  </r>
  <r>
    <s v="Esc. 17 de abril de 1869, Xochitepec, Morelos"/>
    <x v="0"/>
    <x v="4"/>
  </r>
  <r>
    <s v="Esc. 17 de abril de 1869, Xochitepec, Morelos"/>
    <x v="0"/>
    <x v="0"/>
  </r>
  <r>
    <s v="Esc. 17 de abril de 1869, Xochitepec, Morelos"/>
    <x v="0"/>
    <x v="0"/>
  </r>
  <r>
    <s v="Esc. 17 de abril de 1869, Xochitepec, Morelos"/>
    <x v="0"/>
    <x v="8"/>
  </r>
  <r>
    <s v="Esc. 17 de abril de 1869, Xochitepec, Morelos"/>
    <x v="1"/>
    <x v="8"/>
  </r>
  <r>
    <s v="Esc. 17 de abril de 1869, Xochitepec, Morelos"/>
    <x v="1"/>
    <x v="0"/>
  </r>
  <r>
    <s v="Esc. 17 de abril de 1869, Xochitepec, Morelos"/>
    <x v="1"/>
    <x v="0"/>
  </r>
  <r>
    <s v="Esc. 17 de abril de 1869, Xochitepec, Morelos"/>
    <x v="1"/>
    <x v="0"/>
  </r>
  <r>
    <s v="Esc. 17 de abril de 1869, Xochitepec, Morelos"/>
    <x v="1"/>
    <x v="0"/>
  </r>
  <r>
    <s v="Esc. 17 de abril de 1869, Xochitepec, Morelos"/>
    <x v="0"/>
    <x v="0"/>
  </r>
  <r>
    <s v="Esc. 17 de abril de 1869, Xochitepec, Morelos"/>
    <x v="0"/>
    <x v="4"/>
  </r>
  <r>
    <s v="Esc. 17 de abril de 1869, Xochitepec, Morelos"/>
    <x v="0"/>
    <x v="0"/>
  </r>
  <r>
    <s v="Esc. 17 de abril de 1869, Xochitepec, Morelos"/>
    <x v="0"/>
    <x v="0"/>
  </r>
  <r>
    <s v="Esc. 17 de abril de 1869, Xochitepec, Morelos"/>
    <x v="1"/>
    <x v="0"/>
  </r>
  <r>
    <s v="Esc. 17 de abril de 1869, Xochitepec, Morelos"/>
    <x v="1"/>
    <x v="0"/>
  </r>
  <r>
    <s v="Esc. 17 de abril de 1869, Xochitepec, Morelos"/>
    <x v="0"/>
    <x v="0"/>
  </r>
  <r>
    <s v="Esc. 17 de abril de 1869, Xochitepec, Morelos"/>
    <x v="0"/>
    <x v="8"/>
  </r>
  <r>
    <s v="Esc. 17 de abril de 1869, Xochitepec, Morelos"/>
    <x v="0"/>
    <x v="0"/>
  </r>
  <r>
    <s v="Esc. 17 de abril de 1869, Xochitepec, Morelos"/>
    <x v="0"/>
    <x v="8"/>
  </r>
  <r>
    <s v="Esc. 17 de abril de 1869, Xochitepec, Morelos"/>
    <x v="1"/>
    <x v="2"/>
  </r>
  <r>
    <s v="Esc. 17 de abril de 1869, Xochitepec, Morelos"/>
    <x v="0"/>
    <x v="1"/>
  </r>
  <r>
    <s v="Esc. 17 de abril de 1869, Xochitepec, Morelos"/>
    <x v="0"/>
    <x v="1"/>
  </r>
  <r>
    <s v="Esc. 17 de abril de 1869, Xochitepec, Morelos"/>
    <x v="0"/>
    <x v="1"/>
  </r>
  <r>
    <s v="Esc. 17 de abril de 1869, Xochitepec, Morelos"/>
    <x v="1"/>
    <x v="2"/>
  </r>
  <r>
    <s v="Esc. 17 de abril de 1869, Xochitepec, Morelos"/>
    <x v="1"/>
    <x v="2"/>
  </r>
  <r>
    <s v="Esc. 17 de abril de 1869, Xochitepec, Morelos"/>
    <x v="1"/>
    <x v="3"/>
  </r>
  <r>
    <s v="Esc. 17 de abril de 1869, Xochitepec, Morelos"/>
    <x v="0"/>
    <x v="3"/>
  </r>
  <r>
    <s v="Esc. 17 de abril de 1869, Xochitepec, Morelos"/>
    <x v="0"/>
    <x v="2"/>
  </r>
  <r>
    <s v="Esc. 17 de abril de 1869, Xochitepec, Morelos"/>
    <x v="0"/>
    <x v="3"/>
  </r>
  <r>
    <s v="Esc. 17 de abril de 1869, Xochitepec, Morelos"/>
    <x v="0"/>
    <x v="3"/>
  </r>
  <r>
    <s v="Esc. 17 de abril de 1869, Xochitepec, Morelos"/>
    <x v="1"/>
    <x v="2"/>
  </r>
  <r>
    <s v="Esc. 17 de abril de 1869, Xochitepec, Morelos"/>
    <x v="0"/>
    <x v="3"/>
  </r>
  <r>
    <s v="Esc. 17 de abril de 1869, Xochitepec, Morelos"/>
    <x v="1"/>
    <x v="3"/>
  </r>
  <r>
    <s v="Esc. 17 de abril de 1869, Xochitepec, Morelos"/>
    <x v="0"/>
    <x v="2"/>
  </r>
  <r>
    <s v="Esc. 17 de abril de 1869, Xochitepec, Morelos"/>
    <x v="0"/>
    <x v="3"/>
  </r>
  <r>
    <s v="Esc. 17 de abril de 1869, Xochitepec, Morelos"/>
    <x v="1"/>
    <x v="3"/>
  </r>
  <r>
    <s v="Esc. 17 de abril de 1869, Xochitepec, Morelos"/>
    <x v="1"/>
    <x v="4"/>
  </r>
  <r>
    <s v="Esc. 17 de abril de 1869, Xochitepec, Morelos"/>
    <x v="1"/>
    <x v="4"/>
  </r>
  <r>
    <s v="Esc. 17 de abril de 1869, Xochitepec, Morelos"/>
    <x v="0"/>
    <x v="5"/>
  </r>
  <r>
    <s v="Esc. 17 de abril de 1869, Xochitepec, Morelos"/>
    <x v="0"/>
    <x v="5"/>
  </r>
  <r>
    <s v="Esc. José Tapia Bujalance, Iztapalapa, CdMx"/>
    <x v="0"/>
    <x v="9"/>
  </r>
  <r>
    <s v="Esc. José Tapia Bujalance, Iztapalapa, CdMx"/>
    <x v="0"/>
    <x v="9"/>
  </r>
  <r>
    <s v="Esc. José Tapia Bujalance, Iztapalapa, CdMx"/>
    <x v="0"/>
    <x v="9"/>
  </r>
  <r>
    <s v="Esc. José Tapia Bujalance, Iztapalapa, CdMx"/>
    <x v="1"/>
    <x v="10"/>
  </r>
  <r>
    <s v="Esc. José Tapia Bujalance, Iztapalapa, CdMx"/>
    <x v="1"/>
    <x v="10"/>
  </r>
  <r>
    <s v="Esc. José Tapia Bujalance, Iztapalapa, CdMx"/>
    <x v="1"/>
    <x v="9"/>
  </r>
  <r>
    <s v="Esc. José Tapia Bujalance, Iztapalapa, CdMx"/>
    <x v="0"/>
    <x v="9"/>
  </r>
  <r>
    <s v="Esc. José Tapia Bujalance, Iztapalapa, CdMx"/>
    <x v="1"/>
    <x v="8"/>
  </r>
  <r>
    <s v="Esc. José Tapia Bujalance, Iztapalapa, CdMx"/>
    <x v="0"/>
    <x v="8"/>
  </r>
  <r>
    <s v="Esc. José Tapia Bujalance, Iztapalapa, CdMx"/>
    <x v="1"/>
    <x v="8"/>
  </r>
  <r>
    <s v="Esc. José Tapia Bujalance, Iztapalapa, CdMx"/>
    <x v="0"/>
    <x v="8"/>
  </r>
  <r>
    <s v="Esc. José Tapia Bujalance, Iztapalapa, CdMx"/>
    <x v="1"/>
    <x v="8"/>
  </r>
  <r>
    <s v="Esc. José Tapia Bujalance, Iztapalapa, CdMx"/>
    <x v="1"/>
    <x v="9"/>
  </r>
  <r>
    <s v="Esc. José Tapia Bujalance, Iztapalapa, CdMx"/>
    <x v="0"/>
    <x v="9"/>
  </r>
  <r>
    <s v="Esc. José Tapia Bujalance, Iztapalapa, CdMx"/>
    <x v="0"/>
    <x v="8"/>
  </r>
  <r>
    <s v="Esc. José Tapia Bujalance, Iztapalapa, CdMx"/>
    <x v="1"/>
    <x v="8"/>
  </r>
  <r>
    <s v="Esc. José Tapia Bujalance, Iztapalapa, CdMx"/>
    <x v="0"/>
    <x v="8"/>
  </r>
  <r>
    <s v="Esc. José Tapia Bujalance, Iztapalapa, CdMx"/>
    <x v="1"/>
    <x v="8"/>
  </r>
  <r>
    <s v="Esc. José Tapia Bujalance, Iztapalapa, CdMx"/>
    <x v="0"/>
    <x v="9"/>
  </r>
  <r>
    <s v="Esc. José Tapia Bujalance, Iztapalapa, CdMx"/>
    <x v="1"/>
    <x v="8"/>
  </r>
  <r>
    <s v="Esc. José Tapia Bujalance, Iztapalapa, CdMx"/>
    <x v="1"/>
    <x v="9"/>
  </r>
  <r>
    <s v="Esc. José Tapia Bujalance, Iztapalapa, CdMx"/>
    <x v="1"/>
    <x v="8"/>
  </r>
  <r>
    <s v="Esc. José Tapia Bujalance, Iztapalapa, CdMx"/>
    <x v="1"/>
    <x v="9"/>
  </r>
  <r>
    <s v="Esc. José Tapia Bujalance, Iztapalapa, CdMx"/>
    <x v="1"/>
    <x v="9"/>
  </r>
  <r>
    <s v="Esc. José Tapia Bujalance, Iztapalapa, CdMx"/>
    <x v="0"/>
    <x v="10"/>
  </r>
  <r>
    <s v="Esc. José Tapia Bujalance, Iztapalapa, CdMx"/>
    <x v="1"/>
    <x v="10"/>
  </r>
  <r>
    <s v="Esc. José Tapia Bujalance, Iztapalapa, CdMx"/>
    <x v="0"/>
    <x v="10"/>
  </r>
  <r>
    <s v="Esc. José Tapia Bujalance, Iztapalapa, CdMx"/>
    <x v="1"/>
    <x v="11"/>
  </r>
  <r>
    <s v="Esc. José Tapia Bujalance, Iztapalapa, CdMx"/>
    <x v="0"/>
    <x v="11"/>
  </r>
  <r>
    <s v="Esc. José Tapia Bujalance, Iztapalapa, CdMx"/>
    <x v="1"/>
    <x v="10"/>
  </r>
  <r>
    <s v="Esc. José Tapia Bujalance, Iztapalapa, CdMx"/>
    <x v="1"/>
    <x v="10"/>
  </r>
  <r>
    <s v="Esc. José Tapia Bujalance, Iztapalapa, CdMx"/>
    <x v="0"/>
    <x v="11"/>
  </r>
  <r>
    <s v="Esc. José Tapia Bujalance, Iztapalapa, CdMx"/>
    <x v="0"/>
    <x v="9"/>
  </r>
  <r>
    <s v="Esc. José Tapia Bujalance, Iztapalapa, CdMx"/>
    <x v="1"/>
    <x v="9"/>
  </r>
  <r>
    <s v="Esc. José Tapia Bujalance, Iztapalapa, CdMx"/>
    <x v="1"/>
    <x v="9"/>
  </r>
  <r>
    <s v="Esc. José Tapia Bujalance, Iztapalapa, CdMx"/>
    <x v="0"/>
    <x v="9"/>
  </r>
  <r>
    <s v="Esc. José Tapia Bujalance, Iztapalapa, CdMx"/>
    <x v="0"/>
    <x v="9"/>
  </r>
  <r>
    <s v="Esc. José Tapia Bujalance, Iztapalapa, CdMx"/>
    <x v="1"/>
    <x v="10"/>
  </r>
  <r>
    <s v="Esc. José Tapia Bujalance, Iztapalapa, CdMx"/>
    <x v="1"/>
    <x v="9"/>
  </r>
  <r>
    <s v="Esc. José Tapia Bujalance, Iztapalapa, CdMx"/>
    <x v="0"/>
    <x v="9"/>
  </r>
  <r>
    <s v="Esc. José Tapia Bujalance, Iztapalapa, CdMx"/>
    <x v="0"/>
    <x v="9"/>
  </r>
  <r>
    <s v="Esc. José Tapia Bujalance, Iztapalapa, CdMx"/>
    <x v="0"/>
    <x v="9"/>
  </r>
  <r>
    <s v="Esc. José Tapia Bujalance, Iztapalapa, CdMx"/>
    <x v="1"/>
    <x v="10"/>
  </r>
  <r>
    <s v="Esc. José Tapia Bujalance, Iztapalapa, CdMx"/>
    <x v="1"/>
    <x v="9"/>
  </r>
  <r>
    <s v="Esc. José Tapia Bujalance, Iztapalapa, CdMx"/>
    <x v="0"/>
    <x v="9"/>
  </r>
  <r>
    <s v="Esc. José Tapia Bujalance, Iztapalapa, CdMx"/>
    <x v="1"/>
    <x v="9"/>
  </r>
  <r>
    <s v="Esc. José Tapia Bujalance, Iztapalapa, CdMx"/>
    <x v="1"/>
    <x v="9"/>
  </r>
  <r>
    <s v="Esc. José Tapia Bujalance, Iztapalapa, CdMx"/>
    <x v="1"/>
    <x v="9"/>
  </r>
  <r>
    <s v="Esc. José Tapia Bujalance, Iztapalapa, CdMx"/>
    <x v="1"/>
    <x v="9"/>
  </r>
  <r>
    <s v="Esc. José Tapia Bujalance, Iztapalapa, CdMx"/>
    <x v="0"/>
    <x v="9"/>
  </r>
  <r>
    <s v="Esc. José Tapia Bujalance, Iztapalapa, CdMx"/>
    <x v="0"/>
    <x v="9"/>
  </r>
  <r>
    <s v="Esc. José Tapia Bujalance, Iztapalapa, CdMx"/>
    <x v="0"/>
    <x v="10"/>
  </r>
  <r>
    <s v="Esc. José Tapia Bujalance, Iztapalapa, CdMx"/>
    <x v="0"/>
    <x v="9"/>
  </r>
  <r>
    <s v="Esc. José Tapia Bujalance, Iztapalapa, CdMx"/>
    <x v="1"/>
    <x v="9"/>
  </r>
  <r>
    <s v="Esc. José Tapia Bujalance, Iztapalapa, CdMx"/>
    <x v="0"/>
    <x v="9"/>
  </r>
  <r>
    <s v="Esc. José Tapia Bujalance, Iztapalapa, CdMx"/>
    <x v="0"/>
    <x v="9"/>
  </r>
  <r>
    <s v="Esc. José Tapia Bujalance, Iztapalapa, CdMx"/>
    <x v="0"/>
    <x v="9"/>
  </r>
  <r>
    <s v="Esc. José Tapia Bujalance, Iztapalapa, CdMx"/>
    <x v="1"/>
    <x v="9"/>
  </r>
  <r>
    <s v="Esc. José Tapia Bujalance, Iztapalapa, CdMx"/>
    <x v="1"/>
    <x v="9"/>
  </r>
  <r>
    <s v="Esc. José Tapia Bujalance, Iztapalapa, CdMx"/>
    <x v="0"/>
    <x v="10"/>
  </r>
  <r>
    <s v="Esc. José Tapia Bujalance, Iztapalapa, CdMx"/>
    <x v="1"/>
    <x v="8"/>
  </r>
  <r>
    <s v="Esc. José Tapia Bujalance, Iztapalapa, CdMx"/>
    <x v="1"/>
    <x v="8"/>
  </r>
  <r>
    <s v="Esc. José Tapia Bujalance, Iztapalapa, CdMx"/>
    <x v="0"/>
    <x v="8"/>
  </r>
  <r>
    <s v="Esc. José Tapia Bujalance, Iztapalapa, CdMx"/>
    <x v="0"/>
    <x v="9"/>
  </r>
  <r>
    <s v="Esc. José Tapia Bujalance, Iztapalapa, CdMx"/>
    <x v="0"/>
    <x v="8"/>
  </r>
  <r>
    <s v="Esc. José Tapia Bujalance, Iztapalapa, CdMx"/>
    <x v="1"/>
    <x v="10"/>
  </r>
  <r>
    <s v="Esc. Eufemio Zapata, Tlaquiltenango, Morelos"/>
    <x v="1"/>
    <x v="1"/>
  </r>
  <r>
    <s v="Esc. Eufemio Zapata, Tlaquiltenango, Morelos"/>
    <x v="0"/>
    <x v="6"/>
  </r>
  <r>
    <s v="Esc. Eufemio Zapata, Tlaquiltenango, Morelos"/>
    <x v="0"/>
    <x v="8"/>
  </r>
  <r>
    <s v="Esc. Eufemio Zapata, Tlaquiltenango, Morelos"/>
    <x v="1"/>
    <x v="1"/>
  </r>
  <r>
    <s v="Esc. Eufemio Zapata, Tlaquiltenango, Morelos"/>
    <x v="1"/>
    <x v="4"/>
  </r>
  <r>
    <s v="Esc. Eufemio Zapata, Tlaquiltenango, Morelos"/>
    <x v="1"/>
    <x v="3"/>
  </r>
  <r>
    <s v="Esc. Eufemio Zapata, Tlaquiltenango, Morelos"/>
    <x v="0"/>
    <x v="0"/>
  </r>
  <r>
    <s v="Esc. Eufemio Zapata, Tlaquiltenango, Morelos"/>
    <x v="0"/>
    <x v="4"/>
  </r>
  <r>
    <s v="Esc. Eufemio Zapata, Tlaquiltenango, Morelos"/>
    <x v="1"/>
    <x v="4"/>
  </r>
  <r>
    <s v="Esc. Eufemio Zapata, Tlaquiltenango, Morelos"/>
    <x v="1"/>
    <x v="2"/>
  </r>
  <r>
    <s v="Esc. Eufemio Zapata, Tlaquiltenango, Morelos"/>
    <x v="0"/>
    <x v="8"/>
  </r>
  <r>
    <s v="Esc. Eufemio Zapata, Tlaquiltenango, Morelos"/>
    <x v="1"/>
    <x v="8"/>
  </r>
  <r>
    <s v="Esc. Eufemio Zapata, Tlaquiltenango, Morelos"/>
    <x v="0"/>
    <x v="9"/>
  </r>
  <r>
    <s v="Esc. Eufemio Zapata, Tlaquiltenango, Morelos"/>
    <x v="1"/>
    <x v="2"/>
  </r>
  <r>
    <s v="Esc. Eufemio Zapata, Tlaquiltenango, Morelos"/>
    <x v="1"/>
    <x v="2"/>
  </r>
  <r>
    <s v="Esc. Eufemio Zapata, Tlaquiltenango, Morelos"/>
    <x v="0"/>
    <x v="1"/>
  </r>
  <r>
    <s v="Esc. Eufemio Zapata, Tlaquiltenango, Morelos"/>
    <x v="1"/>
    <x v="8"/>
  </r>
  <r>
    <s v="Esc. Eufemio Zapata, Tlaquiltenango, Morelos"/>
    <x v="1"/>
    <x v="0"/>
  </r>
  <r>
    <s v="Esc. Eufemio Zapata, Tlaquiltenango, Morelos"/>
    <x v="0"/>
    <x v="8"/>
  </r>
  <r>
    <s v="Esc. Emiliano Zapata, Naucalpan, Edo Mex"/>
    <x v="0"/>
    <x v="0"/>
  </r>
  <r>
    <s v="Esc. Emiliano Zapata, Naucalpan, Edo Mex"/>
    <x v="0"/>
    <x v="0"/>
  </r>
  <r>
    <s v="Esc. Emiliano Zapata, Naucalpan, Edo Mex"/>
    <x v="1"/>
    <x v="0"/>
  </r>
  <r>
    <s v="Esc. Emiliano Zapata, Naucalpan, Edo Mex"/>
    <x v="1"/>
    <x v="0"/>
  </r>
  <r>
    <s v="Esc. Emiliano Zapata, Naucalpan, Edo Mex"/>
    <x v="1"/>
    <x v="0"/>
  </r>
  <r>
    <s v="Esc. Emiliano Zapata, Naucalpan, Edo Mex"/>
    <x v="0"/>
    <x v="0"/>
  </r>
  <r>
    <s v="Esc. Emiliano Zapata, Naucalpan, Edo Mex"/>
    <x v="0"/>
    <x v="8"/>
  </r>
  <r>
    <s v="Esc. Emiliano Zapata, Naucalpan, Edo Mex"/>
    <x v="0"/>
    <x v="8"/>
  </r>
  <r>
    <s v="Esc. Emiliano Zapata, Naucalpan, Edo Mex"/>
    <x v="1"/>
    <x v="8"/>
  </r>
  <r>
    <s v="Esc. Emiliano Zapata, Naucalpan, Edo Mex"/>
    <x v="0"/>
    <x v="8"/>
  </r>
  <r>
    <s v="Esc. Emiliano Zapata, Naucalpan, Edo Mex"/>
    <x v="1"/>
    <x v="0"/>
  </r>
  <r>
    <s v="Esc. Emiliano Zapata, Naucalpan, Edo Mex"/>
    <x v="1"/>
    <x v="0"/>
  </r>
  <r>
    <s v="Esc. Emiliano Zapata, Naucalpan, Edo Mex"/>
    <x v="1"/>
    <x v="0"/>
  </r>
  <r>
    <s v="Esc. Emiliano Zapata, Naucalpan, Edo Mex"/>
    <x v="0"/>
    <x v="0"/>
  </r>
  <r>
    <s v="Esc. Emiliano Zapata, Naucalpan, Edo Mex"/>
    <x v="0"/>
    <x v="0"/>
  </r>
  <r>
    <s v="Esc. Emiliano Zapata, Naucalpan, Edo Mex"/>
    <x v="1"/>
    <x v="0"/>
  </r>
  <r>
    <s v="Esc. Emiliano Zapata, Naucalpan, Edo Mex"/>
    <x v="1"/>
    <x v="0"/>
  </r>
  <r>
    <s v="Esc. Emiliano Zapata, Naucalpan, Edo Mex"/>
    <x v="1"/>
    <x v="8"/>
  </r>
  <r>
    <s v="Esc. Emiliano Zapata, Naucalpan, Edo Mex"/>
    <x v="0"/>
    <x v="0"/>
  </r>
  <r>
    <s v="Esc. Emiliano Zapata, Naucalpan, Edo Mex"/>
    <x v="1"/>
    <x v="0"/>
  </r>
  <r>
    <s v="Esc. Emiliano Zapata, Naucalpan, Edo Mex"/>
    <x v="1"/>
    <x v="0"/>
  </r>
  <r>
    <s v="Esc. Emiliano Zapata, Naucalpan, Edo Mex"/>
    <x v="0"/>
    <x v="0"/>
  </r>
  <r>
    <s v="Esc. Emiliano Zapata, Naucalpan, Edo Mex"/>
    <x v="0"/>
    <x v="0"/>
  </r>
  <r>
    <s v="Esc. Emiliano Zapata, Naucalpan, Edo Mex"/>
    <x v="1"/>
    <x v="0"/>
  </r>
  <r>
    <s v="Esc. Emiliano Zapata, Naucalpan, Edo Mex"/>
    <x v="0"/>
    <x v="0"/>
  </r>
  <r>
    <s v="Esc. Emiliano Zapata, Naucalpan, Edo Mex"/>
    <x v="1"/>
    <x v="0"/>
  </r>
  <r>
    <s v="Esc. Emiliano Zapata, Naucalpan, Edo Mex"/>
    <x v="0"/>
    <x v="0"/>
  </r>
  <r>
    <s v="Esc. Emiliano Zapata, Naucalpan, Edo Mex"/>
    <x v="0"/>
    <x v="8"/>
  </r>
  <r>
    <s v="Esc. Emiliano Zapata, Naucalpan, Edo Mex"/>
    <x v="1"/>
    <x v="8"/>
  </r>
  <r>
    <s v="Esc. Emiliano Zapata, Naucalpan, Edo Mex"/>
    <x v="0"/>
    <x v="0"/>
  </r>
  <r>
    <s v="Esc. Emiliano Zapata, Naucalpan, Edo Mex"/>
    <x v="0"/>
    <x v="0"/>
  </r>
  <r>
    <s v="Esc. Emiliano Zapata, Naucalpan, Edo Mex"/>
    <x v="1"/>
    <x v="0"/>
  </r>
  <r>
    <s v="Esc. Emiliano Zapata, Naucalpan, Edo Mex"/>
    <x v="0"/>
    <x v="0"/>
  </r>
  <r>
    <s v="Esc. Emiliano Zapata, Naucalpan, Edo Mex"/>
    <x v="0"/>
    <x v="8"/>
  </r>
  <r>
    <s v="Esc. Emiliano Zapata, Naucalpan, Edo Mex"/>
    <x v="1"/>
    <x v="0"/>
  </r>
  <r>
    <s v="Esc. Emiliano Zapata, Naucalpan, Edo Mex"/>
    <x v="0"/>
    <x v="0"/>
  </r>
  <r>
    <s v="Esc. Emiliano Zapata, Naucalpan, Edo Mex"/>
    <x v="1"/>
    <x v="0"/>
  </r>
  <r>
    <s v="Esc. Emiliano Zapata, Naucalpan, Edo Mex"/>
    <x v="0"/>
    <x v="8"/>
  </r>
  <r>
    <s v="Esc. Emiliano Zapata, Naucalpan, Edo Mex"/>
    <x v="1"/>
    <x v="0"/>
  </r>
  <r>
    <s v="Esc. Emiliano Zapata, Naucalpan, Edo Mex"/>
    <x v="0"/>
    <x v="1"/>
  </r>
  <r>
    <s v="Esc. Emiliano Zapata, Naucalpan, Edo Mex"/>
    <x v="1"/>
    <x v="0"/>
  </r>
  <r>
    <s v="Esc. Emiliano Zapata, Naucalpan, Edo Mex"/>
    <x v="0"/>
    <x v="0"/>
  </r>
  <r>
    <s v="Esc. Emiliano Zapata, Naucalpan, Edo Mex"/>
    <x v="0"/>
    <x v="1"/>
  </r>
  <r>
    <s v="Esc. Emiliano Zapata, Naucalpan, Edo Mex"/>
    <x v="0"/>
    <x v="1"/>
  </r>
  <r>
    <s v="Esc. Emiliano Zapata, Naucalpan, Edo Mex"/>
    <x v="0"/>
    <x v="1"/>
  </r>
  <r>
    <s v="Esc. Emiliano Zapata, Naucalpan, Edo Mex"/>
    <x v="0"/>
    <x v="1"/>
  </r>
  <r>
    <s v="Esc. Emiliano Zapata, Naucalpan, Edo Mex"/>
    <x v="0"/>
    <x v="1"/>
  </r>
  <r>
    <s v="Esc. Emiliano Zapata, Naucalpan, Edo Mex"/>
    <x v="0"/>
    <x v="1"/>
  </r>
  <r>
    <s v="Esc. Emiliano Zapata, Naucalpan, Edo Mex"/>
    <x v="1"/>
    <x v="1"/>
  </r>
  <r>
    <s v="Esc. Emiliano Zapata, Naucalpan, Edo Mex"/>
    <x v="1"/>
    <x v="1"/>
  </r>
  <r>
    <s v="Esc. Emiliano Zapata, Naucalpan, Edo Mex"/>
    <x v="1"/>
    <x v="1"/>
  </r>
  <r>
    <s v="Esc. Emiliano Zapata, Naucalpan, Edo Mex"/>
    <x v="1"/>
    <x v="1"/>
  </r>
  <r>
    <s v="Esc. Emiliano Zapata, Naucalpan, Edo Mex"/>
    <x v="1"/>
    <x v="1"/>
  </r>
  <r>
    <s v="Esc. Emiliano Zapata, Naucalpan, Edo Mex"/>
    <x v="1"/>
    <x v="0"/>
  </r>
  <r>
    <s v="Esc. Emiliano Zapata, Naucalpan, Edo Mex"/>
    <x v="0"/>
    <x v="2"/>
  </r>
  <r>
    <s v="Esc. Emiliano Zapata, Naucalpan, Edo Mex"/>
    <x v="0"/>
    <x v="2"/>
  </r>
  <r>
    <s v="Esc. Emiliano Zapata, Naucalpan, Edo Mex"/>
    <x v="1"/>
    <x v="1"/>
  </r>
  <r>
    <s v="Esc. Emiliano Zapata, Naucalpan, Edo Mex"/>
    <x v="0"/>
    <x v="2"/>
  </r>
  <r>
    <s v="Esc. Emiliano Zapata, Naucalpan, Edo Mex"/>
    <x v="1"/>
    <x v="2"/>
  </r>
  <r>
    <s v="Esc. Emiliano Zapata, Naucalpan, Edo Mex"/>
    <x v="0"/>
    <x v="1"/>
  </r>
  <r>
    <s v="Esc. Emiliano Zapata, Naucalpan, Edo Mex"/>
    <x v="0"/>
    <x v="2"/>
  </r>
  <r>
    <s v="Esc. Emiliano Zapata, Naucalpan, Edo Mex"/>
    <x v="0"/>
    <x v="2"/>
  </r>
  <r>
    <s v="Esc. Emiliano Zapata, Naucalpan, Edo Mex"/>
    <x v="1"/>
    <x v="2"/>
  </r>
  <r>
    <s v="Esc. Emiliano Zapata, Naucalpan, Edo Mex"/>
    <x v="1"/>
    <x v="2"/>
  </r>
  <r>
    <s v="Esc. Emiliano Zapata, Naucalpan, Edo Mex"/>
    <x v="0"/>
    <x v="2"/>
  </r>
  <r>
    <s v="Esc. Emiliano Zapata, Naucalpan, Edo Mex"/>
    <x v="1"/>
    <x v="2"/>
  </r>
  <r>
    <s v="Esc. Emiliano Zapata, Naucalpan, Edo Mex"/>
    <x v="1"/>
    <x v="2"/>
  </r>
  <r>
    <s v="Esc. Emiliano Zapata, Naucalpan, Edo Mex"/>
    <x v="0"/>
    <x v="2"/>
  </r>
  <r>
    <s v="Esc. Emiliano Zapata, Naucalpan, Edo Mex"/>
    <x v="0"/>
    <x v="2"/>
  </r>
  <r>
    <s v="Esc. Emiliano Zapata, Naucalpan, Edo Mex"/>
    <x v="0"/>
    <x v="2"/>
  </r>
  <r>
    <s v="Esc. Emiliano Zapata, Naucalpan, Edo Mex"/>
    <x v="1"/>
    <x v="2"/>
  </r>
  <r>
    <s v="Esc. Emiliano Zapata, Naucalpan, Edo Mex"/>
    <x v="0"/>
    <x v="2"/>
  </r>
  <r>
    <s v="Esc. Emiliano Zapata, Naucalpan, Edo Mex"/>
    <x v="0"/>
    <x v="2"/>
  </r>
  <r>
    <s v="Esc. Emiliano Zapata, Naucalpan, Edo Mex"/>
    <x v="0"/>
    <x v="2"/>
  </r>
  <r>
    <s v="Esc. Emiliano Zapata, Naucalpan, Edo Mex"/>
    <x v="1"/>
    <x v="2"/>
  </r>
  <r>
    <s v="Esc. Emiliano Zapata, Naucalpan, Edo Mex"/>
    <x v="1"/>
    <x v="1"/>
  </r>
  <r>
    <s v="Esc. Emiliano Zapata, Naucalpan, Edo Mex"/>
    <x v="1"/>
    <x v="1"/>
  </r>
  <r>
    <s v="Esc. Emiliano Zapata, Naucalpan, Edo Mex"/>
    <x v="1"/>
    <x v="0"/>
  </r>
  <r>
    <s v="Esc. Emiliano Zapata, Naucalpan, Edo Mex"/>
    <x v="1"/>
    <x v="0"/>
  </r>
  <r>
    <s v="Esc. Emiliano Zapata, Naucalpan, Edo Mex"/>
    <x v="0"/>
    <x v="1"/>
  </r>
  <r>
    <s v="Esc. Emiliano Zapata, Naucalpan, Edo Mex"/>
    <x v="0"/>
    <x v="1"/>
  </r>
  <r>
    <s v="Esc. Emiliano Zapata, Naucalpan, Edo Mex"/>
    <x v="0"/>
    <x v="0"/>
  </r>
  <r>
    <s v="Esc. Emiliano Zapata, Naucalpan, Edo Mex"/>
    <x v="0"/>
    <x v="1"/>
  </r>
  <r>
    <s v="Esc. Emiliano Zapata, Naucalpan, Edo Mex"/>
    <x v="0"/>
    <x v="1"/>
  </r>
  <r>
    <s v="Esc. Emiliano Zapata, Naucalpan, Edo Mex"/>
    <x v="1"/>
    <x v="1"/>
  </r>
  <r>
    <s v="Esc. Emiliano Zapata, Naucalpan, Edo Mex"/>
    <x v="1"/>
    <x v="0"/>
  </r>
  <r>
    <s v="Esc. Emiliano Zapata, Naucalpan, Edo Mex"/>
    <x v="0"/>
    <x v="0"/>
  </r>
  <r>
    <s v="Esc. Emiliano Zapata, Naucalpan, Edo Mex"/>
    <x v="0"/>
    <x v="1"/>
  </r>
  <r>
    <s v="Esc. Emiliano Zapata, Naucalpan, Edo Mex"/>
    <x v="0"/>
    <x v="1"/>
  </r>
  <r>
    <s v="Esc. Emiliano Zapata, Naucalpan, Edo Mex"/>
    <x v="0"/>
    <x v="1"/>
  </r>
  <r>
    <s v="Esc. Emiliano Zapata, Naucalpan, Edo Mex"/>
    <x v="0"/>
    <x v="0"/>
  </r>
  <r>
    <s v="Esc. Emiliano Zapata, Naucalpan, Edo Mex"/>
    <x v="0"/>
    <x v="1"/>
  </r>
  <r>
    <s v="Esc. Emiliano Zapata, Naucalpan, Edo Mex"/>
    <x v="1"/>
    <x v="1"/>
  </r>
  <r>
    <s v="Esc. Emiliano Zapata, Naucalpan, Edo Mex"/>
    <x v="1"/>
    <x v="0"/>
  </r>
  <r>
    <s v="Esc. Emiliano Zapata, Naucalpan, Edo Mex"/>
    <x v="1"/>
    <x v="1"/>
  </r>
  <r>
    <s v="Esc. Emiliano Zapata, Naucalpan, Edo Mex"/>
    <x v="1"/>
    <x v="1"/>
  </r>
  <r>
    <s v="Esc. Emiliano Zapata, Naucalpan, Edo Mex"/>
    <x v="1"/>
    <x v="1"/>
  </r>
  <r>
    <s v="Esc. Emiliano Zapata, Naucalpan, Edo Mex"/>
    <x v="1"/>
    <x v="1"/>
  </r>
  <r>
    <s v="Esc. Emiliano Zapata, Naucalpan, Edo Mex"/>
    <x v="1"/>
    <x v="0"/>
  </r>
  <r>
    <s v="Esc. Emiliano Zapata, Naucalpan, Edo Mex"/>
    <x v="1"/>
    <x v="0"/>
  </r>
  <r>
    <s v="Esc. Emiliano Zapata, Naucalpan, Edo Mex"/>
    <x v="1"/>
    <x v="1"/>
  </r>
  <r>
    <s v="Esc. Emiliano Zapata, Naucalpan, Edo Mex"/>
    <x v="0"/>
    <x v="1"/>
  </r>
  <r>
    <s v="Esc. Emiliano Zapata, Naucalpan, Edo Mex"/>
    <x v="0"/>
    <x v="1"/>
  </r>
  <r>
    <s v="Esc. Emiliano Zapata, Naucalpan, Edo Mex"/>
    <x v="0"/>
    <x v="0"/>
  </r>
  <r>
    <s v="Esc. Emiliano Zapata, Naucalpan, Edo Mex"/>
    <x v="0"/>
    <x v="1"/>
  </r>
  <r>
    <s v="Esc. Emiliano Zapata, Naucalpan, Edo Mex"/>
    <x v="0"/>
    <x v="0"/>
  </r>
  <r>
    <s v="Esc. Emiliano Zapata, Naucalpan, Edo Mex"/>
    <x v="0"/>
    <x v="0"/>
  </r>
  <r>
    <s v="Esc. Emiliano Zapata, Naucalpan, Edo Mex"/>
    <x v="0"/>
    <x v="1"/>
  </r>
  <r>
    <s v="Esc. Emiliano Zapata, Naucalpan, Edo Mex"/>
    <x v="1"/>
    <x v="1"/>
  </r>
  <r>
    <s v="Esc. Emiliano Zapata, Naucalpan, Edo Mex"/>
    <x v="1"/>
    <x v="1"/>
  </r>
  <r>
    <s v="Esc. Emiliano Zapata, Naucalpan, Edo Mex"/>
    <x v="1"/>
    <x v="0"/>
  </r>
  <r>
    <s v="Esc. Emiliano Zapata, Naucalpan, Edo Mex"/>
    <x v="1"/>
    <x v="1"/>
  </r>
  <r>
    <s v="Esc. Emiliano Zapata, Naucalpan, Edo Mex"/>
    <x v="0"/>
    <x v="0"/>
  </r>
  <r>
    <s v="Esc. Emiliano Zapata, Naucalpan, Edo Mex"/>
    <x v="0"/>
    <x v="0"/>
  </r>
  <r>
    <s v="Esc. Emiliano Zapata, Naucalpan, Edo Mex"/>
    <x v="1"/>
    <x v="1"/>
  </r>
  <r>
    <s v="Esc. Emiliano Zapata, Naucalpan, Edo Mex"/>
    <x v="0"/>
    <x v="0"/>
  </r>
  <r>
    <s v="Esc. Emiliano Zapata, Naucalpan, Edo Mex"/>
    <x v="1"/>
    <x v="0"/>
  </r>
  <r>
    <s v="Esc. Emiliano Zapata, Naucalpan, Edo Mex"/>
    <x v="1"/>
    <x v="1"/>
  </r>
  <r>
    <s v="Esc. Emiliano Zapata, Naucalpan, Edo Mex"/>
    <x v="1"/>
    <x v="1"/>
  </r>
  <r>
    <s v="Esc. Emiliano Zapata, Naucalpan, Edo Mex"/>
    <x v="1"/>
    <x v="1"/>
  </r>
  <r>
    <s v="Esc. Emiliano Zapata, Naucalpan, Edo Mex"/>
    <x v="0"/>
    <x v="1"/>
  </r>
  <r>
    <s v="Esc. Emiliano Zapata, Naucalpan, Edo Mex"/>
    <x v="1"/>
    <x v="1"/>
  </r>
  <r>
    <s v="Esc. Emiliano Zapata, Naucalpan, Edo Mex"/>
    <x v="0"/>
    <x v="1"/>
  </r>
  <r>
    <s v="Esc. Emiliano Zapata, Naucalpan, Edo Mex"/>
    <x v="1"/>
    <x v="1"/>
  </r>
  <r>
    <s v="Esc. Emiliano Zapata, Naucalpan, Edo Mex"/>
    <x v="1"/>
    <x v="2"/>
  </r>
  <r>
    <s v="Esc. Emiliano Zapata, Naucalpan, Edo Mex"/>
    <x v="1"/>
    <x v="2"/>
  </r>
  <r>
    <s v="Esc. Emiliano Zapata, Naucalpan, Edo Mex"/>
    <x v="0"/>
    <x v="2"/>
  </r>
  <r>
    <s v="Esc. Emiliano Zapata, Naucalpan, Edo Mex"/>
    <x v="1"/>
    <x v="2"/>
  </r>
  <r>
    <s v="Esc. Emiliano Zapata, Naucalpan, Edo Mex"/>
    <x v="1"/>
    <x v="2"/>
  </r>
  <r>
    <s v="Esc. Emiliano Zapata, Naucalpan, Edo Mex"/>
    <x v="1"/>
    <x v="2"/>
  </r>
  <r>
    <s v="Esc. Emiliano Zapata, Naucalpan, Edo Mex"/>
    <x v="1"/>
    <x v="2"/>
  </r>
  <r>
    <s v="Esc. Emiliano Zapata, Naucalpan, Edo Mex"/>
    <x v="1"/>
    <x v="2"/>
  </r>
  <r>
    <s v="Esc. Emiliano Zapata, Naucalpan, Edo Mex"/>
    <x v="0"/>
    <x v="1"/>
  </r>
  <r>
    <s v="Esc. Emiliano Zapata, Naucalpan, Edo Mex"/>
    <x v="1"/>
    <x v="1"/>
  </r>
  <r>
    <s v="Esc. Emiliano Zapata, Naucalpan, Edo Mex"/>
    <x v="0"/>
    <x v="2"/>
  </r>
  <r>
    <s v="Esc. Emiliano Zapata, Naucalpan, Edo Mex"/>
    <x v="1"/>
    <x v="2"/>
  </r>
  <r>
    <s v="Esc. Emiliano Zapata, Naucalpan, Edo Mex"/>
    <x v="0"/>
    <x v="2"/>
  </r>
  <r>
    <s v="Esc. Emiliano Zapata, Naucalpan, Edo Mex"/>
    <x v="1"/>
    <x v="2"/>
  </r>
  <r>
    <s v="Esc. Emiliano Zapata, Naucalpan, Edo Mex"/>
    <x v="0"/>
    <x v="2"/>
  </r>
  <r>
    <s v="Esc. Emiliano Zapata, Naucalpan, Edo Mex"/>
    <x v="0"/>
    <x v="2"/>
  </r>
  <r>
    <s v="Esc. Emiliano Zapata, Naucalpan, Edo Mex"/>
    <x v="0"/>
    <x v="2"/>
  </r>
  <r>
    <s v="Esc. Emiliano Zapata, Naucalpan, Edo Mex"/>
    <x v="1"/>
    <x v="2"/>
  </r>
  <r>
    <s v="Esc. Emiliano Zapata, Naucalpan, Edo Mex"/>
    <x v="0"/>
    <x v="2"/>
  </r>
  <r>
    <s v="Esc. Emiliano Zapata, Naucalpan, Edo Mex"/>
    <x v="1"/>
    <x v="2"/>
  </r>
  <r>
    <s v="Esc. Emiliano Zapata, Naucalpan, Edo Mex"/>
    <x v="0"/>
    <x v="2"/>
  </r>
  <r>
    <s v="Esc. Emiliano Zapata, Naucalpan, Edo Mex"/>
    <x v="0"/>
    <x v="2"/>
  </r>
  <r>
    <s v="Esc. Emiliano Zapata, Naucalpan, Edo Mex"/>
    <x v="1"/>
    <x v="2"/>
  </r>
  <r>
    <s v="Esc. Emiliano Zapata, Naucalpan, Edo Mex"/>
    <x v="1"/>
    <x v="1"/>
  </r>
  <r>
    <s v="Esc. Emiliano Zapata, Naucalpan, Edo Mex"/>
    <x v="0"/>
    <x v="2"/>
  </r>
  <r>
    <s v="Esc. Emiliano Zapata, Naucalpan, Edo Mex"/>
    <x v="0"/>
    <x v="2"/>
  </r>
  <r>
    <s v="Esc. Emiliano Zapata, Naucalpan, Edo Mex"/>
    <x v="1"/>
    <x v="2"/>
  </r>
  <r>
    <s v="Esc. Emiliano Zapata, Naucalpan, Edo Mex"/>
    <x v="1"/>
    <x v="2"/>
  </r>
  <r>
    <s v="Esc. Emiliano Zapata, Naucalpan, Edo Mex"/>
    <x v="1"/>
    <x v="2"/>
  </r>
  <r>
    <s v="Esc. Emiliano Zapata, Naucalpan, Edo Mex"/>
    <x v="0"/>
    <x v="3"/>
  </r>
  <r>
    <s v="Esc. Emiliano Zapata, Naucalpan, Edo Mex"/>
    <x v="0"/>
    <x v="3"/>
  </r>
  <r>
    <s v="Esc. Emiliano Zapata, Naucalpan, Edo Mex"/>
    <x v="0"/>
    <x v="3"/>
  </r>
  <r>
    <s v="Esc. Emiliano Zapata, Naucalpan, Edo Mex"/>
    <x v="0"/>
    <x v="3"/>
  </r>
  <r>
    <s v="Esc. Emiliano Zapata, Naucalpan, Edo Mex"/>
    <x v="0"/>
    <x v="3"/>
  </r>
  <r>
    <s v="Esc. Emiliano Zapata, Naucalpan, Edo Mex"/>
    <x v="0"/>
    <x v="3"/>
  </r>
  <r>
    <s v="Esc. Emiliano Zapata, Naucalpan, Edo Mex"/>
    <x v="0"/>
    <x v="2"/>
  </r>
  <r>
    <s v="Esc. Emiliano Zapata, Naucalpan, Edo Mex"/>
    <x v="0"/>
    <x v="3"/>
  </r>
  <r>
    <s v="Esc. Emiliano Zapata, Naucalpan, Edo Mex"/>
    <x v="1"/>
    <x v="2"/>
  </r>
  <r>
    <s v="Esc. Emiliano Zapata, Naucalpan, Edo Mex"/>
    <x v="0"/>
    <x v="3"/>
  </r>
  <r>
    <s v="Esc. Emiliano Zapata, Naucalpan, Edo Mex"/>
    <x v="0"/>
    <x v="3"/>
  </r>
  <r>
    <s v="Esc. Emiliano Zapata, Naucalpan, Edo Mex"/>
    <x v="0"/>
    <x v="2"/>
  </r>
  <r>
    <s v="Esc. Emiliano Zapata, Naucalpan, Edo Mex"/>
    <x v="0"/>
    <x v="2"/>
  </r>
  <r>
    <s v="Esc. Emiliano Zapata, Naucalpan, Edo Mex"/>
    <x v="0"/>
    <x v="3"/>
  </r>
  <r>
    <s v="Esc. Emiliano Zapata, Naucalpan, Edo Mex"/>
    <x v="0"/>
    <x v="3"/>
  </r>
  <r>
    <s v="Esc. Emiliano Zapata, Naucalpan, Edo Mex"/>
    <x v="1"/>
    <x v="3"/>
  </r>
  <r>
    <s v="Esc. Emiliano Zapata, Naucalpan, Edo Mex"/>
    <x v="0"/>
    <x v="3"/>
  </r>
  <r>
    <s v="Esc. Emiliano Zapata, Naucalpan, Edo Mex"/>
    <x v="1"/>
    <x v="1"/>
  </r>
  <r>
    <s v="Esc. Emiliano Zapata, Naucalpan, Edo Mex"/>
    <x v="1"/>
    <x v="3"/>
  </r>
  <r>
    <s v="Esc. Emiliano Zapata, Naucalpan, Edo Mex"/>
    <x v="1"/>
    <x v="3"/>
  </r>
  <r>
    <s v="Esc. Emiliano Zapata, Naucalpan, Edo Mex"/>
    <x v="0"/>
    <x v="3"/>
  </r>
  <r>
    <s v="Esc. Emiliano Zapata, Naucalpan, Edo Mex"/>
    <x v="0"/>
    <x v="3"/>
  </r>
  <r>
    <s v="Esc. Emiliano Zapata, Naucalpan, Edo Mex"/>
    <x v="0"/>
    <x v="3"/>
  </r>
  <r>
    <s v="Esc. Emiliano Zapata, Naucalpan, Edo Mex"/>
    <x v="1"/>
    <x v="3"/>
  </r>
  <r>
    <s v="Esc. Emiliano Zapata, Naucalpan, Edo Mex"/>
    <x v="0"/>
    <x v="2"/>
  </r>
  <r>
    <s v="Esc. Emiliano Zapata, Naucalpan, Edo Mex"/>
    <x v="1"/>
    <x v="2"/>
  </r>
  <r>
    <s v="Esc. Emiliano Zapata, Naucalpan, Edo Mex"/>
    <x v="1"/>
    <x v="3"/>
  </r>
  <r>
    <s v="Esc. Emiliano Zapata, Naucalpan, Edo Mex"/>
    <x v="1"/>
    <x v="3"/>
  </r>
  <r>
    <s v="Esc. Emiliano Zapata, Naucalpan, Edo Mex"/>
    <x v="0"/>
    <x v="2"/>
  </r>
  <r>
    <s v="Esc. Emiliano Zapata, Naucalpan, Edo Mex"/>
    <x v="0"/>
    <x v="2"/>
  </r>
  <r>
    <s v="Esc. Emiliano Zapata, Naucalpan, Edo Mex"/>
    <x v="1"/>
    <x v="2"/>
  </r>
  <r>
    <s v="Esc. Emiliano Zapata, Naucalpan, Edo Mex"/>
    <x v="1"/>
    <x v="3"/>
  </r>
  <r>
    <s v="Esc. Emiliano Zapata, Naucalpan, Edo Mex"/>
    <x v="1"/>
    <x v="4"/>
  </r>
  <r>
    <s v="Esc. Emiliano Zapata, Naucalpan, Edo Mex"/>
    <x v="1"/>
    <x v="4"/>
  </r>
  <r>
    <s v="Esc. Emiliano Zapata, Naucalpan, Edo Mex"/>
    <x v="0"/>
    <x v="4"/>
  </r>
  <r>
    <s v="Esc. Emiliano Zapata, Naucalpan, Edo Mex"/>
    <x v="0"/>
    <x v="3"/>
  </r>
  <r>
    <s v="Esc. Emiliano Zapata, Naucalpan, Edo Mex"/>
    <x v="0"/>
    <x v="4"/>
  </r>
  <r>
    <s v="Esc. Emiliano Zapata, Naucalpan, Edo Mex"/>
    <x v="0"/>
    <x v="3"/>
  </r>
  <r>
    <s v="Esc. Emiliano Zapata, Naucalpan, Edo Mex"/>
    <x v="0"/>
    <x v="3"/>
  </r>
  <r>
    <s v="Esc. Emiliano Zapata, Naucalpan, Edo Mex"/>
    <x v="0"/>
    <x v="3"/>
  </r>
  <r>
    <s v="Esc. Emiliano Zapata, Naucalpan, Edo Mex"/>
    <x v="0"/>
    <x v="5"/>
  </r>
  <r>
    <s v="Esc. Emiliano Zapata, Naucalpan, Edo Mex"/>
    <x v="0"/>
    <x v="5"/>
  </r>
  <r>
    <s v="Esc. Emiliano Zapata, Naucalpan, Edo Mex"/>
    <x v="0"/>
    <x v="5"/>
  </r>
  <r>
    <s v="Esc. Emiliano Zapata, Naucalpan, Edo Mex"/>
    <x v="0"/>
    <x v="5"/>
  </r>
  <r>
    <s v="Esc. Emiliano Zapata, Naucalpan, Edo Mex"/>
    <x v="0"/>
    <x v="5"/>
  </r>
  <r>
    <s v="Esc. Emiliano Zapata, Naucalpan, Edo Mex"/>
    <x v="0"/>
    <x v="5"/>
  </r>
  <r>
    <s v="Esc. Emiliano Zapata, Naucalpan, Edo Mex"/>
    <x v="0"/>
    <x v="5"/>
  </r>
  <r>
    <s v="Esc. Emiliano Zapata, Naucalpan, Edo Mex"/>
    <x v="1"/>
    <x v="5"/>
  </r>
  <r>
    <s v="Esc. Emiliano Zapata, Naucalpan, Edo Mex"/>
    <x v="1"/>
    <x v="5"/>
  </r>
  <r>
    <s v="Esc. Emiliano Zapata, Naucalpan, Edo Mex"/>
    <x v="1"/>
    <x v="4"/>
  </r>
  <r>
    <s v="Esc. Emiliano Zapata, Naucalpan, Edo Mex"/>
    <x v="1"/>
    <x v="4"/>
  </r>
  <r>
    <s v="Esc. Emiliano Zapata, Naucalpan, Edo Mex"/>
    <x v="1"/>
    <x v="5"/>
  </r>
  <r>
    <s v="Esc. Emiliano Zapata, Naucalpan, Edo Mex"/>
    <x v="1"/>
    <x v="5"/>
  </r>
  <r>
    <s v="Esc. Emiliano Zapata, Naucalpan, Edo Mex"/>
    <x v="1"/>
    <x v="5"/>
  </r>
  <r>
    <s v="Esc. Emiliano Zapata, Naucalpan, Edo Mex"/>
    <x v="1"/>
    <x v="5"/>
  </r>
  <r>
    <s v="Esc. Emiliano Zapata, Naucalpan, Edo Mex"/>
    <x v="1"/>
    <x v="4"/>
  </r>
  <r>
    <s v="Esc. Emiliano Zapata, Naucalpan, Edo Mex"/>
    <x v="1"/>
    <x v="4"/>
  </r>
  <r>
    <s v="Esc. Emiliano Zapata, Naucalpan, Edo Mex"/>
    <x v="0"/>
    <x v="5"/>
  </r>
  <r>
    <s v="Esc. Emiliano Zapata, Naucalpan, Edo Mex"/>
    <x v="0"/>
    <x v="5"/>
  </r>
  <r>
    <s v="Esc. Emiliano Zapata, Naucalpan, Edo Mex"/>
    <x v="0"/>
    <x v="4"/>
  </r>
  <r>
    <s v="Esc. Emiliano Zapata, Naucalpan, Edo Mex"/>
    <x v="0"/>
    <x v="5"/>
  </r>
  <r>
    <s v="Esc. Emiliano Zapata, Naucalpan, Edo Mex"/>
    <x v="1"/>
    <x v="5"/>
  </r>
  <r>
    <s v="Esc. Emiliano Zapata, Naucalpan, Edo Mex"/>
    <x v="1"/>
    <x v="5"/>
  </r>
  <r>
    <s v="Esc. Emiliano Zapata, Naucalpan, Edo Mex"/>
    <x v="1"/>
    <x v="4"/>
  </r>
  <r>
    <s v="Esc. Emiliano Zapata, Naucalpan, Edo Mex"/>
    <x v="1"/>
    <x v="5"/>
  </r>
  <r>
    <s v="Esc. Emiliano Zapata, Naucalpan, Edo Mex"/>
    <x v="1"/>
    <x v="4"/>
  </r>
  <r>
    <s v="Esc. Emiliano Zapata, Naucalpan, Edo Mex"/>
    <x v="1"/>
    <x v="5"/>
  </r>
  <r>
    <s v="Esc. Emiliano Zapata, Naucalpan, Edo Mex"/>
    <x v="1"/>
    <x v="5"/>
  </r>
  <r>
    <s v="Esc. Emiliano Zapata, Naucalpan, Edo Mex"/>
    <x v="1"/>
    <x v="5"/>
  </r>
  <r>
    <s v="Esc. Emiliano Zapata, Naucalpan, Edo Mex"/>
    <x v="0"/>
    <x v="5"/>
  </r>
  <r>
    <s v="Esc. Emiliano Zapata, Naucalpan, Edo Mex"/>
    <x v="0"/>
    <x v="4"/>
  </r>
  <r>
    <s v="Esc. Emiliano Zapata, Naucalpan, Edo Mex"/>
    <x v="0"/>
    <x v="5"/>
  </r>
  <r>
    <s v="Esc. Emiliano Zapata, Naucalpan, Edo Mex"/>
    <x v="0"/>
    <x v="5"/>
  </r>
  <r>
    <s v="Esc. Emiliano Zapata, Naucalpan, Edo Mex"/>
    <x v="0"/>
    <x v="5"/>
  </r>
  <r>
    <s v="Esc. Emiliano Zapata, Naucalpan, Edo Mex"/>
    <x v="0"/>
    <x v="5"/>
  </r>
  <r>
    <s v="Esc. Emiliano Zapata, Naucalpan, Edo Mex"/>
    <x v="0"/>
    <x v="4"/>
  </r>
  <r>
    <s v="Esc. Emiliano Zapata, Naucalpan, Edo Mex"/>
    <x v="0"/>
    <x v="0"/>
  </r>
  <r>
    <s v="Esc. Emiliano Zapata, Naucalpan, Edo Mex"/>
    <x v="0"/>
    <x v="0"/>
  </r>
  <r>
    <s v="Esc. Emiliano Zapata, Naucalpan, Edo Mex"/>
    <x v="0"/>
    <x v="0"/>
  </r>
  <r>
    <s v="Esc. Emiliano Zapata, Naucalpan, Edo Mex"/>
    <x v="1"/>
    <x v="8"/>
  </r>
  <r>
    <s v="Esc. Emiliano Zapata, Naucalpan, Edo Mex"/>
    <x v="1"/>
    <x v="0"/>
  </r>
  <r>
    <s v="Esc. Emiliano Zapata, Naucalpan, Edo Mex"/>
    <x v="1"/>
    <x v="8"/>
  </r>
  <r>
    <s v="Esc. Emiliano Zapata, Naucalpan, Edo Mex"/>
    <x v="1"/>
    <x v="8"/>
  </r>
  <r>
    <s v="Esc. Emiliano Zapata, Naucalpan, Edo Mex"/>
    <x v="1"/>
    <x v="8"/>
  </r>
  <r>
    <s v="Esc. Emiliano Zapata, Naucalpan, Edo Mex"/>
    <x v="1"/>
    <x v="8"/>
  </r>
  <r>
    <s v="Esc. Emiliano Zapata, Naucalpan, Edo Mex"/>
    <x v="1"/>
    <x v="0"/>
  </r>
  <r>
    <s v="Esc. Emiliano Zapata, Naucalpan, Edo Mex"/>
    <x v="1"/>
    <x v="0"/>
  </r>
  <r>
    <s v="Esc. Emiliano Zapata, Naucalpan, Edo Mex"/>
    <x v="1"/>
    <x v="0"/>
  </r>
  <r>
    <s v="Esc. Emiliano Zapata, Naucalpan, Edo Mex"/>
    <x v="0"/>
    <x v="1"/>
  </r>
  <r>
    <s v="Esc. Emiliano Zapata, Naucalpan, Edo Mex"/>
    <x v="0"/>
    <x v="0"/>
  </r>
  <r>
    <s v="Esc. Emiliano Zapata, Naucalpan, Edo Mex"/>
    <x v="0"/>
    <x v="0"/>
  </r>
  <r>
    <s v="Esc. Emiliano Zapata, Naucalpan, Edo Mex"/>
    <x v="0"/>
    <x v="0"/>
  </r>
  <r>
    <s v="Esc. Emiliano Zapata, Naucalpan, Edo Mex"/>
    <x v="0"/>
    <x v="0"/>
  </r>
  <r>
    <s v="Esc. Emiliano Zapata, Naucalpan, Edo Mex"/>
    <x v="1"/>
    <x v="0"/>
  </r>
  <r>
    <s v="Esc. Emiliano Zapata, Naucalpan, Edo Mex"/>
    <x v="0"/>
    <x v="8"/>
  </r>
  <r>
    <s v="Esc. Emiliano Zapata, Naucalpan, Edo Mex"/>
    <x v="0"/>
    <x v="1"/>
  </r>
  <r>
    <s v="Esc. Emiliano Zapata, Naucalpan, Edo Mex"/>
    <x v="1"/>
    <x v="2"/>
  </r>
  <r>
    <s v="Esc. Emiliano Zapata, Naucalpan, Edo Mex"/>
    <x v="1"/>
    <x v="8"/>
  </r>
  <r>
    <s v="Esc. Emiliano Zapata, Naucalpan, Edo Mex"/>
    <x v="0"/>
    <x v="0"/>
  </r>
  <r>
    <s v="Esc. Emiliano Zapata, Naucalpan, Edo Mex"/>
    <x v="0"/>
    <x v="0"/>
  </r>
  <r>
    <s v="Esc. Emiliano Zapata, Naucalpan, Edo Mex"/>
    <x v="0"/>
    <x v="4"/>
  </r>
  <r>
    <s v="Esc. Emiliano Zapata, Naucalpan, Edo Mex"/>
    <x v="1"/>
    <x v="0"/>
  </r>
  <r>
    <s v="Esc. Emiliano Zapata, Naucalpan, Edo Mex"/>
    <x v="0"/>
    <x v="0"/>
  </r>
  <r>
    <s v="Esc. Emiliano Zapata, Naucalpan, Edo Mex"/>
    <x v="1"/>
    <x v="0"/>
  </r>
  <r>
    <s v="Esc. Emiliano Zapata, Naucalpan, Edo Mex"/>
    <x v="1"/>
    <x v="0"/>
  </r>
  <r>
    <s v="Esc. Emiliano Zapata, Naucalpan, Edo Mex"/>
    <x v="1"/>
    <x v="1"/>
  </r>
  <r>
    <s v="Esc. Emiliano Zapata, Naucalpan, Edo Mex"/>
    <x v="0"/>
    <x v="1"/>
  </r>
  <r>
    <s v="Esc. Emiliano Zapata, Naucalpan, Edo Mex"/>
    <x v="0"/>
    <x v="1"/>
  </r>
  <r>
    <s v="Esc. Emiliano Zapata, Naucalpan, Edo Mex"/>
    <x v="1"/>
    <x v="1"/>
  </r>
  <r>
    <s v="Esc. Emiliano Zapata, Naucalpan, Edo Mex"/>
    <x v="1"/>
    <x v="1"/>
  </r>
  <r>
    <s v="Esc. Emiliano Zapata, Naucalpan, Edo Mex"/>
    <x v="1"/>
    <x v="1"/>
  </r>
  <r>
    <s v="Esc. Emiliano Zapata, Naucalpan, Edo Mex"/>
    <x v="1"/>
    <x v="1"/>
  </r>
  <r>
    <s v="Esc. Emiliano Zapata, Naucalpan, Edo Mex"/>
    <x v="1"/>
    <x v="1"/>
  </r>
  <r>
    <s v="Esc. Emiliano Zapata, Naucalpan, Edo Mex"/>
    <x v="1"/>
    <x v="1"/>
  </r>
  <r>
    <s v="Esc. Emiliano Zapata, Naucalpan, Edo Mex"/>
    <x v="0"/>
    <x v="1"/>
  </r>
  <r>
    <s v="Esc. Emiliano Zapata, Naucalpan, Edo Mex"/>
    <x v="0"/>
    <x v="1"/>
  </r>
  <r>
    <s v="Esc. Emiliano Zapata, Naucalpan, Edo Mex"/>
    <x v="0"/>
    <x v="1"/>
  </r>
  <r>
    <s v="Esc. Emiliano Zapata, Naucalpan, Edo Mex"/>
    <x v="1"/>
    <x v="0"/>
  </r>
  <r>
    <s v="Esc. Emiliano Zapata, Naucalpan, Edo Mex"/>
    <x v="0"/>
    <x v="1"/>
  </r>
  <r>
    <s v="Esc. Emiliano Zapata, Naucalpan, Edo Mex"/>
    <x v="0"/>
    <x v="1"/>
  </r>
  <r>
    <s v="Esc. Emiliano Zapata, Naucalpan, Edo Mex"/>
    <x v="0"/>
    <x v="1"/>
  </r>
  <r>
    <s v="Esc. Emiliano Zapata, Naucalpan, Edo Mex"/>
    <x v="1"/>
    <x v="1"/>
  </r>
  <r>
    <s v="Esc. Emiliano Zapata, Naucalpan, Edo Mex"/>
    <x v="1"/>
    <x v="1"/>
  </r>
  <r>
    <s v="Esc. Emiliano Zapata, Naucalpan, Edo Mex"/>
    <x v="1"/>
    <x v="1"/>
  </r>
  <r>
    <s v="Esc. Emiliano Zapata, Naucalpan, Edo Mex"/>
    <x v="0"/>
    <x v="1"/>
  </r>
  <r>
    <s v="Esc. Emiliano Zapata, Naucalpan, Edo Mex"/>
    <x v="0"/>
    <x v="1"/>
  </r>
  <r>
    <s v="Esc. Emiliano Zapata, Naucalpan, Edo Mex"/>
    <x v="0"/>
    <x v="1"/>
  </r>
  <r>
    <s v="Esc. Emiliano Zapata, Naucalpan, Edo Mex"/>
    <x v="1"/>
    <x v="2"/>
  </r>
  <r>
    <s v="Esc. Emiliano Zapata, Naucalpan, Edo Mex"/>
    <x v="1"/>
    <x v="1"/>
  </r>
  <r>
    <s v="Esc. Emiliano Zapata, Naucalpan, Edo Mex"/>
    <x v="1"/>
    <x v="0"/>
  </r>
  <r>
    <s v="Esc. Emiliano Zapata, Naucalpan, Edo Mex"/>
    <x v="1"/>
    <x v="1"/>
  </r>
  <r>
    <s v="Esc. Miguel Hidalgo, Atitalaquia, Hidalgo"/>
    <x v="1"/>
    <x v="0"/>
  </r>
  <r>
    <s v="Esc. Miguel Hidalgo, Atitalaquia, Hidalgo"/>
    <x v="1"/>
    <x v="0"/>
  </r>
  <r>
    <s v="Esc. Miguel Hidalgo, Atitalaquia, Hidalgo"/>
    <x v="1"/>
    <x v="0"/>
  </r>
  <r>
    <s v="Esc. Miguel Hidalgo, Atitalaquia, Hidalgo"/>
    <x v="0"/>
    <x v="0"/>
  </r>
  <r>
    <s v="Esc. Miguel Hidalgo, Atitalaquia, Hidalgo"/>
    <x v="0"/>
    <x v="0"/>
  </r>
  <r>
    <s v="Esc. Miguel Hidalgo, Atitalaquia, Hidalgo"/>
    <x v="1"/>
    <x v="0"/>
  </r>
  <r>
    <s v="Esc. Miguel Hidalgo, Atitalaquia, Hidalgo"/>
    <x v="1"/>
    <x v="0"/>
  </r>
  <r>
    <s v="Esc. Miguel Hidalgo, Atitalaquia, Hidalgo"/>
    <x v="1"/>
    <x v="0"/>
  </r>
  <r>
    <s v="Esc. Miguel Hidalgo, Atitalaquia, Hidalgo"/>
    <x v="1"/>
    <x v="0"/>
  </r>
  <r>
    <s v="Esc. Miguel Hidalgo, Atitalaquia, Hidalgo"/>
    <x v="0"/>
    <x v="0"/>
  </r>
  <r>
    <s v="Esc. Miguel Hidalgo, Atitalaquia, Hidalgo"/>
    <x v="0"/>
    <x v="8"/>
  </r>
  <r>
    <s v="Esc. Miguel Hidalgo, Atitalaquia, Hidalgo"/>
    <x v="0"/>
    <x v="0"/>
  </r>
  <r>
    <s v="Esc. Miguel Hidalgo, Atitalaquia, Hidalgo"/>
    <x v="0"/>
    <x v="0"/>
  </r>
  <r>
    <s v="Esc. Miguel Hidalgo, Atitalaquia, Hidalgo"/>
    <x v="1"/>
    <x v="0"/>
  </r>
  <r>
    <s v="Esc. Miguel Hidalgo, Atitalaquia, Hidalgo"/>
    <x v="0"/>
    <x v="0"/>
  </r>
  <r>
    <s v="Esc. Miguel Hidalgo, Atitalaquia, Hidalgo"/>
    <x v="0"/>
    <x v="8"/>
  </r>
  <r>
    <s v="Esc. Miguel Hidalgo, Atitalaquia, Hidalgo"/>
    <x v="1"/>
    <x v="8"/>
  </r>
  <r>
    <s v="Esc. Miguel Hidalgo, Atitalaquia, Hidalgo"/>
    <x v="0"/>
    <x v="8"/>
  </r>
  <r>
    <s v="Esc. Miguel Hidalgo, Atitalaquia, Hidalgo"/>
    <x v="0"/>
    <x v="8"/>
  </r>
  <r>
    <s v="Esc. Miguel Hidalgo, Atitalaquia, Hidalgo"/>
    <x v="1"/>
    <x v="0"/>
  </r>
  <r>
    <s v="Esc. Miguel Hidalgo, Atitalaquia, Hidalgo"/>
    <x v="1"/>
    <x v="0"/>
  </r>
  <r>
    <s v="Esc. Miguel Hidalgo, Atitalaquia, Hidalgo"/>
    <x v="1"/>
    <x v="0"/>
  </r>
  <r>
    <s v="Esc. Miguel Hidalgo, Atitalaquia, Hidalgo"/>
    <x v="0"/>
    <x v="0"/>
  </r>
  <r>
    <s v="Esc. Miguel Hidalgo, Atitalaquia, Hidalgo"/>
    <x v="0"/>
    <x v="0"/>
  </r>
  <r>
    <s v="Esc. Miguel Hidalgo, Atitalaquia, Hidalgo"/>
    <x v="1"/>
    <x v="0"/>
  </r>
  <r>
    <s v="Esc. Miguel Hidalgo, Atitalaquia, Hidalgo"/>
    <x v="1"/>
    <x v="0"/>
  </r>
  <r>
    <s v="Esc. Miguel Hidalgo, Atitalaquia, Hidalgo"/>
    <x v="1"/>
    <x v="0"/>
  </r>
  <r>
    <s v="Esc. Miguel Hidalgo, Atitalaquia, Hidalgo"/>
    <x v="0"/>
    <x v="0"/>
  </r>
  <r>
    <s v="Esc. Miguel Hidalgo, Atitalaquia, Hidalgo"/>
    <x v="1"/>
    <x v="0"/>
  </r>
  <r>
    <s v="Esc. Miguel Hidalgo, Atitalaquia, Hidalgo"/>
    <x v="0"/>
    <x v="8"/>
  </r>
  <r>
    <s v="Esc. Miguel Hidalgo, Atitalaquia, Hidalgo"/>
    <x v="1"/>
    <x v="0"/>
  </r>
  <r>
    <s v="Esc. Miguel Hidalgo, Atitalaquia, Hidalgo"/>
    <x v="1"/>
    <x v="8"/>
  </r>
  <r>
    <s v="Esc. Miguel Hidalgo, Atitalaquia, Hidalgo"/>
    <x v="1"/>
    <x v="0"/>
  </r>
  <r>
    <s v="Esc. Miguel Hidalgo, Atitalaquia, Hidalgo"/>
    <x v="1"/>
    <x v="0"/>
  </r>
  <r>
    <s v="Esc. Miguel Hidalgo, Atitalaquia, Hidalgo"/>
    <x v="1"/>
    <x v="8"/>
  </r>
  <r>
    <s v="Esc. Miguel Hidalgo, Atitalaquia, Hidalgo"/>
    <x v="1"/>
    <x v="8"/>
  </r>
  <r>
    <s v="Esc. Miguel Hidalgo, Atitalaquia, Hidalgo"/>
    <x v="0"/>
    <x v="0"/>
  </r>
  <r>
    <s v="Esc. Miguel Hidalgo, Atitalaquia, Hidalgo"/>
    <x v="1"/>
    <x v="8"/>
  </r>
  <r>
    <s v="Esc. Miguel Hidalgo, Atitalaquia, Hidalgo"/>
    <x v="0"/>
    <x v="0"/>
  </r>
  <r>
    <s v="Esc. Miguel Hidalgo, Atitalaquia, Hidalgo"/>
    <x v="1"/>
    <x v="8"/>
  </r>
  <r>
    <s v="Esc. Miguel Hidalgo, Atitalaquia, Hidalgo"/>
    <x v="0"/>
    <x v="0"/>
  </r>
  <r>
    <s v="Esc. Miguel Hidalgo, Atitalaquia, Hidalgo"/>
    <x v="1"/>
    <x v="8"/>
  </r>
  <r>
    <s v="Esc. Miguel Hidalgo, Atitalaquia, Hidalgo"/>
    <x v="0"/>
    <x v="8"/>
  </r>
  <r>
    <s v="Esc. Miguel Hidalgo, Atitalaquia, Hidalgo"/>
    <x v="0"/>
    <x v="8"/>
  </r>
  <r>
    <s v="Esc. Miguel Hidalgo, Atitalaquia, Hidalgo"/>
    <x v="0"/>
    <x v="1"/>
  </r>
  <r>
    <s v="Esc. Miguel Hidalgo, Atitalaquia, Hidalgo"/>
    <x v="1"/>
    <x v="8"/>
  </r>
  <r>
    <s v="Esc. Miguel Hidalgo, Atitalaquia, Hidalgo"/>
    <x v="0"/>
    <x v="0"/>
  </r>
  <r>
    <s v="Esc. Miguel Hidalgo, Atitalaquia, Hidalgo"/>
    <x v="0"/>
    <x v="0"/>
  </r>
  <r>
    <s v="Esc. Miguel Hidalgo, Atitalaquia, Hidalgo"/>
    <x v="0"/>
    <x v="0"/>
  </r>
  <r>
    <s v="Esc. Miguel Hidalgo, Atitalaquia, Hidalgo"/>
    <x v="0"/>
    <x v="0"/>
  </r>
  <r>
    <s v="Esc. Miguel Hidalgo, Atitalaquia, Hidalgo"/>
    <x v="0"/>
    <x v="0"/>
  </r>
  <r>
    <s v="Esc. Miguel Hidalgo, Atitalaquia, Hidalgo"/>
    <x v="0"/>
    <x v="1"/>
  </r>
  <r>
    <s v="Esc. Miguel Hidalgo, Atitalaquia, Hidalgo"/>
    <x v="1"/>
    <x v="1"/>
  </r>
  <r>
    <s v="Esc. Miguel Hidalgo, Atitalaquia, Hidalgo"/>
    <x v="1"/>
    <x v="1"/>
  </r>
  <r>
    <s v="Esc. Miguel Hidalgo, Atitalaquia, Hidalgo"/>
    <x v="0"/>
    <x v="1"/>
  </r>
  <r>
    <s v="Esc. Miguel Hidalgo, Atitalaquia, Hidalgo"/>
    <x v="1"/>
    <x v="1"/>
  </r>
  <r>
    <s v="Esc. Miguel Hidalgo, Atitalaquia, Hidalgo"/>
    <x v="1"/>
    <x v="1"/>
  </r>
  <r>
    <s v="Esc. Miguel Hidalgo, Atitalaquia, Hidalgo"/>
    <x v="0"/>
    <x v="1"/>
  </r>
  <r>
    <s v="Esc. Miguel Hidalgo, Atitalaquia, Hidalgo"/>
    <x v="0"/>
    <x v="1"/>
  </r>
  <r>
    <s v="Esc. Miguel Hidalgo, Atitalaquia, Hidalgo"/>
    <x v="0"/>
    <x v="1"/>
  </r>
  <r>
    <s v="Esc. Miguel Hidalgo, Atitalaquia, Hidalgo"/>
    <x v="0"/>
    <x v="0"/>
  </r>
  <r>
    <s v="Esc. Miguel Hidalgo, Atitalaquia, Hidalgo"/>
    <x v="1"/>
    <x v="1"/>
  </r>
  <r>
    <s v="Esc. Miguel Hidalgo, Atitalaquia, Hidalgo"/>
    <x v="0"/>
    <x v="0"/>
  </r>
  <r>
    <s v="Esc. Miguel Hidalgo, Atitalaquia, Hidalgo"/>
    <x v="0"/>
    <x v="0"/>
  </r>
  <r>
    <s v="Esc. Miguel Hidalgo, Atitalaquia, Hidalgo"/>
    <x v="0"/>
    <x v="1"/>
  </r>
  <r>
    <s v="Esc. Miguel Hidalgo, Atitalaquia, Hidalgo"/>
    <x v="0"/>
    <x v="0"/>
  </r>
  <r>
    <s v="Esc. Miguel Hidalgo, Atitalaquia, Hidalgo"/>
    <x v="1"/>
    <x v="1"/>
  </r>
  <r>
    <s v="Esc. Miguel Hidalgo, Atitalaquia, Hidalgo"/>
    <x v="1"/>
    <x v="0"/>
  </r>
  <r>
    <s v="Esc. Miguel Hidalgo, Atitalaquia, Hidalgo"/>
    <x v="1"/>
    <x v="1"/>
  </r>
  <r>
    <s v="Esc. Miguel Hidalgo, Atitalaquia, Hidalgo"/>
    <x v="0"/>
    <x v="0"/>
  </r>
  <r>
    <s v="Esc. Miguel Hidalgo, Atitalaquia, Hidalgo"/>
    <x v="1"/>
    <x v="0"/>
  </r>
  <r>
    <s v="Esc. Miguel Hidalgo, Atitalaquia, Hidalgo"/>
    <x v="0"/>
    <x v="1"/>
  </r>
  <r>
    <s v="Esc. Miguel Hidalgo, Atitalaquia, Hidalgo"/>
    <x v="1"/>
    <x v="0"/>
  </r>
  <r>
    <s v="Esc. Miguel Hidalgo, Atitalaquia, Hidalgo"/>
    <x v="0"/>
    <x v="1"/>
  </r>
  <r>
    <s v="Esc. Miguel Hidalgo, Atitalaquia, Hidalgo"/>
    <x v="1"/>
    <x v="0"/>
  </r>
  <r>
    <s v="Esc. Miguel Hidalgo, Atitalaquia, Hidalgo"/>
    <x v="0"/>
    <x v="1"/>
  </r>
  <r>
    <s v="Esc. Miguel Hidalgo, Atitalaquia, Hidalgo"/>
    <x v="0"/>
    <x v="1"/>
  </r>
  <r>
    <s v="Esc. Miguel Hidalgo, Atitalaquia, Hidalgo"/>
    <x v="1"/>
    <x v="1"/>
  </r>
  <r>
    <s v="Esc. Miguel Hidalgo, Atitalaquia, Hidalgo"/>
    <x v="1"/>
    <x v="0"/>
  </r>
  <r>
    <s v="Esc. Miguel Hidalgo, Atitalaquia, Hidalgo"/>
    <x v="1"/>
    <x v="1"/>
  </r>
  <r>
    <s v="Esc. Miguel Hidalgo, Atitalaquia, Hidalgo"/>
    <x v="0"/>
    <x v="0"/>
  </r>
  <r>
    <s v="Esc. Miguel Hidalgo, Atitalaquia, Hidalgo"/>
    <x v="0"/>
    <x v="1"/>
  </r>
  <r>
    <s v="Esc. Miguel Hidalgo, Atitalaquia, Hidalgo"/>
    <x v="1"/>
    <x v="1"/>
  </r>
  <r>
    <s v="Esc. Miguel Hidalgo, Atitalaquia, Hidalgo"/>
    <x v="1"/>
    <x v="1"/>
  </r>
  <r>
    <s v="Esc. Miguel Hidalgo, Atitalaquia, Hidalgo"/>
    <x v="1"/>
    <x v="0"/>
  </r>
  <r>
    <s v="Esc. Miguel Hidalgo, Atitalaquia, Hidalgo"/>
    <x v="1"/>
    <x v="1"/>
  </r>
  <r>
    <s v="Esc. Miguel Hidalgo, Atitalaquia, Hidalgo"/>
    <x v="0"/>
    <x v="1"/>
  </r>
  <r>
    <s v="Esc. Miguel Hidalgo, Atitalaquia, Hidalgo"/>
    <x v="1"/>
    <x v="0"/>
  </r>
  <r>
    <s v="Esc. Miguel Hidalgo, Atitalaquia, Hidalgo"/>
    <x v="1"/>
    <x v="0"/>
  </r>
  <r>
    <s v="Esc. Miguel Hidalgo, Atitalaquia, Hidalgo"/>
    <x v="1"/>
    <x v="1"/>
  </r>
  <r>
    <s v="Esc. Miguel Hidalgo, Atitalaquia, Hidalgo"/>
    <x v="1"/>
    <x v="1"/>
  </r>
  <r>
    <s v="Esc. Miguel Hidalgo, Atitalaquia, Hidalgo"/>
    <x v="0"/>
    <x v="1"/>
  </r>
  <r>
    <s v="Esc. Miguel Hidalgo, Atitalaquia, Hidalgo"/>
    <x v="0"/>
    <x v="1"/>
  </r>
  <r>
    <s v="Esc. Miguel Hidalgo, Atitalaquia, Hidalgo"/>
    <x v="1"/>
    <x v="1"/>
  </r>
  <r>
    <s v="Esc. Miguel Hidalgo, Atitalaquia, Hidalgo"/>
    <x v="0"/>
    <x v="0"/>
  </r>
  <r>
    <s v="Esc. Miguel Hidalgo, Atitalaquia, Hidalgo"/>
    <x v="0"/>
    <x v="1"/>
  </r>
  <r>
    <s v="Esc. Miguel Hidalgo, Atitalaquia, Hidalgo"/>
    <x v="1"/>
    <x v="1"/>
  </r>
  <r>
    <s v="Esc. Miguel Hidalgo, Atitalaquia, Hidalgo"/>
    <x v="1"/>
    <x v="0"/>
  </r>
  <r>
    <s v="Esc. Miguel Hidalgo, Atitalaquia, Hidalgo"/>
    <x v="0"/>
    <x v="0"/>
  </r>
  <r>
    <s v="Esc. Miguel Hidalgo, Atitalaquia, Hidalgo"/>
    <x v="1"/>
    <x v="1"/>
  </r>
  <r>
    <s v="Esc. Miguel Hidalgo, Atitalaquia, Hidalgo"/>
    <x v="0"/>
    <x v="2"/>
  </r>
  <r>
    <s v="Esc. Miguel Hidalgo, Atitalaquia, Hidalgo"/>
    <x v="0"/>
    <x v="2"/>
  </r>
  <r>
    <s v="Esc. Miguel Hidalgo, Atitalaquia, Hidalgo"/>
    <x v="0"/>
    <x v="1"/>
  </r>
  <r>
    <s v="Esc. Miguel Hidalgo, Atitalaquia, Hidalgo"/>
    <x v="1"/>
    <x v="2"/>
  </r>
  <r>
    <s v="Esc. Miguel Hidalgo, Atitalaquia, Hidalgo"/>
    <x v="0"/>
    <x v="2"/>
  </r>
  <r>
    <s v="Esc. Miguel Hidalgo, Atitalaquia, Hidalgo"/>
    <x v="1"/>
    <x v="1"/>
  </r>
  <r>
    <s v="Esc. Miguel Hidalgo, Atitalaquia, Hidalgo"/>
    <x v="0"/>
    <x v="1"/>
  </r>
  <r>
    <s v="Esc. Miguel Hidalgo, Atitalaquia, Hidalgo"/>
    <x v="1"/>
    <x v="2"/>
  </r>
  <r>
    <s v="Esc. Miguel Hidalgo, Atitalaquia, Hidalgo"/>
    <x v="0"/>
    <x v="1"/>
  </r>
  <r>
    <s v="Esc. Miguel Hidalgo, Atitalaquia, Hidalgo"/>
    <x v="1"/>
    <x v="1"/>
  </r>
  <r>
    <s v="Esc. Miguel Hidalgo, Atitalaquia, Hidalgo"/>
    <x v="0"/>
    <x v="2"/>
  </r>
  <r>
    <s v="Esc. Miguel Hidalgo, Atitalaquia, Hidalgo"/>
    <x v="1"/>
    <x v="2"/>
  </r>
  <r>
    <s v="Esc. Miguel Hidalgo, Atitalaquia, Hidalgo"/>
    <x v="0"/>
    <x v="2"/>
  </r>
  <r>
    <s v="Esc. Miguel Hidalgo, Atitalaquia, Hidalgo"/>
    <x v="1"/>
    <x v="2"/>
  </r>
  <r>
    <s v="Esc. Miguel Hidalgo, Atitalaquia, Hidalgo"/>
    <x v="0"/>
    <x v="2"/>
  </r>
  <r>
    <s v="Esc. Miguel Hidalgo, Atitalaquia, Hidalgo"/>
    <x v="1"/>
    <x v="1"/>
  </r>
  <r>
    <s v="Esc. Miguel Hidalgo, Atitalaquia, Hidalgo"/>
    <x v="1"/>
    <x v="1"/>
  </r>
  <r>
    <s v="Esc. Miguel Hidalgo, Atitalaquia, Hidalgo"/>
    <x v="0"/>
    <x v="1"/>
  </r>
  <r>
    <s v="Esc. Miguel Hidalgo, Atitalaquia, Hidalgo"/>
    <x v="0"/>
    <x v="2"/>
  </r>
  <r>
    <s v="Esc. Miguel Hidalgo, Atitalaquia, Hidalgo"/>
    <x v="0"/>
    <x v="2"/>
  </r>
  <r>
    <s v="Esc. Miguel Hidalgo, Atitalaquia, Hidalgo"/>
    <x v="1"/>
    <x v="1"/>
  </r>
  <r>
    <s v="Esc. Miguel Hidalgo, Atitalaquia, Hidalgo"/>
    <x v="0"/>
    <x v="2"/>
  </r>
  <r>
    <s v="Esc. Miguel Hidalgo, Atitalaquia, Hidalgo"/>
    <x v="0"/>
    <x v="2"/>
  </r>
  <r>
    <s v="Esc. Miguel Hidalgo, Atitalaquia, Hidalgo"/>
    <x v="0"/>
    <x v="2"/>
  </r>
  <r>
    <s v="Esc. Miguel Hidalgo, Atitalaquia, Hidalgo"/>
    <x v="0"/>
    <x v="1"/>
  </r>
  <r>
    <s v="Esc. Miguel Hidalgo, Atitalaquia, Hidalgo"/>
    <x v="1"/>
    <x v="2"/>
  </r>
  <r>
    <s v="Esc. Miguel Hidalgo, Atitalaquia, Hidalgo"/>
    <x v="1"/>
    <x v="2"/>
  </r>
  <r>
    <s v="Esc. Miguel Hidalgo, Atitalaquia, Hidalgo"/>
    <x v="1"/>
    <x v="2"/>
  </r>
  <r>
    <s v="Esc. Miguel Hidalgo, Atitalaquia, Hidalgo"/>
    <x v="1"/>
    <x v="2"/>
  </r>
  <r>
    <s v="Esc. Miguel Hidalgo, Atitalaquia, Hidalgo"/>
    <x v="0"/>
    <x v="2"/>
  </r>
  <r>
    <s v="Esc. Miguel Hidalgo, Atitalaquia, Hidalgo"/>
    <x v="0"/>
    <x v="2"/>
  </r>
  <r>
    <s v="Esc. Miguel Hidalgo, Atitalaquia, Hidalgo"/>
    <x v="1"/>
    <x v="2"/>
  </r>
  <r>
    <s v="Esc. Miguel Hidalgo, Atitalaquia, Hidalgo"/>
    <x v="1"/>
    <x v="2"/>
  </r>
  <r>
    <s v="Esc. Miguel Hidalgo, Atitalaquia, Hidalgo"/>
    <x v="1"/>
    <x v="2"/>
  </r>
  <r>
    <s v="Esc. Miguel Hidalgo, Atitalaquia, Hidalgo"/>
    <x v="1"/>
    <x v="2"/>
  </r>
  <r>
    <s v="Esc. Miguel Hidalgo, Atitalaquia, Hidalgo"/>
    <x v="0"/>
    <x v="2"/>
  </r>
  <r>
    <s v="Esc. Miguel Hidalgo, Atitalaquia, Hidalgo"/>
    <x v="0"/>
    <x v="1"/>
  </r>
  <r>
    <s v="Esc. Miguel Hidalgo, Atitalaquia, Hidalgo"/>
    <x v="0"/>
    <x v="1"/>
  </r>
  <r>
    <s v="Esc. Miguel Hidalgo, Atitalaquia, Hidalgo"/>
    <x v="0"/>
    <x v="2"/>
  </r>
  <r>
    <s v="Esc. Miguel Hidalgo, Atitalaquia, Hidalgo"/>
    <x v="0"/>
    <x v="1"/>
  </r>
  <r>
    <s v="Esc. Miguel Hidalgo, Atitalaquia, Hidalgo"/>
    <x v="0"/>
    <x v="2"/>
  </r>
  <r>
    <s v="Esc. Miguel Hidalgo, Atitalaquia, Hidalgo"/>
    <x v="0"/>
    <x v="3"/>
  </r>
  <r>
    <s v="Esc. Miguel Hidalgo, Atitalaquia, Hidalgo"/>
    <x v="1"/>
    <x v="3"/>
  </r>
  <r>
    <s v="Esc. Miguel Hidalgo, Atitalaquia, Hidalgo"/>
    <x v="1"/>
    <x v="3"/>
  </r>
  <r>
    <s v="Esc. Miguel Hidalgo, Atitalaquia, Hidalgo"/>
    <x v="0"/>
    <x v="3"/>
  </r>
  <r>
    <s v="Esc. Miguel Hidalgo, Atitalaquia, Hidalgo"/>
    <x v="0"/>
    <x v="3"/>
  </r>
  <r>
    <s v="Esc. Miguel Hidalgo, Atitalaquia, Hidalgo"/>
    <x v="1"/>
    <x v="3"/>
  </r>
  <r>
    <s v="Esc. Miguel Hidalgo, Atitalaquia, Hidalgo"/>
    <x v="1"/>
    <x v="3"/>
  </r>
  <r>
    <s v="Esc. Miguel Hidalgo, Atitalaquia, Hidalgo"/>
    <x v="1"/>
    <x v="3"/>
  </r>
  <r>
    <s v="Esc. Miguel Hidalgo, Atitalaquia, Hidalgo"/>
    <x v="1"/>
    <x v="3"/>
  </r>
  <r>
    <s v="Esc. Miguel Hidalgo, Atitalaquia, Hidalgo"/>
    <x v="0"/>
    <x v="3"/>
  </r>
  <r>
    <s v="Esc. Miguel Hidalgo, Atitalaquia, Hidalgo"/>
    <x v="1"/>
    <x v="3"/>
  </r>
  <r>
    <s v="Esc. Miguel Hidalgo, Atitalaquia, Hidalgo"/>
    <x v="0"/>
    <x v="3"/>
  </r>
  <r>
    <s v="Esc. Miguel Hidalgo, Atitalaquia, Hidalgo"/>
    <x v="1"/>
    <x v="2"/>
  </r>
  <r>
    <s v="Esc. Miguel Hidalgo, Atitalaquia, Hidalgo"/>
    <x v="0"/>
    <x v="3"/>
  </r>
  <r>
    <s v="Esc. Miguel Hidalgo, Atitalaquia, Hidalgo"/>
    <x v="0"/>
    <x v="3"/>
  </r>
  <r>
    <s v="Esc. Miguel Hidalgo, Atitalaquia, Hidalgo"/>
    <x v="1"/>
    <x v="3"/>
  </r>
  <r>
    <s v="Esc. Miguel Hidalgo, Atitalaquia, Hidalgo"/>
    <x v="0"/>
    <x v="3"/>
  </r>
  <r>
    <s v="Esc. Miguel Hidalgo, Atitalaquia, Hidalgo"/>
    <x v="1"/>
    <x v="3"/>
  </r>
  <r>
    <s v="Esc. Miguel Hidalgo, Atitalaquia, Hidalgo"/>
    <x v="0"/>
    <x v="3"/>
  </r>
  <r>
    <s v="Esc. Miguel Hidalgo, Atitalaquia, Hidalgo"/>
    <x v="1"/>
    <x v="2"/>
  </r>
  <r>
    <s v="Esc. Miguel Hidalgo, Atitalaquia, Hidalgo"/>
    <x v="0"/>
    <x v="2"/>
  </r>
  <r>
    <s v="Esc. Miguel Hidalgo, Atitalaquia, Hidalgo"/>
    <x v="1"/>
    <x v="2"/>
  </r>
  <r>
    <s v="Esc. Miguel Hidalgo, Atitalaquia, Hidalgo"/>
    <x v="1"/>
    <x v="3"/>
  </r>
  <r>
    <s v="Esc. Miguel Hidalgo, Atitalaquia, Hidalgo"/>
    <x v="0"/>
    <x v="3"/>
  </r>
  <r>
    <s v="Esc. Miguel Hidalgo, Atitalaquia, Hidalgo"/>
    <x v="0"/>
    <x v="3"/>
  </r>
  <r>
    <s v="Esc. Miguel Hidalgo, Atitalaquia, Hidalgo"/>
    <x v="1"/>
    <x v="3"/>
  </r>
  <r>
    <s v="Esc. Miguel Hidalgo, Atitalaquia, Hidalgo"/>
    <x v="1"/>
    <x v="3"/>
  </r>
  <r>
    <s v="Esc. Miguel Hidalgo, Atitalaquia, Hidalgo"/>
    <x v="0"/>
    <x v="3"/>
  </r>
  <r>
    <s v="Esc. Miguel Hidalgo, Atitalaquia, Hidalgo"/>
    <x v="0"/>
    <x v="3"/>
  </r>
  <r>
    <s v="Esc. Miguel Hidalgo, Atitalaquia, Hidalgo"/>
    <x v="0"/>
    <x v="3"/>
  </r>
  <r>
    <s v="Esc. Miguel Hidalgo, Atitalaquia, Hidalgo"/>
    <x v="1"/>
    <x v="2"/>
  </r>
  <r>
    <s v="Esc. Miguel Hidalgo, Atitalaquia, Hidalgo"/>
    <x v="0"/>
    <x v="3"/>
  </r>
  <r>
    <s v="Esc. Miguel Hidalgo, Atitalaquia, Hidalgo"/>
    <x v="0"/>
    <x v="2"/>
  </r>
  <r>
    <s v="Esc. Miguel Hidalgo, Atitalaquia, Hidalgo"/>
    <x v="0"/>
    <x v="3"/>
  </r>
  <r>
    <s v="Esc. Miguel Hidalgo, Atitalaquia, Hidalgo"/>
    <x v="0"/>
    <x v="3"/>
  </r>
  <r>
    <s v="Esc. Miguel Hidalgo, Atitalaquia, Hidalgo"/>
    <x v="1"/>
    <x v="3"/>
  </r>
  <r>
    <s v="Esc. Miguel Hidalgo, Atitalaquia, Hidalgo"/>
    <x v="0"/>
    <x v="3"/>
  </r>
  <r>
    <s v="Esc. Miguel Hidalgo, Atitalaquia, Hidalgo"/>
    <x v="1"/>
    <x v="3"/>
  </r>
  <r>
    <s v="Esc. Miguel Hidalgo, Atitalaquia, Hidalgo"/>
    <x v="1"/>
    <x v="3"/>
  </r>
  <r>
    <s v="Esc. Miguel Hidalgo, Atitalaquia, Hidalgo"/>
    <x v="0"/>
    <x v="2"/>
  </r>
  <r>
    <s v="Esc. Miguel Hidalgo, Atitalaquia, Hidalgo"/>
    <x v="0"/>
    <x v="3"/>
  </r>
  <r>
    <s v="Esc. Miguel Hidalgo, Atitalaquia, Hidalgo"/>
    <x v="0"/>
    <x v="3"/>
  </r>
  <r>
    <s v="Esc. Miguel Hidalgo, Atitalaquia, Hidalgo"/>
    <x v="1"/>
    <x v="2"/>
  </r>
  <r>
    <s v="Esc. Miguel Hidalgo, Atitalaquia, Hidalgo"/>
    <x v="1"/>
    <x v="3"/>
  </r>
  <r>
    <s v="Esc. Miguel Hidalgo, Atitalaquia, Hidalgo"/>
    <x v="1"/>
    <x v="3"/>
  </r>
  <r>
    <s v="Esc. Miguel Hidalgo, Atitalaquia, Hidalgo"/>
    <x v="0"/>
    <x v="3"/>
  </r>
  <r>
    <s v="Esc. Miguel Hidalgo, Atitalaquia, Hidalgo"/>
    <x v="0"/>
    <x v="3"/>
  </r>
  <r>
    <s v="Esc. Miguel Hidalgo, Atitalaquia, Hidalgo"/>
    <x v="1"/>
    <x v="3"/>
  </r>
  <r>
    <s v="Esc. Miguel Hidalgo, Atitalaquia, Hidalgo"/>
    <x v="1"/>
    <x v="3"/>
  </r>
  <r>
    <s v="Esc. Miguel Hidalgo, Atitalaquia, Hidalgo"/>
    <x v="0"/>
    <x v="3"/>
  </r>
  <r>
    <s v="Esc. Miguel Hidalgo, Atitalaquia, Hidalgo"/>
    <x v="1"/>
    <x v="4"/>
  </r>
  <r>
    <s v="Esc. Miguel Hidalgo, Atitalaquia, Hidalgo"/>
    <x v="0"/>
    <x v="4"/>
  </r>
  <r>
    <s v="Esc. Miguel Hidalgo, Atitalaquia, Hidalgo"/>
    <x v="1"/>
    <x v="4"/>
  </r>
  <r>
    <s v="Esc. Miguel Hidalgo, Atitalaquia, Hidalgo"/>
    <x v="0"/>
    <x v="3"/>
  </r>
  <r>
    <s v="Esc. Miguel Hidalgo, Atitalaquia, Hidalgo"/>
    <x v="0"/>
    <x v="3"/>
  </r>
  <r>
    <s v="Esc. Miguel Hidalgo, Atitalaquia, Hidalgo"/>
    <x v="0"/>
    <x v="4"/>
  </r>
  <r>
    <s v="Esc. Miguel Hidalgo, Atitalaquia, Hidalgo"/>
    <x v="1"/>
    <x v="4"/>
  </r>
  <r>
    <s v="Esc. Miguel Hidalgo, Atitalaquia, Hidalgo"/>
    <x v="1"/>
    <x v="4"/>
  </r>
  <r>
    <s v="Esc. Miguel Hidalgo, Atitalaquia, Hidalgo"/>
    <x v="1"/>
    <x v="4"/>
  </r>
  <r>
    <s v="Esc. Miguel Hidalgo, Atitalaquia, Hidalgo"/>
    <x v="0"/>
    <x v="3"/>
  </r>
  <r>
    <s v="Esc. Miguel Hidalgo, Atitalaquia, Hidalgo"/>
    <x v="1"/>
    <x v="4"/>
  </r>
  <r>
    <s v="Esc. Miguel Hidalgo, Atitalaquia, Hidalgo"/>
    <x v="1"/>
    <x v="3"/>
  </r>
  <r>
    <s v="Esc. Miguel Hidalgo, Atitalaquia, Hidalgo"/>
    <x v="0"/>
    <x v="4"/>
  </r>
  <r>
    <s v="Esc. Miguel Hidalgo, Atitalaquia, Hidalgo"/>
    <x v="1"/>
    <x v="4"/>
  </r>
  <r>
    <s v="Esc. Miguel Hidalgo, Atitalaquia, Hidalgo"/>
    <x v="1"/>
    <x v="3"/>
  </r>
  <r>
    <s v="Esc. Miguel Hidalgo, Atitalaquia, Hidalgo"/>
    <x v="1"/>
    <x v="4"/>
  </r>
  <r>
    <s v="Esc. Miguel Hidalgo, Atitalaquia, Hidalgo"/>
    <x v="1"/>
    <x v="4"/>
  </r>
  <r>
    <s v="Esc. Miguel Hidalgo, Atitalaquia, Hidalgo"/>
    <x v="0"/>
    <x v="4"/>
  </r>
  <r>
    <s v="Esc. Miguel Hidalgo, Atitalaquia, Hidalgo"/>
    <x v="0"/>
    <x v="3"/>
  </r>
  <r>
    <s v="Esc. Miguel Hidalgo, Atitalaquia, Hidalgo"/>
    <x v="0"/>
    <x v="3"/>
  </r>
  <r>
    <s v="Esc. Miguel Hidalgo, Atitalaquia, Hidalgo"/>
    <x v="1"/>
    <x v="4"/>
  </r>
  <r>
    <s v="Esc. Miguel Hidalgo, Atitalaquia, Hidalgo"/>
    <x v="1"/>
    <x v="4"/>
  </r>
  <r>
    <s v="Esc. Miguel Hidalgo, Atitalaquia, Hidalgo"/>
    <x v="1"/>
    <x v="4"/>
  </r>
  <r>
    <s v="Esc. Miguel Hidalgo, Atitalaquia, Hidalgo"/>
    <x v="0"/>
    <x v="4"/>
  </r>
  <r>
    <s v="Esc. Miguel Hidalgo, Atitalaquia, Hidalgo"/>
    <x v="1"/>
    <x v="4"/>
  </r>
  <r>
    <s v="Esc. Miguel Hidalgo, Atitalaquia, Hidalgo"/>
    <x v="0"/>
    <x v="4"/>
  </r>
  <r>
    <s v="Esc. Miguel Hidalgo, Atitalaquia, Hidalgo"/>
    <x v="0"/>
    <x v="4"/>
  </r>
  <r>
    <s v="Esc. Miguel Hidalgo, Atitalaquia, Hidalgo"/>
    <x v="0"/>
    <x v="4"/>
  </r>
  <r>
    <s v="Esc. Miguel Hidalgo, Atitalaquia, Hidalgo"/>
    <x v="1"/>
    <x v="4"/>
  </r>
  <r>
    <s v="Esc. Miguel Hidalgo, Atitalaquia, Hidalgo"/>
    <x v="1"/>
    <x v="4"/>
  </r>
  <r>
    <s v="Esc. Miguel Hidalgo, Atitalaquia, Hidalgo"/>
    <x v="1"/>
    <x v="4"/>
  </r>
  <r>
    <s v="Esc. Miguel Hidalgo, Atitalaquia, Hidalgo"/>
    <x v="1"/>
    <x v="4"/>
  </r>
  <r>
    <s v="Esc. Miguel Hidalgo, Atitalaquia, Hidalgo"/>
    <x v="0"/>
    <x v="4"/>
  </r>
  <r>
    <s v="Esc. Miguel Hidalgo, Atitalaquia, Hidalgo"/>
    <x v="1"/>
    <x v="3"/>
  </r>
  <r>
    <s v="Esc. Miguel Hidalgo, Atitalaquia, Hidalgo"/>
    <x v="1"/>
    <x v="4"/>
  </r>
  <r>
    <s v="Esc. Miguel Hidalgo, Atitalaquia, Hidalgo"/>
    <x v="1"/>
    <x v="3"/>
  </r>
  <r>
    <s v="Esc. Miguel Hidalgo, Atitalaquia, Hidalgo"/>
    <x v="1"/>
    <x v="4"/>
  </r>
  <r>
    <s v="Esc. Miguel Hidalgo, Atitalaquia, Hidalgo"/>
    <x v="0"/>
    <x v="4"/>
  </r>
  <r>
    <s v="Esc. Miguel Hidalgo, Atitalaquia, Hidalgo"/>
    <x v="0"/>
    <x v="4"/>
  </r>
  <r>
    <s v="Esc. Miguel Hidalgo, Atitalaquia, Hidalgo"/>
    <x v="0"/>
    <x v="5"/>
  </r>
  <r>
    <s v="Esc. Miguel Hidalgo, Atitalaquia, Hidalgo"/>
    <x v="1"/>
    <x v="5"/>
  </r>
  <r>
    <s v="Esc. Miguel Hidalgo, Atitalaquia, Hidalgo"/>
    <x v="0"/>
    <x v="4"/>
  </r>
  <r>
    <s v="Esc. Miguel Hidalgo, Atitalaquia, Hidalgo"/>
    <x v="1"/>
    <x v="5"/>
  </r>
  <r>
    <s v="Esc. Miguel Hidalgo, Atitalaquia, Hidalgo"/>
    <x v="1"/>
    <x v="4"/>
  </r>
  <r>
    <s v="Esc. Miguel Hidalgo, Atitalaquia, Hidalgo"/>
    <x v="0"/>
    <x v="4"/>
  </r>
  <r>
    <s v="Esc. Miguel Hidalgo, Atitalaquia, Hidalgo"/>
    <x v="1"/>
    <x v="5"/>
  </r>
  <r>
    <s v="Esc. Miguel Hidalgo, Atitalaquia, Hidalgo"/>
    <x v="0"/>
    <x v="5"/>
  </r>
  <r>
    <s v="Esc. Miguel Hidalgo, Atitalaquia, Hidalgo"/>
    <x v="0"/>
    <x v="5"/>
  </r>
  <r>
    <s v="Esc. Miguel Hidalgo, Atitalaquia, Hidalgo"/>
    <x v="1"/>
    <x v="5"/>
  </r>
  <r>
    <s v="Esc. Miguel Hidalgo, Atitalaquia, Hidalgo"/>
    <x v="1"/>
    <x v="4"/>
  </r>
  <r>
    <s v="Esc. Miguel Hidalgo, Atitalaquia, Hidalgo"/>
    <x v="0"/>
    <x v="4"/>
  </r>
  <r>
    <s v="Esc. Miguel Hidalgo, Atitalaquia, Hidalgo"/>
    <x v="1"/>
    <x v="5"/>
  </r>
  <r>
    <s v="Esc. Miguel Hidalgo, Atitalaquia, Hidalgo"/>
    <x v="1"/>
    <x v="5"/>
  </r>
  <r>
    <s v="Esc. Miguel Hidalgo, Atitalaquia, Hidalgo"/>
    <x v="1"/>
    <x v="5"/>
  </r>
  <r>
    <s v="Esc. Miguel Hidalgo, Atitalaquia, Hidalgo"/>
    <x v="1"/>
    <x v="5"/>
  </r>
  <r>
    <s v="Esc. Miguel Hidalgo, Atitalaquia, Hidalgo"/>
    <x v="0"/>
    <x v="5"/>
  </r>
  <r>
    <s v="Esc. Miguel Hidalgo, Atitalaquia, Hidalgo"/>
    <x v="0"/>
    <x v="5"/>
  </r>
  <r>
    <s v="Esc. Miguel Hidalgo, Atitalaquia, Hidalgo"/>
    <x v="1"/>
    <x v="4"/>
  </r>
  <r>
    <s v="Esc. Miguel Hidalgo, Atitalaquia, Hidalgo"/>
    <x v="0"/>
    <x v="5"/>
  </r>
  <r>
    <s v="Esc. Miguel Hidalgo, Atitalaquia, Hidalgo"/>
    <x v="1"/>
    <x v="5"/>
  </r>
  <r>
    <s v="Esc. Miguel Hidalgo, Atitalaquia, Hidalgo"/>
    <x v="1"/>
    <x v="4"/>
  </r>
  <r>
    <s v="Esc. Miguel Hidalgo, Atitalaquia, Hidalgo"/>
    <x v="0"/>
    <x v="5"/>
  </r>
  <r>
    <s v="Esc. Miguel Hidalgo, Atitalaquia, Hidalgo"/>
    <x v="1"/>
    <x v="5"/>
  </r>
  <r>
    <s v="Esc. Miguel Hidalgo, Atitalaquia, Hidalgo"/>
    <x v="0"/>
    <x v="5"/>
  </r>
  <r>
    <s v="Esc. Miguel Hidalgo, Atitalaquia, Hidalgo"/>
    <x v="1"/>
    <x v="5"/>
  </r>
  <r>
    <s v="Esc. Miguel Hidalgo, Atitalaquia, Hidalgo"/>
    <x v="1"/>
    <x v="4"/>
  </r>
  <r>
    <s v="Esc. Miguel Hidalgo, Atitalaquia, Hidalgo"/>
    <x v="1"/>
    <x v="5"/>
  </r>
  <r>
    <s v="Esc. Miguel Hidalgo, Atitalaquia, Hidalgo"/>
    <x v="1"/>
    <x v="4"/>
  </r>
  <r>
    <s v="Esc. Miguel Hidalgo, Atitalaquia, Hidalgo"/>
    <x v="0"/>
    <x v="5"/>
  </r>
  <r>
    <s v="Esc. Miguel Hidalgo, Atitalaquia, Hidalgo"/>
    <x v="0"/>
    <x v="5"/>
  </r>
  <r>
    <s v="Esc. Miguel Hidalgo, Atitalaquia, Hidalgo"/>
    <x v="1"/>
    <x v="5"/>
  </r>
  <r>
    <s v="Esc. Miguel Hidalgo, Atitalaquia, Hidalgo"/>
    <x v="1"/>
    <x v="5"/>
  </r>
  <r>
    <s v="Esc. Miguel Hidalgo, Atitalaquia, Hidalgo"/>
    <x v="1"/>
    <x v="5"/>
  </r>
  <r>
    <m/>
    <x v="2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B69:E83" firstHeaderRow="1" firstDataRow="2" firstDataCol="1"/>
  <pivotFields count="3">
    <pivotField showAll="0"/>
    <pivotField axis="axisCol" showAll="0">
      <items count="4">
        <item x="0"/>
        <item x="1"/>
        <item x="2"/>
        <item t="default"/>
      </items>
    </pivotField>
    <pivotField axis="axisRow" dataField="1" showAll="0">
      <items count="14">
        <item x="11"/>
        <item x="10"/>
        <item x="9"/>
        <item x="8"/>
        <item x="0"/>
        <item x="1"/>
        <item x="2"/>
        <item x="3"/>
        <item x="4"/>
        <item x="5"/>
        <item x="6"/>
        <item x="7"/>
        <item h="1" x="12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Edad en años" fld="2" baseField="0" baseItem="0"/>
  </dataFields>
  <formats count="10">
    <format dxfId="66">
      <pivotArea type="all" dataOnly="0" outline="0" fieldPosition="0"/>
    </format>
    <format dxfId="65">
      <pivotArea outline="0" collapsedLevelsAreSubtotals="1" fieldPosition="0"/>
    </format>
    <format dxfId="64">
      <pivotArea type="origin" dataOnly="0" labelOnly="1" outline="0" fieldPosition="0"/>
    </format>
    <format dxfId="63">
      <pivotArea field="1" type="button" dataOnly="0" labelOnly="1" outline="0" axis="axisCol" fieldPosition="0"/>
    </format>
    <format dxfId="62">
      <pivotArea type="topRight" dataOnly="0" labelOnly="1" outline="0" fieldPosition="0"/>
    </format>
    <format dxfId="61">
      <pivotArea field="2" type="button" dataOnly="0" labelOnly="1" outline="0" axis="axisRow" fieldPosition="0"/>
    </format>
    <format dxfId="60">
      <pivotArea dataOnly="0" labelOnly="1" fieldPosition="0">
        <references count="1">
          <reference field="2" count="0"/>
        </references>
      </pivotArea>
    </format>
    <format dxfId="59">
      <pivotArea dataOnly="0" labelOnly="1" grandRow="1" outline="0" fieldPosition="0"/>
    </format>
    <format dxfId="58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57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3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7" indent="0" outline="1" outlineData="1" multipleFieldFilters="0" chartFormat="1">
  <location ref="B60:C64" firstHeaderRow="1" firstDataRow="1" firstDataCol="1"/>
  <pivotFields count="6">
    <pivotField showAll="0">
      <items count="7">
        <item h="1" x="0"/>
        <item x="3"/>
        <item h="1" x="2"/>
        <item h="1" x="1"/>
        <item h="1" x="4"/>
        <item h="1" x="5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h="1" x="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Talla para la edad" fld="5" subtotal="count" showDataAs="percentOfTotal" baseField="5" baseItem="0" numFmtId="10"/>
  </dataFields>
  <formats count="7"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5" type="button" dataOnly="0" labelOnly="1" outline="0" axis="axisRow" fieldPosition="0"/>
    </format>
    <format dxfId="70">
      <pivotArea dataOnly="0" labelOnly="1" fieldPosition="0">
        <references count="1">
          <reference field="5" count="0"/>
        </references>
      </pivotArea>
    </format>
    <format dxfId="69">
      <pivotArea dataOnly="0" labelOnly="1" grandRow="1" outline="0" fieldPosition="0"/>
    </format>
    <format dxfId="68">
      <pivotArea dataOnly="0" labelOnly="1" outline="0" axis="axisValues" fieldPosition="0"/>
    </format>
    <format dxfId="67">
      <pivotArea collapsedLevelsAreSubtotals="1" fieldPosition="0">
        <references count="1">
          <reference field="5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7" indent="0" outline="1" outlineData="1" multipleFieldFilters="0" chartFormat="1">
  <location ref="B36:E41" firstHeaderRow="1" firstDataRow="2" firstDataCol="1"/>
  <pivotFields count="9">
    <pivotField showAll="0">
      <items count="7">
        <item h="1" x="0"/>
        <item x="3"/>
        <item h="1" x="2"/>
        <item h="1" x="1"/>
        <item h="1" x="4"/>
        <item h="1"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h="1" x="3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uenta de Longitud relativa de pierna" fld="8" subtotal="count" baseField="0" baseItem="0"/>
  </dataFields>
  <formats count="10">
    <format dxfId="17">
      <pivotArea type="all" dataOnly="0" outline="0" fieldPosition="0"/>
    </format>
    <format dxfId="18">
      <pivotArea outline="0" collapsedLevelsAreSubtotals="1" fieldPosition="0"/>
    </format>
    <format dxfId="19">
      <pivotArea type="origin" dataOnly="0" labelOnly="1" outline="0" fieldPosition="0"/>
    </format>
    <format dxfId="20">
      <pivotArea field="1" type="button" dataOnly="0" labelOnly="1" outline="0" axis="axisCol" fieldPosition="0"/>
    </format>
    <format dxfId="21">
      <pivotArea type="topRight" dataOnly="0" labelOnly="1" outline="0" fieldPosition="0"/>
    </format>
    <format dxfId="22">
      <pivotArea field="8" type="button" dataOnly="0" labelOnly="1" outline="0" axis="axisRow" fieldPosition="0"/>
    </format>
    <format dxfId="23">
      <pivotArea dataOnly="0" labelOnly="1" fieldPosition="0">
        <references count="1">
          <reference field="8" count="0"/>
        </references>
      </pivotArea>
    </format>
    <format dxfId="24">
      <pivotArea dataOnly="0" labelOnly="1" grandRow="1" outline="0" fieldPosition="0"/>
    </format>
    <format dxfId="25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26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7" indent="0" outline="1" outlineData="1" multipleFieldFilters="0" chartFormat="1">
  <location ref="B3:E9" firstHeaderRow="1" firstDataRow="2" firstDataCol="1"/>
  <pivotFields count="12">
    <pivotField showAll="0">
      <items count="7">
        <item h="1" x="0"/>
        <item x="3"/>
        <item h="1" x="2"/>
        <item h="1" x="1"/>
        <item h="1" x="4"/>
        <item h="1"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3"/>
        <item x="2"/>
        <item x="1"/>
        <item x="0"/>
        <item x="4"/>
        <item h="1" x="5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uenta de Índice de Masa Corporal" fld="11" subtotal="count" baseField="11" baseItem="1"/>
  </dataFields>
  <formats count="10">
    <format dxfId="83">
      <pivotArea type="all" dataOnly="0" outline="0" fieldPosition="0"/>
    </format>
    <format dxfId="82">
      <pivotArea outline="0" collapsedLevelsAreSubtotals="1" fieldPosition="0"/>
    </format>
    <format dxfId="81">
      <pivotArea type="origin" dataOnly="0" labelOnly="1" outline="0" fieldPosition="0"/>
    </format>
    <format dxfId="80">
      <pivotArea field="1" type="button" dataOnly="0" labelOnly="1" outline="0" axis="axisCol" fieldPosition="0"/>
    </format>
    <format dxfId="79">
      <pivotArea type="topRight" dataOnly="0" labelOnly="1" outline="0" fieldPosition="0"/>
    </format>
    <format dxfId="78">
      <pivotArea field="11" type="button" dataOnly="0" labelOnly="1" outline="0" axis="axisRow" fieldPosition="0"/>
    </format>
    <format dxfId="77">
      <pivotArea dataOnly="0" labelOnly="1" fieldPosition="0">
        <references count="1">
          <reference field="11" count="0"/>
        </references>
      </pivotArea>
    </format>
    <format dxfId="76">
      <pivotArea dataOnly="0" labelOnly="1" grandRow="1" outline="0" fieldPosition="0"/>
    </format>
    <format dxfId="75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74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scuela" sourceName="Escuela">
  <pivotTables>
    <pivotTable tabId="10" name="TablaDinámica1"/>
  </pivotTables>
  <data>
    <tabular pivotCacheId="635711004">
      <items count="6">
        <i x="0"/>
        <i x="3" s="1"/>
        <i x="2"/>
        <i x="1"/>
        <i x="4"/>
        <i x="5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scuela1" sourceName="Escuela">
  <pivotTables>
    <pivotTable tabId="10" name="TablaDinámica2"/>
  </pivotTables>
  <data>
    <tabular pivotCacheId="1579800682">
      <items count="6">
        <i x="0"/>
        <i x="3" s="1"/>
        <i x="2"/>
        <i x="1"/>
        <i x="4"/>
        <i x="5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scuela2" sourceName="Escuela">
  <pivotTables>
    <pivotTable tabId="10" name="TablaDinámica3"/>
  </pivotTables>
  <data>
    <tabular pivotCacheId="228699924">
      <items count="6">
        <i x="0"/>
        <i x="3" s="1"/>
        <i x="2"/>
        <i x="1"/>
        <i x="4"/>
        <i x="5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scuela" cache="SegmentaciónDeDatos_Escuela" caption="Escuela" rowHeight="241300"/>
  <slicer name="Escuela 1" cache="SegmentaciónDeDatos_Escuela1" caption="Escuela" rowHeight="241300"/>
  <slicer name="Escuela 2" cache="SegmentaciónDeDatos_Escuela2" caption="Escuela" startItem="1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3"/>
  <sheetViews>
    <sheetView tabSelected="1" topLeftCell="K21" workbookViewId="0">
      <selection activeCell="Q48" sqref="Q48"/>
    </sheetView>
  </sheetViews>
  <sheetFormatPr baseColWidth="10" defaultRowHeight="15" x14ac:dyDescent="0.25"/>
  <cols>
    <col min="1" max="1" width="4.5703125" style="209" customWidth="1"/>
    <col min="2" max="2" width="20.7109375" style="209" hidden="1" customWidth="1"/>
    <col min="3" max="3" width="22.42578125" style="209" hidden="1" customWidth="1"/>
    <col min="4" max="4" width="10.140625" style="209" hidden="1" customWidth="1"/>
    <col min="5" max="5" width="12.5703125" style="209" hidden="1" customWidth="1"/>
    <col min="6" max="6" width="4.5703125" style="209" customWidth="1"/>
    <col min="7" max="16384" width="11.42578125" style="209"/>
  </cols>
  <sheetData>
    <row r="3" spans="2:6" x14ac:dyDescent="0.25">
      <c r="B3" s="206" t="s">
        <v>832</v>
      </c>
      <c r="C3" s="206" t="s">
        <v>833</v>
      </c>
      <c r="D3" s="206"/>
      <c r="E3" s="206"/>
    </row>
    <row r="4" spans="2:6" x14ac:dyDescent="0.25">
      <c r="B4" s="206" t="s">
        <v>827</v>
      </c>
      <c r="C4" s="206" t="s">
        <v>831</v>
      </c>
      <c r="D4" s="206" t="s">
        <v>830</v>
      </c>
      <c r="E4" s="206" t="s">
        <v>828</v>
      </c>
    </row>
    <row r="5" spans="2:6" x14ac:dyDescent="0.25">
      <c r="B5" s="207" t="s">
        <v>825</v>
      </c>
      <c r="C5" s="208">
        <v>11</v>
      </c>
      <c r="D5" s="208">
        <v>5</v>
      </c>
      <c r="E5" s="208">
        <v>16</v>
      </c>
      <c r="F5" s="210"/>
    </row>
    <row r="6" spans="2:6" x14ac:dyDescent="0.25">
      <c r="B6" s="207" t="s">
        <v>818</v>
      </c>
      <c r="C6" s="208">
        <v>1</v>
      </c>
      <c r="D6" s="208">
        <v>1</v>
      </c>
      <c r="E6" s="208">
        <v>2</v>
      </c>
      <c r="F6" s="210"/>
    </row>
    <row r="7" spans="2:6" x14ac:dyDescent="0.25">
      <c r="B7" s="207" t="s">
        <v>819</v>
      </c>
      <c r="C7" s="208">
        <v>89</v>
      </c>
      <c r="D7" s="208">
        <v>77</v>
      </c>
      <c r="E7" s="208">
        <v>166</v>
      </c>
      <c r="F7" s="210"/>
    </row>
    <row r="8" spans="2:6" x14ac:dyDescent="0.25">
      <c r="B8" s="207" t="s">
        <v>820</v>
      </c>
      <c r="C8" s="208">
        <v>45</v>
      </c>
      <c r="D8" s="208">
        <v>55</v>
      </c>
      <c r="E8" s="208">
        <v>100</v>
      </c>
      <c r="F8" s="210"/>
    </row>
    <row r="9" spans="2:6" x14ac:dyDescent="0.25">
      <c r="B9" s="207" t="s">
        <v>828</v>
      </c>
      <c r="C9" s="208">
        <v>146</v>
      </c>
      <c r="D9" s="208">
        <v>138</v>
      </c>
      <c r="E9" s="208">
        <v>284</v>
      </c>
      <c r="F9" s="210"/>
    </row>
    <row r="10" spans="2:6" x14ac:dyDescent="0.25">
      <c r="B10"/>
      <c r="C10"/>
      <c r="D10"/>
      <c r="E10"/>
      <c r="F10" s="210"/>
    </row>
    <row r="36" spans="2:6" x14ac:dyDescent="0.25">
      <c r="B36" s="206" t="s">
        <v>834</v>
      </c>
      <c r="C36" s="206" t="s">
        <v>833</v>
      </c>
      <c r="D36" s="206"/>
      <c r="E36" s="206"/>
    </row>
    <row r="37" spans="2:6" x14ac:dyDescent="0.25">
      <c r="B37" s="206" t="s">
        <v>827</v>
      </c>
      <c r="C37" s="206" t="s">
        <v>831</v>
      </c>
      <c r="D37" s="206" t="s">
        <v>830</v>
      </c>
      <c r="E37" s="206" t="s">
        <v>828</v>
      </c>
    </row>
    <row r="38" spans="2:6" x14ac:dyDescent="0.25">
      <c r="B38" s="207" t="s">
        <v>819</v>
      </c>
      <c r="C38" s="208">
        <v>107</v>
      </c>
      <c r="D38" s="208">
        <v>119</v>
      </c>
      <c r="E38" s="208">
        <v>226</v>
      </c>
      <c r="F38" s="210"/>
    </row>
    <row r="39" spans="2:6" x14ac:dyDescent="0.25">
      <c r="B39" s="207" t="s">
        <v>824</v>
      </c>
      <c r="C39" s="208">
        <v>38</v>
      </c>
      <c r="D39" s="208">
        <v>19</v>
      </c>
      <c r="E39" s="208">
        <v>57</v>
      </c>
      <c r="F39" s="210"/>
    </row>
    <row r="40" spans="2:6" x14ac:dyDescent="0.25">
      <c r="B40" s="207" t="s">
        <v>817</v>
      </c>
      <c r="C40" s="208">
        <v>1</v>
      </c>
      <c r="D40" s="208"/>
      <c r="E40" s="208">
        <v>1</v>
      </c>
      <c r="F40" s="210"/>
    </row>
    <row r="41" spans="2:6" x14ac:dyDescent="0.25">
      <c r="B41" s="207" t="s">
        <v>828</v>
      </c>
      <c r="C41" s="208">
        <v>146</v>
      </c>
      <c r="D41" s="208">
        <v>138</v>
      </c>
      <c r="E41" s="208">
        <v>284</v>
      </c>
      <c r="F41" s="210"/>
    </row>
    <row r="60" spans="2:6" x14ac:dyDescent="0.25">
      <c r="B60" s="206" t="s">
        <v>827</v>
      </c>
      <c r="C60" s="206" t="s">
        <v>829</v>
      </c>
    </row>
    <row r="61" spans="2:6" x14ac:dyDescent="0.25">
      <c r="B61" s="207" t="s">
        <v>816</v>
      </c>
      <c r="C61" s="230">
        <v>2.8169014084507043E-2</v>
      </c>
      <c r="D61" s="210"/>
      <c r="E61" s="210"/>
      <c r="F61" s="210"/>
    </row>
    <row r="62" spans="2:6" x14ac:dyDescent="0.25">
      <c r="B62" s="207" t="s">
        <v>818</v>
      </c>
      <c r="C62" s="230">
        <v>7.0422535211267609E-2</v>
      </c>
      <c r="D62" s="210"/>
      <c r="E62" s="210"/>
      <c r="F62" s="210"/>
    </row>
    <row r="63" spans="2:6" x14ac:dyDescent="0.25">
      <c r="B63" s="207" t="s">
        <v>819</v>
      </c>
      <c r="C63" s="230">
        <v>0.90140845070422537</v>
      </c>
      <c r="D63" s="210"/>
      <c r="E63" s="210"/>
      <c r="F63" s="210"/>
    </row>
    <row r="64" spans="2:6" x14ac:dyDescent="0.25">
      <c r="B64" s="207" t="s">
        <v>828</v>
      </c>
      <c r="C64" s="229">
        <v>1</v>
      </c>
      <c r="D64" s="210"/>
      <c r="E64" s="210"/>
      <c r="F64" s="210"/>
    </row>
    <row r="69" spans="2:5" x14ac:dyDescent="0.25">
      <c r="B69" s="209" t="s">
        <v>835</v>
      </c>
      <c r="C69" s="209" t="s">
        <v>833</v>
      </c>
    </row>
    <row r="70" spans="2:5" x14ac:dyDescent="0.25">
      <c r="B70" s="209" t="s">
        <v>827</v>
      </c>
      <c r="C70" s="209" t="s">
        <v>831</v>
      </c>
      <c r="D70" s="209" t="s">
        <v>830</v>
      </c>
      <c r="E70" s="209" t="s">
        <v>828</v>
      </c>
    </row>
    <row r="71" spans="2:5" x14ac:dyDescent="0.25">
      <c r="B71" s="210">
        <v>2</v>
      </c>
      <c r="C71" s="211">
        <v>4</v>
      </c>
      <c r="D71" s="211">
        <v>2</v>
      </c>
      <c r="E71" s="211">
        <v>6</v>
      </c>
    </row>
    <row r="72" spans="2:5" x14ac:dyDescent="0.25">
      <c r="B72" s="210">
        <v>3</v>
      </c>
      <c r="C72" s="211">
        <v>12</v>
      </c>
      <c r="D72" s="211">
        <v>24</v>
      </c>
      <c r="E72" s="211">
        <v>36</v>
      </c>
    </row>
    <row r="73" spans="2:5" x14ac:dyDescent="0.25">
      <c r="B73" s="210">
        <v>4</v>
      </c>
      <c r="C73" s="211">
        <v>84</v>
      </c>
      <c r="D73" s="211">
        <v>64</v>
      </c>
      <c r="E73" s="211">
        <v>148</v>
      </c>
    </row>
    <row r="74" spans="2:5" x14ac:dyDescent="0.25">
      <c r="B74" s="210">
        <v>5</v>
      </c>
      <c r="C74" s="211">
        <v>130</v>
      </c>
      <c r="D74" s="211">
        <v>145</v>
      </c>
      <c r="E74" s="211">
        <v>275</v>
      </c>
    </row>
    <row r="75" spans="2:5" x14ac:dyDescent="0.25">
      <c r="B75" s="210">
        <v>6</v>
      </c>
      <c r="C75" s="211">
        <v>444</v>
      </c>
      <c r="D75" s="211">
        <v>450</v>
      </c>
      <c r="E75" s="211">
        <v>894</v>
      </c>
    </row>
    <row r="76" spans="2:5" x14ac:dyDescent="0.25">
      <c r="B76" s="210">
        <v>7</v>
      </c>
      <c r="C76" s="211">
        <v>546</v>
      </c>
      <c r="D76" s="211">
        <v>518</v>
      </c>
      <c r="E76" s="211">
        <v>1064</v>
      </c>
    </row>
    <row r="77" spans="2:5" x14ac:dyDescent="0.25">
      <c r="B77" s="210">
        <v>8</v>
      </c>
      <c r="C77" s="211">
        <v>456</v>
      </c>
      <c r="D77" s="211">
        <v>464</v>
      </c>
      <c r="E77" s="211">
        <v>920</v>
      </c>
    </row>
    <row r="78" spans="2:5" x14ac:dyDescent="0.25">
      <c r="B78" s="210">
        <v>9</v>
      </c>
      <c r="C78" s="211">
        <v>540</v>
      </c>
      <c r="D78" s="211">
        <v>423</v>
      </c>
      <c r="E78" s="211">
        <v>963</v>
      </c>
    </row>
    <row r="79" spans="2:5" x14ac:dyDescent="0.25">
      <c r="B79" s="210">
        <v>10</v>
      </c>
      <c r="C79" s="211">
        <v>330</v>
      </c>
      <c r="D79" s="211">
        <v>470</v>
      </c>
      <c r="E79" s="211">
        <v>800</v>
      </c>
    </row>
    <row r="80" spans="2:5" x14ac:dyDescent="0.25">
      <c r="B80" s="210">
        <v>11</v>
      </c>
      <c r="C80" s="211">
        <v>330</v>
      </c>
      <c r="D80" s="211">
        <v>330</v>
      </c>
      <c r="E80" s="211">
        <v>660</v>
      </c>
    </row>
    <row r="81" spans="2:5" x14ac:dyDescent="0.25">
      <c r="B81" s="210">
        <v>12</v>
      </c>
      <c r="C81" s="211">
        <v>12</v>
      </c>
      <c r="D81" s="211">
        <v>12</v>
      </c>
      <c r="E81" s="211">
        <v>24</v>
      </c>
    </row>
    <row r="82" spans="2:5" x14ac:dyDescent="0.25">
      <c r="B82" s="210">
        <v>13</v>
      </c>
      <c r="C82" s="211">
        <v>13</v>
      </c>
      <c r="D82" s="211"/>
      <c r="E82" s="211">
        <v>13</v>
      </c>
    </row>
    <row r="83" spans="2:5" x14ac:dyDescent="0.25">
      <c r="B83" s="210" t="s">
        <v>828</v>
      </c>
      <c r="C83" s="211">
        <v>2901</v>
      </c>
      <c r="D83" s="211">
        <v>2902</v>
      </c>
      <c r="E83" s="211">
        <v>5803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4"/>
  <sheetViews>
    <sheetView workbookViewId="0">
      <pane ySplit="1" topLeftCell="A2" activePane="bottomLeft" state="frozen"/>
      <selection pane="bottomLeft" activeCell="D1" sqref="B1:D1048576"/>
    </sheetView>
  </sheetViews>
  <sheetFormatPr baseColWidth="10" defaultRowHeight="15" x14ac:dyDescent="0.25"/>
  <cols>
    <col min="1" max="1" width="4" bestFit="1" customWidth="1"/>
    <col min="2" max="2" width="41.85546875" bestFit="1" customWidth="1"/>
    <col min="3" max="3" width="10" bestFit="1" customWidth="1"/>
    <col min="4" max="4" width="12.5703125" bestFit="1" customWidth="1"/>
    <col min="5" max="5" width="14.85546875" style="203" customWidth="1"/>
    <col min="6" max="6" width="12" style="203" bestFit="1" customWidth="1"/>
    <col min="7" max="7" width="12.42578125" style="203" customWidth="1"/>
    <col min="8" max="8" width="17.42578125" style="204" customWidth="1"/>
    <col min="9" max="9" width="12" style="204" bestFit="1" customWidth="1"/>
    <col min="10" max="10" width="14.42578125" style="204" customWidth="1"/>
    <col min="11" max="11" width="12.7109375" style="205" bestFit="1" customWidth="1"/>
    <col min="12" max="12" width="12" style="205" bestFit="1" customWidth="1"/>
    <col min="13" max="13" width="16.28515625" style="205" customWidth="1"/>
  </cols>
  <sheetData>
    <row r="1" spans="1:13" s="199" customFormat="1" ht="45" customHeight="1" x14ac:dyDescent="0.25">
      <c r="A1" s="199" t="s">
        <v>806</v>
      </c>
      <c r="B1" s="199" t="s">
        <v>807</v>
      </c>
      <c r="C1" s="199" t="s">
        <v>4</v>
      </c>
      <c r="D1" s="199" t="s">
        <v>808</v>
      </c>
      <c r="E1" s="200" t="s">
        <v>809</v>
      </c>
      <c r="F1" s="200" t="s">
        <v>159</v>
      </c>
      <c r="G1" s="200" t="s">
        <v>810</v>
      </c>
      <c r="H1" s="201" t="s">
        <v>811</v>
      </c>
      <c r="I1" s="201" t="s">
        <v>159</v>
      </c>
      <c r="J1" s="201" t="s">
        <v>812</v>
      </c>
      <c r="K1" s="202" t="s">
        <v>813</v>
      </c>
      <c r="L1" s="202" t="s">
        <v>159</v>
      </c>
      <c r="M1" s="202" t="s">
        <v>814</v>
      </c>
    </row>
    <row r="2" spans="1:13" x14ac:dyDescent="0.25">
      <c r="A2">
        <v>1</v>
      </c>
      <c r="B2" t="s">
        <v>822</v>
      </c>
      <c r="C2" t="s">
        <v>831</v>
      </c>
      <c r="D2">
        <v>6</v>
      </c>
      <c r="E2" s="203">
        <v>1.5149406517897486</v>
      </c>
      <c r="F2" s="203">
        <v>93.510628283011684</v>
      </c>
      <c r="G2" s="203" t="s">
        <v>819</v>
      </c>
      <c r="H2" s="204">
        <v>-0.58441954072222968</v>
      </c>
      <c r="I2" s="204">
        <v>27.946904153191614</v>
      </c>
      <c r="J2" s="204" t="s">
        <v>819</v>
      </c>
      <c r="K2" s="205">
        <v>1.9932049431640997</v>
      </c>
      <c r="L2" s="205">
        <v>97.688049497247476</v>
      </c>
      <c r="M2" s="205" t="s">
        <v>820</v>
      </c>
    </row>
    <row r="3" spans="1:13" x14ac:dyDescent="0.25">
      <c r="A3">
        <v>2</v>
      </c>
      <c r="B3" t="s">
        <v>822</v>
      </c>
      <c r="C3" t="s">
        <v>831</v>
      </c>
      <c r="D3">
        <v>7</v>
      </c>
      <c r="E3" s="203">
        <v>1.3151504041499074</v>
      </c>
      <c r="F3" s="203">
        <v>90.577032023155539</v>
      </c>
      <c r="G3" s="203" t="s">
        <v>819</v>
      </c>
      <c r="H3" s="204">
        <v>-1.0250811244890421</v>
      </c>
      <c r="I3" s="204">
        <v>15.266245551964774</v>
      </c>
      <c r="J3" s="204" t="s">
        <v>819</v>
      </c>
      <c r="K3" s="205">
        <v>-0.5243653251927145</v>
      </c>
      <c r="L3" s="205">
        <v>30.001223455206627</v>
      </c>
      <c r="M3" s="205" t="s">
        <v>819</v>
      </c>
    </row>
    <row r="4" spans="1:13" x14ac:dyDescent="0.25">
      <c r="A4">
        <v>3</v>
      </c>
      <c r="B4" t="s">
        <v>822</v>
      </c>
      <c r="C4" t="s">
        <v>831</v>
      </c>
      <c r="D4">
        <v>6</v>
      </c>
      <c r="E4" s="203">
        <v>4.3617964448086849E-3</v>
      </c>
      <c r="F4" s="203">
        <v>50.174009950269372</v>
      </c>
      <c r="G4" s="203" t="s">
        <v>819</v>
      </c>
      <c r="H4" s="204">
        <v>-1.3537745906753984</v>
      </c>
      <c r="I4" s="204">
        <v>8.7904151261252839</v>
      </c>
      <c r="J4" s="204" t="s">
        <v>819</v>
      </c>
      <c r="K4" s="205">
        <v>1.801320549913445</v>
      </c>
      <c r="L4" s="205">
        <v>96.417381466999871</v>
      </c>
      <c r="M4" s="205" t="s">
        <v>820</v>
      </c>
    </row>
    <row r="5" spans="1:13" x14ac:dyDescent="0.25">
      <c r="A5">
        <v>4</v>
      </c>
      <c r="B5" t="s">
        <v>822</v>
      </c>
      <c r="C5" t="s">
        <v>831</v>
      </c>
      <c r="D5">
        <v>7</v>
      </c>
      <c r="E5" s="203">
        <v>1.3151504041499074</v>
      </c>
      <c r="F5" s="203">
        <v>90.577032023155539</v>
      </c>
      <c r="G5" s="203" t="s">
        <v>819</v>
      </c>
      <c r="H5" s="204">
        <v>-0.16060424171956358</v>
      </c>
      <c r="I5" s="204">
        <v>43.620255693096254</v>
      </c>
      <c r="J5" s="204" t="s">
        <v>819</v>
      </c>
      <c r="K5" s="205">
        <v>1.2665552565955891</v>
      </c>
      <c r="L5" s="205">
        <v>89.73428201329277</v>
      </c>
      <c r="M5" s="205" t="s">
        <v>820</v>
      </c>
    </row>
    <row r="6" spans="1:13" x14ac:dyDescent="0.25">
      <c r="A6">
        <v>5</v>
      </c>
      <c r="B6" t="s">
        <v>822</v>
      </c>
      <c r="C6" t="s">
        <v>831</v>
      </c>
      <c r="D6">
        <v>6</v>
      </c>
      <c r="E6" s="203">
        <v>-0.17198952530893982</v>
      </c>
      <c r="F6" s="203">
        <v>43.172288194217401</v>
      </c>
      <c r="G6" s="203" t="s">
        <v>819</v>
      </c>
      <c r="H6" s="204">
        <v>8.9079905479468549E-2</v>
      </c>
      <c r="I6" s="204">
        <v>53.549079649885179</v>
      </c>
      <c r="J6" s="204" t="s">
        <v>819</v>
      </c>
      <c r="K6" s="205">
        <v>0.51455018084405801</v>
      </c>
      <c r="L6" s="205">
        <v>69.656630705155536</v>
      </c>
      <c r="M6" s="205" t="s">
        <v>819</v>
      </c>
    </row>
    <row r="7" spans="1:13" x14ac:dyDescent="0.25">
      <c r="A7">
        <v>6</v>
      </c>
      <c r="B7" t="s">
        <v>822</v>
      </c>
      <c r="C7" t="s">
        <v>830</v>
      </c>
      <c r="D7">
        <v>7</v>
      </c>
      <c r="E7" s="203">
        <v>-1.4356054275424708</v>
      </c>
      <c r="F7" s="203">
        <v>7.5557324723698267</v>
      </c>
      <c r="G7" s="203" t="s">
        <v>819</v>
      </c>
      <c r="H7" s="204">
        <v>-1.9304506895881572</v>
      </c>
      <c r="I7" s="204">
        <v>2.6775509705148819</v>
      </c>
      <c r="J7" s="204" t="s">
        <v>824</v>
      </c>
      <c r="K7" s="205">
        <v>0.29623712539838798</v>
      </c>
      <c r="L7" s="205">
        <v>61.647550072605164</v>
      </c>
      <c r="M7" s="205" t="s">
        <v>819</v>
      </c>
    </row>
    <row r="8" spans="1:13" x14ac:dyDescent="0.25">
      <c r="A8">
        <v>7</v>
      </c>
      <c r="B8" t="s">
        <v>822</v>
      </c>
      <c r="C8" t="s">
        <v>831</v>
      </c>
      <c r="D8">
        <v>6</v>
      </c>
      <c r="E8" s="203">
        <v>-0.93974998814578248</v>
      </c>
      <c r="F8" s="203">
        <v>17.36729087369784</v>
      </c>
      <c r="G8" s="203" t="s">
        <v>819</v>
      </c>
      <c r="H8" s="204">
        <v>0.58542545862880857</v>
      </c>
      <c r="I8" s="204">
        <v>72.086916272294147</v>
      </c>
      <c r="J8" s="204" t="s">
        <v>819</v>
      </c>
      <c r="K8" s="205">
        <v>0.3460418087002049</v>
      </c>
      <c r="L8" s="205">
        <v>63.534435268212377</v>
      </c>
      <c r="M8" s="205" t="s">
        <v>819</v>
      </c>
    </row>
    <row r="9" spans="1:13" x14ac:dyDescent="0.25">
      <c r="A9">
        <v>8</v>
      </c>
      <c r="B9" t="s">
        <v>822</v>
      </c>
      <c r="C9" t="s">
        <v>830</v>
      </c>
      <c r="D9">
        <v>6</v>
      </c>
      <c r="E9" s="203">
        <v>-1.2985792426949461</v>
      </c>
      <c r="F9" s="203">
        <v>9.7044182666681209</v>
      </c>
      <c r="G9" s="203" t="s">
        <v>819</v>
      </c>
      <c r="H9" s="204">
        <v>-43.378947318639611</v>
      </c>
      <c r="I9" s="204">
        <v>0</v>
      </c>
      <c r="J9" s="204" t="s">
        <v>824</v>
      </c>
      <c r="K9" s="205">
        <v>-2.4590839121571348</v>
      </c>
      <c r="L9" s="205">
        <v>0.69646028312162511</v>
      </c>
      <c r="M9" s="205" t="s">
        <v>818</v>
      </c>
    </row>
    <row r="10" spans="1:13" x14ac:dyDescent="0.25">
      <c r="A10">
        <v>9</v>
      </c>
      <c r="B10" t="s">
        <v>822</v>
      </c>
      <c r="C10" t="s">
        <v>831</v>
      </c>
      <c r="D10">
        <v>7</v>
      </c>
      <c r="E10" s="203">
        <v>-2.0918672762665014</v>
      </c>
      <c r="F10" s="203">
        <v>1.8225195051683865</v>
      </c>
      <c r="G10" s="203" t="s">
        <v>818</v>
      </c>
      <c r="H10" s="204">
        <v>-50.390791935680902</v>
      </c>
      <c r="I10" s="204">
        <v>0</v>
      </c>
      <c r="J10" s="204" t="s">
        <v>824</v>
      </c>
      <c r="K10" s="205">
        <v>1.9235316863428213</v>
      </c>
      <c r="L10" s="205">
        <v>97.279334447661483</v>
      </c>
      <c r="M10" s="205" t="s">
        <v>820</v>
      </c>
    </row>
    <row r="11" spans="1:13" x14ac:dyDescent="0.25">
      <c r="A11">
        <v>10</v>
      </c>
      <c r="B11" t="s">
        <v>822</v>
      </c>
      <c r="C11" t="s">
        <v>831</v>
      </c>
      <c r="D11">
        <v>6</v>
      </c>
      <c r="E11" s="203">
        <v>-0.63033488105152691</v>
      </c>
      <c r="F11" s="203">
        <v>26.423775303780577</v>
      </c>
      <c r="G11" s="203" t="s">
        <v>819</v>
      </c>
      <c r="H11" s="204">
        <v>-44.996144946529775</v>
      </c>
      <c r="I11" s="204">
        <v>0</v>
      </c>
      <c r="J11" s="204" t="s">
        <v>824</v>
      </c>
      <c r="K11" s="205">
        <v>1.8337195802119275</v>
      </c>
      <c r="L11" s="205">
        <v>96.665218470945632</v>
      </c>
      <c r="M11" s="205" t="s">
        <v>820</v>
      </c>
    </row>
    <row r="12" spans="1:13" x14ac:dyDescent="0.25">
      <c r="A12">
        <v>11</v>
      </c>
      <c r="B12" t="s">
        <v>822</v>
      </c>
      <c r="C12" t="s">
        <v>830</v>
      </c>
      <c r="D12">
        <v>6</v>
      </c>
      <c r="E12" s="203">
        <v>-0.72443547188380331</v>
      </c>
      <c r="F12" s="203">
        <v>23.439921465076132</v>
      </c>
      <c r="G12" s="203" t="s">
        <v>819</v>
      </c>
      <c r="H12" s="204">
        <v>-42.540188222394093</v>
      </c>
      <c r="I12" s="204">
        <v>0</v>
      </c>
      <c r="J12" s="204" t="s">
        <v>824</v>
      </c>
      <c r="K12" s="205">
        <v>0.47768189867550614</v>
      </c>
      <c r="L12" s="205">
        <v>68.356168511020073</v>
      </c>
      <c r="M12" s="205" t="s">
        <v>819</v>
      </c>
    </row>
    <row r="13" spans="1:13" x14ac:dyDescent="0.25">
      <c r="A13">
        <v>12</v>
      </c>
      <c r="B13" t="s">
        <v>822</v>
      </c>
      <c r="C13" t="s">
        <v>830</v>
      </c>
      <c r="D13">
        <v>6</v>
      </c>
      <c r="E13" s="203">
        <v>-1.1071979857578993</v>
      </c>
      <c r="F13" s="203">
        <v>13.410416911373826</v>
      </c>
      <c r="G13" s="203" t="s">
        <v>819</v>
      </c>
      <c r="H13" s="204">
        <v>0.6686645497008894</v>
      </c>
      <c r="I13" s="204">
        <v>74.81452569386397</v>
      </c>
      <c r="J13" s="204" t="s">
        <v>819</v>
      </c>
      <c r="K13" s="205">
        <v>0.19783302245829601</v>
      </c>
      <c r="L13" s="205">
        <v>57.841214571478041</v>
      </c>
      <c r="M13" s="205" t="s">
        <v>819</v>
      </c>
    </row>
    <row r="14" spans="1:13" x14ac:dyDescent="0.25">
      <c r="A14">
        <v>13</v>
      </c>
      <c r="B14" t="s">
        <v>822</v>
      </c>
      <c r="C14" t="s">
        <v>830</v>
      </c>
      <c r="D14">
        <v>7</v>
      </c>
      <c r="E14" s="203">
        <v>1.736892808127545</v>
      </c>
      <c r="F14" s="203">
        <v>95.879695344767242</v>
      </c>
      <c r="G14" s="203" t="s">
        <v>816</v>
      </c>
      <c r="H14" s="204">
        <v>-0.22974201848820147</v>
      </c>
      <c r="I14" s="204">
        <v>40.914612102246352</v>
      </c>
      <c r="J14" s="204" t="s">
        <v>819</v>
      </c>
      <c r="K14" s="205">
        <v>-0.96808138475192007</v>
      </c>
      <c r="L14" s="205">
        <v>16.650186297280769</v>
      </c>
      <c r="M14" s="205" t="s">
        <v>819</v>
      </c>
    </row>
    <row r="15" spans="1:13" x14ac:dyDescent="0.25">
      <c r="A15">
        <v>14</v>
      </c>
      <c r="B15" t="s">
        <v>822</v>
      </c>
      <c r="C15" t="s">
        <v>831</v>
      </c>
      <c r="D15">
        <v>6</v>
      </c>
      <c r="E15" s="203">
        <v>-1.1285723450638938</v>
      </c>
      <c r="F15" s="203">
        <v>12.953914115787679</v>
      </c>
      <c r="G15" s="203" t="s">
        <v>819</v>
      </c>
      <c r="H15" s="204">
        <v>-1.6662606248169013E-2</v>
      </c>
      <c r="I15" s="204">
        <v>49.335288945402041</v>
      </c>
      <c r="J15" s="204" t="s">
        <v>819</v>
      </c>
      <c r="K15" s="205">
        <v>-0.10938595437892651</v>
      </c>
      <c r="L15" s="205">
        <v>45.644818683942248</v>
      </c>
      <c r="M15" s="205" t="s">
        <v>819</v>
      </c>
    </row>
    <row r="16" spans="1:13" x14ac:dyDescent="0.25">
      <c r="A16">
        <v>15</v>
      </c>
      <c r="B16" t="s">
        <v>822</v>
      </c>
      <c r="C16" t="s">
        <v>831</v>
      </c>
      <c r="D16">
        <v>6</v>
      </c>
      <c r="E16" s="203">
        <v>-0.54555495821280986</v>
      </c>
      <c r="F16" s="203">
        <v>29.268594645056485</v>
      </c>
      <c r="G16" s="203" t="s">
        <v>819</v>
      </c>
      <c r="H16" s="204">
        <v>-0.23300081541267378</v>
      </c>
      <c r="I16" s="204">
        <v>40.788038629297731</v>
      </c>
      <c r="J16" s="204" t="s">
        <v>819</v>
      </c>
      <c r="K16" s="205">
        <v>0.37422133973449434</v>
      </c>
      <c r="L16" s="205">
        <v>64.588017563797735</v>
      </c>
      <c r="M16" s="205" t="s">
        <v>819</v>
      </c>
    </row>
    <row r="17" spans="1:13" x14ac:dyDescent="0.25">
      <c r="A17">
        <v>16</v>
      </c>
      <c r="B17" t="s">
        <v>822</v>
      </c>
      <c r="C17" t="s">
        <v>830</v>
      </c>
      <c r="D17">
        <v>7</v>
      </c>
      <c r="E17" s="203">
        <v>-2.657902957858858E-2</v>
      </c>
      <c r="F17" s="203">
        <v>48.939774966121604</v>
      </c>
      <c r="G17" s="203" t="s">
        <v>819</v>
      </c>
      <c r="H17" s="204">
        <v>-0.12541389296353</v>
      </c>
      <c r="I17" s="204">
        <v>45.009794497928503</v>
      </c>
      <c r="J17" s="204" t="s">
        <v>819</v>
      </c>
      <c r="K17" s="205">
        <v>-0.34169803711318891</v>
      </c>
      <c r="L17" s="205">
        <v>36.628907472604652</v>
      </c>
      <c r="M17" s="205" t="s">
        <v>819</v>
      </c>
    </row>
    <row r="18" spans="1:13" x14ac:dyDescent="0.25">
      <c r="A18">
        <v>17</v>
      </c>
      <c r="B18" t="s">
        <v>822</v>
      </c>
      <c r="C18" t="s">
        <v>831</v>
      </c>
      <c r="D18">
        <v>7</v>
      </c>
      <c r="E18" s="203">
        <v>0.2247520734221615</v>
      </c>
      <c r="F18" s="203">
        <v>58.891392398353723</v>
      </c>
      <c r="G18" s="203" t="s">
        <v>819</v>
      </c>
      <c r="H18" s="204">
        <v>-1.1367140049412863</v>
      </c>
      <c r="I18" s="204">
        <v>12.782893137588754</v>
      </c>
      <c r="J18" s="204" t="s">
        <v>819</v>
      </c>
      <c r="K18" s="205">
        <v>0.95445221121680568</v>
      </c>
      <c r="L18" s="205">
        <v>83.007260581376158</v>
      </c>
      <c r="M18" s="205" t="s">
        <v>819</v>
      </c>
    </row>
    <row r="19" spans="1:13" x14ac:dyDescent="0.25">
      <c r="A19">
        <v>18</v>
      </c>
      <c r="B19" t="s">
        <v>822</v>
      </c>
      <c r="C19" t="s">
        <v>830</v>
      </c>
      <c r="D19">
        <v>7</v>
      </c>
      <c r="E19" s="203">
        <v>-1.0847796818368971</v>
      </c>
      <c r="F19" s="203">
        <v>13.900962328448127</v>
      </c>
      <c r="G19" s="203" t="s">
        <v>819</v>
      </c>
      <c r="H19" s="204">
        <v>-1.6624932589192525</v>
      </c>
      <c r="I19" s="204">
        <v>4.82069569318893</v>
      </c>
      <c r="J19" s="204" t="s">
        <v>824</v>
      </c>
      <c r="K19" s="205">
        <v>2.5017287031719269</v>
      </c>
      <c r="L19" s="205">
        <v>99.382057050477854</v>
      </c>
      <c r="M19" s="205" t="s">
        <v>820</v>
      </c>
    </row>
    <row r="20" spans="1:13" x14ac:dyDescent="0.25">
      <c r="A20">
        <v>19</v>
      </c>
      <c r="B20" t="s">
        <v>822</v>
      </c>
      <c r="C20" t="s">
        <v>830</v>
      </c>
      <c r="D20">
        <v>7</v>
      </c>
      <c r="E20" s="203">
        <v>0.17039105412004696</v>
      </c>
      <c r="F20" s="203">
        <v>56.764869647573427</v>
      </c>
      <c r="G20" s="203" t="s">
        <v>819</v>
      </c>
      <c r="H20" s="204">
        <v>-1.1428931578696528</v>
      </c>
      <c r="I20" s="204">
        <v>12.654147684631706</v>
      </c>
      <c r="J20" s="204" t="s">
        <v>819</v>
      </c>
      <c r="K20" s="205">
        <v>-1.3447820618214055</v>
      </c>
      <c r="L20" s="205">
        <v>8.9347812387703769</v>
      </c>
      <c r="M20" s="205" t="s">
        <v>825</v>
      </c>
    </row>
    <row r="21" spans="1:13" x14ac:dyDescent="0.25">
      <c r="A21">
        <v>20</v>
      </c>
      <c r="B21" t="s">
        <v>822</v>
      </c>
      <c r="C21" t="s">
        <v>830</v>
      </c>
      <c r="D21">
        <v>6</v>
      </c>
      <c r="E21" s="203">
        <v>-0.34167295800970976</v>
      </c>
      <c r="F21" s="203">
        <v>36.629851251702107</v>
      </c>
      <c r="G21" s="203" t="s">
        <v>819</v>
      </c>
      <c r="H21" s="204">
        <v>-7.0140827664831942E-2</v>
      </c>
      <c r="I21" s="204">
        <v>47.204078546384373</v>
      </c>
      <c r="J21" s="204" t="s">
        <v>819</v>
      </c>
      <c r="K21" s="205">
        <v>0.35536990517656741</v>
      </c>
      <c r="L21" s="205">
        <v>63.884375420474683</v>
      </c>
      <c r="M21" s="205" t="s">
        <v>819</v>
      </c>
    </row>
    <row r="22" spans="1:13" x14ac:dyDescent="0.25">
      <c r="A22">
        <v>21</v>
      </c>
      <c r="B22" t="s">
        <v>822</v>
      </c>
      <c r="C22" t="s">
        <v>830</v>
      </c>
      <c r="D22">
        <v>7</v>
      </c>
      <c r="E22" s="203">
        <v>-0.93317794924813824</v>
      </c>
      <c r="F22" s="203">
        <v>17.536404894693604</v>
      </c>
      <c r="G22" s="203" t="s">
        <v>819</v>
      </c>
      <c r="H22" s="204">
        <v>-0.45897600416008222</v>
      </c>
      <c r="I22" s="204">
        <v>32.312569891845499</v>
      </c>
      <c r="J22" s="204" t="s">
        <v>819</v>
      </c>
      <c r="K22" s="205">
        <v>0.39176113402271212</v>
      </c>
      <c r="L22" s="205">
        <v>65.238264263913649</v>
      </c>
      <c r="M22" s="205" t="s">
        <v>819</v>
      </c>
    </row>
    <row r="23" spans="1:13" x14ac:dyDescent="0.25">
      <c r="A23">
        <v>22</v>
      </c>
      <c r="B23" t="s">
        <v>822</v>
      </c>
      <c r="C23" t="s">
        <v>830</v>
      </c>
      <c r="D23">
        <v>6</v>
      </c>
      <c r="E23" s="203">
        <v>-0.15029170107266301</v>
      </c>
      <c r="F23" s="203">
        <v>44.026724010483747</v>
      </c>
      <c r="G23" s="203" t="s">
        <v>819</v>
      </c>
      <c r="H23" s="204">
        <v>-5.2478221275578718E-2</v>
      </c>
      <c r="I23" s="204">
        <v>47.907382416159003</v>
      </c>
      <c r="J23" s="204" t="s">
        <v>819</v>
      </c>
      <c r="K23" s="205">
        <v>0.41018692131024675</v>
      </c>
      <c r="L23" s="205">
        <v>65.916558290914736</v>
      </c>
      <c r="M23" s="205" t="s">
        <v>819</v>
      </c>
    </row>
    <row r="24" spans="1:13" x14ac:dyDescent="0.25">
      <c r="A24">
        <v>23</v>
      </c>
      <c r="B24" t="s">
        <v>822</v>
      </c>
      <c r="C24" t="s">
        <v>831</v>
      </c>
      <c r="D24">
        <v>7</v>
      </c>
      <c r="E24" s="203">
        <v>0.50448722221950582</v>
      </c>
      <c r="F24" s="203">
        <v>69.304048043978668</v>
      </c>
      <c r="G24" s="203" t="s">
        <v>819</v>
      </c>
      <c r="H24" s="204">
        <v>-0.49881083790957498</v>
      </c>
      <c r="I24" s="204">
        <v>30.895632585634825</v>
      </c>
      <c r="J24" s="204" t="s">
        <v>819</v>
      </c>
      <c r="K24" s="205">
        <v>0.54370352571062408</v>
      </c>
      <c r="L24" s="205">
        <v>70.667724707305197</v>
      </c>
      <c r="M24" s="205" t="s">
        <v>819</v>
      </c>
    </row>
    <row r="25" spans="1:13" x14ac:dyDescent="0.25">
      <c r="A25">
        <v>24</v>
      </c>
      <c r="B25" t="s">
        <v>822</v>
      </c>
      <c r="C25" t="s">
        <v>830</v>
      </c>
      <c r="D25">
        <v>7</v>
      </c>
      <c r="E25" s="203">
        <v>-0.780984903139475</v>
      </c>
      <c r="F25" s="203">
        <v>21.740568699577874</v>
      </c>
      <c r="G25" s="203" t="s">
        <v>819</v>
      </c>
      <c r="H25" s="204">
        <v>0.53671842710756945</v>
      </c>
      <c r="I25" s="204">
        <v>70.42689372419116</v>
      </c>
      <c r="J25" s="204" t="s">
        <v>819</v>
      </c>
      <c r="K25" s="205">
        <v>0.11036372492586176</v>
      </c>
      <c r="L25" s="205">
        <v>54.393953966872388</v>
      </c>
      <c r="M25" s="205" t="s">
        <v>819</v>
      </c>
    </row>
    <row r="26" spans="1:13" x14ac:dyDescent="0.25">
      <c r="A26">
        <v>25</v>
      </c>
      <c r="B26" t="s">
        <v>822</v>
      </c>
      <c r="C26" t="s">
        <v>831</v>
      </c>
      <c r="D26">
        <v>7</v>
      </c>
      <c r="E26" s="203">
        <v>-0.28535478809945419</v>
      </c>
      <c r="F26" s="203">
        <v>38.768617099293024</v>
      </c>
      <c r="G26" s="203" t="s">
        <v>819</v>
      </c>
      <c r="H26" s="204">
        <v>-6.8095862485643421E-2</v>
      </c>
      <c r="I26" s="204">
        <v>47.28546619858345</v>
      </c>
      <c r="J26" s="204" t="s">
        <v>819</v>
      </c>
      <c r="K26" s="205">
        <v>-1.5389631125534005</v>
      </c>
      <c r="L26" s="205">
        <v>6.1906650927891702</v>
      </c>
      <c r="M26" s="205" t="s">
        <v>825</v>
      </c>
    </row>
    <row r="27" spans="1:13" x14ac:dyDescent="0.25">
      <c r="A27">
        <v>26</v>
      </c>
      <c r="B27" t="s">
        <v>822</v>
      </c>
      <c r="C27" t="s">
        <v>831</v>
      </c>
      <c r="D27">
        <v>7</v>
      </c>
      <c r="E27" s="203">
        <v>-0.89301575006078837</v>
      </c>
      <c r="F27" s="203">
        <v>18.59243691215368</v>
      </c>
      <c r="G27" s="203" t="s">
        <v>819</v>
      </c>
      <c r="H27" s="204">
        <v>-1.1496009786319135</v>
      </c>
      <c r="I27" s="204">
        <v>12.515412746308</v>
      </c>
      <c r="J27" s="204" t="s">
        <v>819</v>
      </c>
      <c r="K27" s="205">
        <v>0.92420149123151352</v>
      </c>
      <c r="L27" s="205">
        <v>82.23092903124703</v>
      </c>
      <c r="M27" s="205" t="s">
        <v>819</v>
      </c>
    </row>
    <row r="28" spans="1:13" x14ac:dyDescent="0.25">
      <c r="A28">
        <v>27</v>
      </c>
      <c r="B28" t="s">
        <v>822</v>
      </c>
      <c r="C28" t="s">
        <v>830</v>
      </c>
      <c r="D28">
        <v>8</v>
      </c>
      <c r="E28" s="203">
        <v>-4.6936759933381506E-2</v>
      </c>
      <c r="F28" s="203">
        <v>48.128181508870568</v>
      </c>
      <c r="G28" s="203" t="s">
        <v>819</v>
      </c>
      <c r="H28" s="204">
        <v>-0.54877423819066662</v>
      </c>
      <c r="I28" s="204">
        <v>29.158019589446432</v>
      </c>
      <c r="J28" s="204" t="s">
        <v>819</v>
      </c>
      <c r="K28" s="205">
        <v>-1.1657275213210243</v>
      </c>
      <c r="L28" s="205">
        <v>12.186231463741724</v>
      </c>
      <c r="M28" s="205" t="s">
        <v>825</v>
      </c>
    </row>
    <row r="29" spans="1:13" x14ac:dyDescent="0.25">
      <c r="A29">
        <v>28</v>
      </c>
      <c r="B29" t="s">
        <v>822</v>
      </c>
      <c r="C29" t="s">
        <v>830</v>
      </c>
      <c r="D29">
        <v>8</v>
      </c>
      <c r="E29" s="203">
        <v>0.13011627640528184</v>
      </c>
      <c r="F29" s="203">
        <v>55.176278355753048</v>
      </c>
      <c r="G29" s="203" t="s">
        <v>819</v>
      </c>
      <c r="H29" s="204">
        <v>-0.89946517627688249</v>
      </c>
      <c r="I29" s="204">
        <v>18.42024682990181</v>
      </c>
      <c r="J29" s="204" t="s">
        <v>819</v>
      </c>
      <c r="K29" s="205">
        <v>1.1033208869359261</v>
      </c>
      <c r="L29" s="205">
        <v>86.505608038836201</v>
      </c>
      <c r="M29" s="205" t="s">
        <v>820</v>
      </c>
    </row>
    <row r="30" spans="1:13" x14ac:dyDescent="0.25">
      <c r="A30">
        <v>29</v>
      </c>
      <c r="B30" t="s">
        <v>822</v>
      </c>
      <c r="C30" t="s">
        <v>831</v>
      </c>
      <c r="D30">
        <v>7</v>
      </c>
      <c r="E30" s="203">
        <v>0.68097553355770268</v>
      </c>
      <c r="F30" s="203">
        <v>75.205651408690741</v>
      </c>
      <c r="G30" s="203" t="s">
        <v>819</v>
      </c>
      <c r="H30" s="204">
        <v>-0.982941079792371</v>
      </c>
      <c r="I30" s="204">
        <v>16.281821905834438</v>
      </c>
      <c r="J30" s="204" t="s">
        <v>819</v>
      </c>
      <c r="K30" s="205">
        <v>0.71343776726980379</v>
      </c>
      <c r="L30" s="205">
        <v>76.221254512026135</v>
      </c>
      <c r="M30" s="205" t="s">
        <v>819</v>
      </c>
    </row>
    <row r="31" spans="1:13" x14ac:dyDescent="0.25">
      <c r="A31">
        <v>30</v>
      </c>
      <c r="B31" t="s">
        <v>822</v>
      </c>
      <c r="C31" t="s">
        <v>831</v>
      </c>
      <c r="D31">
        <v>7</v>
      </c>
      <c r="E31" s="203">
        <v>-1.1642348795724493</v>
      </c>
      <c r="F31" s="203">
        <v>12.216441935853403</v>
      </c>
      <c r="G31" s="203" t="s">
        <v>819</v>
      </c>
      <c r="H31" s="204">
        <v>-0.37256537485161045</v>
      </c>
      <c r="I31" s="204">
        <v>35.473597359625927</v>
      </c>
      <c r="J31" s="204" t="s">
        <v>819</v>
      </c>
      <c r="K31" s="205">
        <v>1.0446072592916507</v>
      </c>
      <c r="L31" s="205">
        <v>85.189773843611931</v>
      </c>
      <c r="M31" s="205" t="s">
        <v>820</v>
      </c>
    </row>
    <row r="32" spans="1:13" x14ac:dyDescent="0.25">
      <c r="A32">
        <v>31</v>
      </c>
      <c r="B32" t="s">
        <v>822</v>
      </c>
      <c r="C32" t="s">
        <v>831</v>
      </c>
      <c r="D32">
        <v>7</v>
      </c>
      <c r="E32" s="203">
        <v>0.68097553355770268</v>
      </c>
      <c r="F32" s="203">
        <v>75.205651408690741</v>
      </c>
      <c r="G32" s="203" t="s">
        <v>819</v>
      </c>
      <c r="H32" s="204">
        <v>-0.71464553130983199</v>
      </c>
      <c r="I32" s="204">
        <v>23.741405133400896</v>
      </c>
      <c r="J32" s="204" t="s">
        <v>819</v>
      </c>
      <c r="K32" s="205">
        <v>-1.7651626734995936E-2</v>
      </c>
      <c r="L32" s="205">
        <v>49.295838545040176</v>
      </c>
      <c r="M32" s="205" t="s">
        <v>819</v>
      </c>
    </row>
    <row r="33" spans="1:13" x14ac:dyDescent="0.25">
      <c r="A33">
        <v>32</v>
      </c>
      <c r="B33" t="s">
        <v>822</v>
      </c>
      <c r="C33" t="s">
        <v>830</v>
      </c>
      <c r="D33">
        <v>7</v>
      </c>
      <c r="E33" s="203">
        <v>-0.34374024090075989</v>
      </c>
      <c r="F33" s="203">
        <v>36.552082265171343</v>
      </c>
      <c r="G33" s="203" t="s">
        <v>819</v>
      </c>
      <c r="H33" s="204">
        <v>-0.63365439113007249</v>
      </c>
      <c r="I33" s="204">
        <v>26.315319801421921</v>
      </c>
      <c r="J33" s="204" t="s">
        <v>819</v>
      </c>
      <c r="K33" s="205">
        <v>1.4709434519528031</v>
      </c>
      <c r="L33" s="205">
        <v>92.934679487112362</v>
      </c>
      <c r="M33" s="205" t="s">
        <v>820</v>
      </c>
    </row>
    <row r="34" spans="1:13" x14ac:dyDescent="0.25">
      <c r="A34">
        <v>33</v>
      </c>
      <c r="B34" t="s">
        <v>822</v>
      </c>
      <c r="C34" t="s">
        <v>830</v>
      </c>
      <c r="D34">
        <v>7</v>
      </c>
      <c r="E34" s="203">
        <v>2.699027503055822</v>
      </c>
      <c r="F34" s="203">
        <v>99.652287855458141</v>
      </c>
      <c r="G34" s="203" t="s">
        <v>816</v>
      </c>
      <c r="H34" s="204">
        <v>1.0637699649632013</v>
      </c>
      <c r="I34" s="204">
        <v>85.628353967571087</v>
      </c>
      <c r="J34" s="204" t="s">
        <v>819</v>
      </c>
      <c r="K34" s="205">
        <v>-0.17150137659111583</v>
      </c>
      <c r="L34" s="205">
        <v>43.191477405778876</v>
      </c>
      <c r="M34" s="205" t="s">
        <v>819</v>
      </c>
    </row>
    <row r="35" spans="1:13" x14ac:dyDescent="0.25">
      <c r="A35">
        <v>34</v>
      </c>
      <c r="B35" t="s">
        <v>822</v>
      </c>
      <c r="C35" t="s">
        <v>831</v>
      </c>
      <c r="D35">
        <v>7</v>
      </c>
      <c r="E35" s="203">
        <v>-0.28535478809945419</v>
      </c>
      <c r="F35" s="203">
        <v>38.768617099293024</v>
      </c>
      <c r="G35" s="203" t="s">
        <v>819</v>
      </c>
      <c r="H35" s="204">
        <v>0.26154854054756677</v>
      </c>
      <c r="I35" s="204">
        <v>60.31652390831637</v>
      </c>
      <c r="J35" s="204" t="s">
        <v>819</v>
      </c>
      <c r="K35" s="205">
        <v>-0.82918178782178065</v>
      </c>
      <c r="L35" s="205">
        <v>20.350077442912085</v>
      </c>
      <c r="M35" s="205" t="s">
        <v>819</v>
      </c>
    </row>
    <row r="36" spans="1:13" x14ac:dyDescent="0.25">
      <c r="A36">
        <v>35</v>
      </c>
      <c r="B36" t="s">
        <v>822</v>
      </c>
      <c r="C36" t="s">
        <v>831</v>
      </c>
      <c r="D36">
        <v>7</v>
      </c>
      <c r="E36" s="203">
        <v>-0.54312222471617533</v>
      </c>
      <c r="F36" s="203">
        <v>29.352282574005716</v>
      </c>
      <c r="G36" s="203" t="s">
        <v>819</v>
      </c>
      <c r="H36" s="204">
        <v>-6.8709861240870422</v>
      </c>
      <c r="I36" s="204">
        <v>3.1879798185324245E-10</v>
      </c>
      <c r="J36" s="204" t="s">
        <v>824</v>
      </c>
      <c r="K36" s="205">
        <v>0.36181802220021664</v>
      </c>
      <c r="L36" s="205">
        <v>64.125598822049795</v>
      </c>
      <c r="M36" s="205" t="s">
        <v>819</v>
      </c>
    </row>
    <row r="37" spans="1:13" x14ac:dyDescent="0.25">
      <c r="A37">
        <v>36</v>
      </c>
      <c r="B37" t="s">
        <v>822</v>
      </c>
      <c r="C37" t="s">
        <v>830</v>
      </c>
      <c r="D37">
        <v>8</v>
      </c>
      <c r="E37" s="203">
        <v>1.2054331302015349</v>
      </c>
      <c r="F37" s="203">
        <v>88.598193089968618</v>
      </c>
      <c r="G37" s="203" t="s">
        <v>819</v>
      </c>
      <c r="H37" s="204">
        <v>-0.76041758469430742</v>
      </c>
      <c r="I37" s="204">
        <v>22.350250770118528</v>
      </c>
      <c r="J37" s="204" t="s">
        <v>819</v>
      </c>
      <c r="K37" s="205">
        <v>1.3034144036023374</v>
      </c>
      <c r="L37" s="205">
        <v>90.378333914181354</v>
      </c>
      <c r="M37" s="205" t="s">
        <v>820</v>
      </c>
    </row>
    <row r="38" spans="1:13" x14ac:dyDescent="0.25">
      <c r="A38">
        <v>37</v>
      </c>
      <c r="B38" t="s">
        <v>822</v>
      </c>
      <c r="C38" t="s">
        <v>831</v>
      </c>
      <c r="D38">
        <v>7</v>
      </c>
      <c r="E38" s="203">
        <v>-1.7153579971912409</v>
      </c>
      <c r="F38" s="203">
        <v>4.313980563732474</v>
      </c>
      <c r="G38" s="203" t="s">
        <v>818</v>
      </c>
      <c r="H38" s="204">
        <v>-0.74746437955606138</v>
      </c>
      <c r="I38" s="204">
        <v>22.739164829396525</v>
      </c>
      <c r="J38" s="204" t="s">
        <v>819</v>
      </c>
      <c r="K38" s="205">
        <v>-0.88897040775737191</v>
      </c>
      <c r="L38" s="205">
        <v>18.700949192518674</v>
      </c>
      <c r="M38" s="205" t="s">
        <v>819</v>
      </c>
    </row>
    <row r="39" spans="1:13" x14ac:dyDescent="0.25">
      <c r="A39">
        <v>38</v>
      </c>
      <c r="B39" t="s">
        <v>822</v>
      </c>
      <c r="C39" t="s">
        <v>830</v>
      </c>
      <c r="D39">
        <v>7</v>
      </c>
      <c r="E39" s="203">
        <v>-0.72696954972894268</v>
      </c>
      <c r="F39" s="203">
        <v>23.362230477493245</v>
      </c>
      <c r="G39" s="203" t="s">
        <v>819</v>
      </c>
      <c r="H39" s="204">
        <v>0.37120814573179539</v>
      </c>
      <c r="I39" s="204">
        <v>64.475874676914273</v>
      </c>
      <c r="J39" s="204" t="s">
        <v>819</v>
      </c>
      <c r="K39" s="205">
        <v>0.49823082809600822</v>
      </c>
      <c r="L39" s="205">
        <v>69.083932194501315</v>
      </c>
      <c r="M39" s="205" t="s">
        <v>819</v>
      </c>
    </row>
    <row r="40" spans="1:13" x14ac:dyDescent="0.25">
      <c r="A40">
        <v>39</v>
      </c>
      <c r="B40" t="s">
        <v>822</v>
      </c>
      <c r="C40" t="s">
        <v>831</v>
      </c>
      <c r="D40">
        <v>8</v>
      </c>
      <c r="E40" s="203">
        <v>-0.68395963711608043</v>
      </c>
      <c r="F40" s="203">
        <v>24.700032686396284</v>
      </c>
      <c r="G40" s="203" t="s">
        <v>819</v>
      </c>
      <c r="H40" s="204">
        <v>5.1451791800910263</v>
      </c>
      <c r="I40" s="204">
        <v>99.999986636720593</v>
      </c>
      <c r="J40" s="204" t="s">
        <v>817</v>
      </c>
      <c r="K40" s="205">
        <v>-5.559819986965548E-2</v>
      </c>
      <c r="L40" s="205">
        <v>47.783094929222699</v>
      </c>
      <c r="M40" s="205" t="s">
        <v>819</v>
      </c>
    </row>
    <row r="41" spans="1:13" x14ac:dyDescent="0.25">
      <c r="A41">
        <v>40</v>
      </c>
      <c r="B41" t="s">
        <v>822</v>
      </c>
      <c r="C41" t="s">
        <v>830</v>
      </c>
      <c r="D41">
        <v>8</v>
      </c>
      <c r="E41" s="203">
        <v>0.32251837709187081</v>
      </c>
      <c r="F41" s="203">
        <v>62.646999098903656</v>
      </c>
      <c r="G41" s="203" t="s">
        <v>819</v>
      </c>
      <c r="H41" s="204">
        <v>11.694454387787303</v>
      </c>
      <c r="I41" s="204">
        <v>100</v>
      </c>
      <c r="J41" s="204" t="s">
        <v>817</v>
      </c>
      <c r="K41" s="205">
        <v>3.4170639802505618</v>
      </c>
      <c r="L41" s="205">
        <v>99.968349799311426</v>
      </c>
      <c r="M41" s="205" t="s">
        <v>820</v>
      </c>
    </row>
    <row r="42" spans="1:13" x14ac:dyDescent="0.25">
      <c r="A42">
        <v>41</v>
      </c>
      <c r="B42" t="s">
        <v>822</v>
      </c>
      <c r="C42" t="s">
        <v>831</v>
      </c>
      <c r="D42">
        <v>7</v>
      </c>
      <c r="E42" s="203">
        <v>-1.2235168898350083E-2</v>
      </c>
      <c r="F42" s="203">
        <v>49.511899559943686</v>
      </c>
      <c r="G42" s="203" t="s">
        <v>819</v>
      </c>
      <c r="H42" s="204">
        <v>-0.51604938573410553</v>
      </c>
      <c r="I42" s="204">
        <v>30.290995857340398</v>
      </c>
      <c r="J42" s="204" t="s">
        <v>819</v>
      </c>
      <c r="K42" s="205">
        <v>0.54717074195277804</v>
      </c>
      <c r="L42" s="205">
        <v>70.786928253450057</v>
      </c>
      <c r="M42" s="205" t="s">
        <v>819</v>
      </c>
    </row>
    <row r="43" spans="1:13" x14ac:dyDescent="0.25">
      <c r="A43">
        <v>42</v>
      </c>
      <c r="B43" t="s">
        <v>822</v>
      </c>
      <c r="C43" t="s">
        <v>830</v>
      </c>
      <c r="D43">
        <v>7</v>
      </c>
      <c r="E43" s="203">
        <v>-0.85718388699065529</v>
      </c>
      <c r="F43" s="203">
        <v>19.56716330037079</v>
      </c>
      <c r="G43" s="203" t="s">
        <v>819</v>
      </c>
      <c r="H43" s="204">
        <v>-0.94255580835525188</v>
      </c>
      <c r="I43" s="204">
        <v>17.295407633958817</v>
      </c>
      <c r="J43" s="204" t="s">
        <v>819</v>
      </c>
      <c r="K43" s="205">
        <v>-1.0554474927007873</v>
      </c>
      <c r="L43" s="205">
        <v>14.56103558822528</v>
      </c>
      <c r="M43" s="205" t="s">
        <v>825</v>
      </c>
    </row>
    <row r="44" spans="1:13" x14ac:dyDescent="0.25">
      <c r="A44">
        <v>43</v>
      </c>
      <c r="B44" t="s">
        <v>822</v>
      </c>
      <c r="C44" t="s">
        <v>830</v>
      </c>
      <c r="D44">
        <v>8</v>
      </c>
      <c r="E44" s="203">
        <v>-0.15952084466596206</v>
      </c>
      <c r="F44" s="203">
        <v>43.662926846213814</v>
      </c>
      <c r="G44" s="203" t="s">
        <v>819</v>
      </c>
      <c r="H44" s="204">
        <v>0.64410510845845359</v>
      </c>
      <c r="I44" s="204">
        <v>74.02463610155931</v>
      </c>
      <c r="J44" s="204" t="s">
        <v>819</v>
      </c>
      <c r="K44" s="205">
        <v>-2.6924034693070968</v>
      </c>
      <c r="L44" s="205">
        <v>0.35469534011757292</v>
      </c>
      <c r="M44" s="205" t="s">
        <v>818</v>
      </c>
    </row>
    <row r="45" spans="1:13" x14ac:dyDescent="0.25">
      <c r="A45">
        <v>44</v>
      </c>
      <c r="B45" t="s">
        <v>822</v>
      </c>
      <c r="C45" t="s">
        <v>830</v>
      </c>
      <c r="D45">
        <v>8</v>
      </c>
      <c r="E45" s="203">
        <v>-0.71774032806715615</v>
      </c>
      <c r="F45" s="203">
        <v>23.645870623918469</v>
      </c>
      <c r="G45" s="203" t="s">
        <v>819</v>
      </c>
      <c r="H45" s="204">
        <v>-0.1841080594099295</v>
      </c>
      <c r="I45" s="204">
        <v>42.696434203019848</v>
      </c>
      <c r="J45" s="204" t="s">
        <v>819</v>
      </c>
      <c r="K45" s="205">
        <v>0.17243855015175069</v>
      </c>
      <c r="L45" s="205">
        <v>56.845361628582538</v>
      </c>
      <c r="M45" s="205" t="s">
        <v>819</v>
      </c>
    </row>
    <row r="46" spans="1:13" x14ac:dyDescent="0.25">
      <c r="A46">
        <v>45</v>
      </c>
      <c r="B46" t="s">
        <v>822</v>
      </c>
      <c r="C46" t="s">
        <v>830</v>
      </c>
      <c r="D46">
        <v>9</v>
      </c>
      <c r="E46" s="203">
        <v>-0.28365895754307319</v>
      </c>
      <c r="F46" s="203">
        <v>38.833587519130951</v>
      </c>
      <c r="G46" s="203" t="s">
        <v>819</v>
      </c>
      <c r="H46" s="204">
        <v>-0.83278170960854825</v>
      </c>
      <c r="I46" s="204">
        <v>20.248392598275924</v>
      </c>
      <c r="J46" s="204" t="s">
        <v>819</v>
      </c>
      <c r="K46" s="205">
        <v>-0.23082597793578852</v>
      </c>
      <c r="L46" s="205">
        <v>40.872499933665516</v>
      </c>
      <c r="M46" s="205" t="s">
        <v>819</v>
      </c>
    </row>
    <row r="47" spans="1:13" x14ac:dyDescent="0.25">
      <c r="A47">
        <v>46</v>
      </c>
      <c r="B47" t="s">
        <v>822</v>
      </c>
      <c r="C47" t="s">
        <v>831</v>
      </c>
      <c r="D47">
        <v>8</v>
      </c>
      <c r="E47" s="203">
        <v>-2.0613014463343289</v>
      </c>
      <c r="F47" s="203">
        <v>1.9637145160881904</v>
      </c>
      <c r="G47" s="203" t="s">
        <v>818</v>
      </c>
      <c r="H47" s="204">
        <v>-1.7441790348126938</v>
      </c>
      <c r="I47" s="204">
        <v>4.0563937948744577</v>
      </c>
      <c r="J47" s="204" t="s">
        <v>824</v>
      </c>
      <c r="K47" s="205">
        <v>-0.30806611872698392</v>
      </c>
      <c r="L47" s="205">
        <v>37.901601080159011</v>
      </c>
      <c r="M47" s="205" t="s">
        <v>819</v>
      </c>
    </row>
    <row r="48" spans="1:13" x14ac:dyDescent="0.25">
      <c r="A48">
        <v>47</v>
      </c>
      <c r="B48" t="s">
        <v>822</v>
      </c>
      <c r="C48" t="s">
        <v>830</v>
      </c>
      <c r="D48">
        <v>9</v>
      </c>
      <c r="E48" s="203">
        <v>-0.16601209495540967</v>
      </c>
      <c r="F48" s="203">
        <v>43.407371592736062</v>
      </c>
      <c r="G48" s="203" t="s">
        <v>819</v>
      </c>
      <c r="H48" s="204">
        <v>-0.59642081966056226</v>
      </c>
      <c r="I48" s="204">
        <v>27.544706769934173</v>
      </c>
      <c r="J48" s="204" t="s">
        <v>819</v>
      </c>
      <c r="K48" s="205">
        <v>-1.008719888422948</v>
      </c>
      <c r="L48" s="205">
        <v>15.655449539359937</v>
      </c>
      <c r="M48" s="205" t="s">
        <v>819</v>
      </c>
    </row>
    <row r="49" spans="1:13" x14ac:dyDescent="0.25">
      <c r="A49">
        <v>48</v>
      </c>
      <c r="B49" t="s">
        <v>822</v>
      </c>
      <c r="C49" t="s">
        <v>831</v>
      </c>
      <c r="D49">
        <v>8</v>
      </c>
      <c r="E49" s="203">
        <v>1.0835287160516809</v>
      </c>
      <c r="F49" s="203">
        <v>86.071309404006826</v>
      </c>
      <c r="G49" s="203" t="s">
        <v>819</v>
      </c>
      <c r="H49" s="204">
        <v>-2.4798540464650829</v>
      </c>
      <c r="I49" s="204">
        <v>0.65718085695618123</v>
      </c>
      <c r="J49" s="204" t="s">
        <v>824</v>
      </c>
      <c r="K49" s="205">
        <v>3.2826525883189031</v>
      </c>
      <c r="L49" s="205">
        <v>99.948582342936731</v>
      </c>
      <c r="M49" s="205" t="s">
        <v>820</v>
      </c>
    </row>
    <row r="50" spans="1:13" x14ac:dyDescent="0.25">
      <c r="A50">
        <v>49</v>
      </c>
      <c r="B50" t="s">
        <v>822</v>
      </c>
      <c r="C50" t="s">
        <v>831</v>
      </c>
      <c r="D50">
        <v>8</v>
      </c>
      <c r="E50" s="203">
        <v>-0.33318360999334473</v>
      </c>
      <c r="F50" s="203">
        <v>36.94978446688534</v>
      </c>
      <c r="G50" s="203" t="s">
        <v>819</v>
      </c>
      <c r="H50" s="204">
        <v>-0.54479274651798582</v>
      </c>
      <c r="I50" s="204">
        <v>29.294803397664083</v>
      </c>
      <c r="J50" s="204" t="s">
        <v>819</v>
      </c>
      <c r="K50" s="205">
        <v>0.2961214542154722</v>
      </c>
      <c r="L50" s="205">
        <v>61.643133487382975</v>
      </c>
      <c r="M50" s="205" t="s">
        <v>819</v>
      </c>
    </row>
    <row r="51" spans="1:13" x14ac:dyDescent="0.25">
      <c r="A51">
        <v>50</v>
      </c>
      <c r="B51" t="s">
        <v>822</v>
      </c>
      <c r="C51" t="s">
        <v>831</v>
      </c>
      <c r="D51">
        <v>9</v>
      </c>
      <c r="E51" s="203">
        <v>-0.88899948271638252</v>
      </c>
      <c r="F51" s="203">
        <v>18.700167890467011</v>
      </c>
      <c r="G51" s="203" t="s">
        <v>819</v>
      </c>
      <c r="H51" s="204">
        <v>-1.0042164185537865</v>
      </c>
      <c r="I51" s="204">
        <v>15.763715497295694</v>
      </c>
      <c r="J51" s="204" t="s">
        <v>819</v>
      </c>
      <c r="K51" s="205">
        <v>-1.1775646482826234</v>
      </c>
      <c r="L51" s="205">
        <v>11.948510515427166</v>
      </c>
      <c r="M51" s="205" t="s">
        <v>825</v>
      </c>
    </row>
    <row r="52" spans="1:13" x14ac:dyDescent="0.25">
      <c r="A52">
        <v>51</v>
      </c>
      <c r="B52" t="s">
        <v>822</v>
      </c>
      <c r="C52" t="s">
        <v>831</v>
      </c>
      <c r="D52">
        <v>8</v>
      </c>
      <c r="E52" s="203">
        <v>-0.75500870001687204</v>
      </c>
      <c r="F52" s="203">
        <v>22.512188105661412</v>
      </c>
      <c r="G52" s="203" t="s">
        <v>819</v>
      </c>
      <c r="H52" s="204">
        <v>5.1161199784921942</v>
      </c>
      <c r="I52" s="204">
        <v>99.999984405764195</v>
      </c>
      <c r="J52" s="204" t="s">
        <v>817</v>
      </c>
      <c r="K52" s="205">
        <v>2.0961951125073948</v>
      </c>
      <c r="L52" s="205">
        <v>98.196755682902577</v>
      </c>
      <c r="M52" s="205" t="s">
        <v>820</v>
      </c>
    </row>
    <row r="53" spans="1:13" x14ac:dyDescent="0.25">
      <c r="A53">
        <v>52</v>
      </c>
      <c r="B53" t="s">
        <v>822</v>
      </c>
      <c r="C53" t="s">
        <v>830</v>
      </c>
      <c r="D53">
        <v>8</v>
      </c>
      <c r="E53" s="203">
        <v>-2.0689399102620571</v>
      </c>
      <c r="F53" s="203">
        <v>1.9275862913703996</v>
      </c>
      <c r="G53" s="203" t="s">
        <v>818</v>
      </c>
      <c r="H53" s="204">
        <v>-2.2422787882105708</v>
      </c>
      <c r="I53" s="204">
        <v>1.2471679897825521</v>
      </c>
      <c r="J53" s="204" t="s">
        <v>824</v>
      </c>
      <c r="K53" s="205">
        <v>0.3787153444679594</v>
      </c>
      <c r="L53" s="205">
        <v>64.755037127135537</v>
      </c>
      <c r="M53" s="205" t="s">
        <v>819</v>
      </c>
    </row>
    <row r="54" spans="1:13" x14ac:dyDescent="0.25">
      <c r="A54">
        <v>53</v>
      </c>
      <c r="B54" t="s">
        <v>822</v>
      </c>
      <c r="C54" t="s">
        <v>831</v>
      </c>
      <c r="D54">
        <v>8</v>
      </c>
      <c r="E54" s="203">
        <v>-1.5661731914800108</v>
      </c>
      <c r="F54" s="203">
        <v>5.8654038502661727</v>
      </c>
      <c r="G54" s="203" t="s">
        <v>819</v>
      </c>
      <c r="H54" s="204">
        <v>-1.4922305696295701</v>
      </c>
      <c r="I54" s="204">
        <v>6.7819355497433591</v>
      </c>
      <c r="J54" s="204" t="s">
        <v>819</v>
      </c>
      <c r="K54" s="205">
        <v>0.2270943823320245</v>
      </c>
      <c r="L54" s="205">
        <v>58.982482390260515</v>
      </c>
      <c r="M54" s="205" t="s">
        <v>819</v>
      </c>
    </row>
    <row r="55" spans="1:13" x14ac:dyDescent="0.25">
      <c r="A55">
        <v>54</v>
      </c>
      <c r="B55" t="s">
        <v>822</v>
      </c>
      <c r="C55" t="s">
        <v>831</v>
      </c>
      <c r="D55">
        <v>9</v>
      </c>
      <c r="E55" s="203">
        <v>0.72144847698867542</v>
      </c>
      <c r="F55" s="203">
        <v>76.468318508909476</v>
      </c>
      <c r="G55" s="203" t="s">
        <v>819</v>
      </c>
      <c r="H55" s="204">
        <v>0.16827272454993814</v>
      </c>
      <c r="I55" s="204">
        <v>56.681563473390497</v>
      </c>
      <c r="J55" s="204" t="s">
        <v>819</v>
      </c>
      <c r="K55" s="205">
        <v>0.34946551113512242</v>
      </c>
      <c r="L55" s="205">
        <v>63.663007063726276</v>
      </c>
      <c r="M55" s="205" t="s">
        <v>819</v>
      </c>
    </row>
    <row r="56" spans="1:13" x14ac:dyDescent="0.25">
      <c r="A56">
        <v>55</v>
      </c>
      <c r="B56" t="s">
        <v>822</v>
      </c>
      <c r="C56" t="s">
        <v>831</v>
      </c>
      <c r="D56">
        <v>8</v>
      </c>
      <c r="E56" s="203">
        <v>-0.82027423401880739</v>
      </c>
      <c r="F56" s="203">
        <v>20.60298957087824</v>
      </c>
      <c r="G56" s="203" t="s">
        <v>819</v>
      </c>
      <c r="H56" s="204">
        <v>-0.55951432072531937</v>
      </c>
      <c r="I56" s="204">
        <v>28.790538024107359</v>
      </c>
      <c r="J56" s="204" t="s">
        <v>819</v>
      </c>
      <c r="K56" s="205">
        <v>-1.6141886608315987</v>
      </c>
      <c r="L56" s="205">
        <v>5.3243255387459349</v>
      </c>
      <c r="M56" s="205" t="s">
        <v>825</v>
      </c>
    </row>
    <row r="57" spans="1:13" x14ac:dyDescent="0.25">
      <c r="A57">
        <v>56</v>
      </c>
      <c r="B57" t="s">
        <v>822</v>
      </c>
      <c r="C57" t="s">
        <v>831</v>
      </c>
      <c r="D57">
        <v>9</v>
      </c>
      <c r="E57" s="203">
        <v>-1.0417306611102288</v>
      </c>
      <c r="F57" s="203">
        <v>14.876828472434973</v>
      </c>
      <c r="G57" s="203" t="s">
        <v>819</v>
      </c>
      <c r="H57" s="204">
        <v>-0.98776721944471846</v>
      </c>
      <c r="I57" s="204">
        <v>16.163333261360759</v>
      </c>
      <c r="J57" s="204" t="s">
        <v>819</v>
      </c>
      <c r="K57" s="205">
        <v>2.3553184741605442</v>
      </c>
      <c r="L57" s="205">
        <v>99.074658161177808</v>
      </c>
      <c r="M57" s="205" t="s">
        <v>820</v>
      </c>
    </row>
    <row r="58" spans="1:13" x14ac:dyDescent="0.25">
      <c r="A58">
        <v>57</v>
      </c>
      <c r="B58" t="s">
        <v>822</v>
      </c>
      <c r="C58" t="s">
        <v>831</v>
      </c>
      <c r="D58">
        <v>9</v>
      </c>
      <c r="E58" s="203">
        <v>-1.7440462074866332</v>
      </c>
      <c r="F58" s="203">
        <v>4.0575516415224842</v>
      </c>
      <c r="G58" s="203" t="s">
        <v>818</v>
      </c>
      <c r="H58" s="204">
        <v>-0.49907266158981328</v>
      </c>
      <c r="I58" s="204">
        <v>30.886409808149907</v>
      </c>
      <c r="J58" s="204" t="s">
        <v>819</v>
      </c>
      <c r="K58" s="205">
        <v>-0.86987198602501836</v>
      </c>
      <c r="L58" s="205">
        <v>19.218518315725973</v>
      </c>
      <c r="M58" s="205" t="s">
        <v>819</v>
      </c>
    </row>
    <row r="59" spans="1:13" x14ac:dyDescent="0.25">
      <c r="A59">
        <v>58</v>
      </c>
      <c r="B59" t="s">
        <v>822</v>
      </c>
      <c r="C59" t="s">
        <v>830</v>
      </c>
      <c r="D59">
        <v>10</v>
      </c>
      <c r="E59" s="203">
        <v>-0.25573836347543183</v>
      </c>
      <c r="F59" s="203">
        <v>39.907643508722359</v>
      </c>
      <c r="G59" s="203" t="s">
        <v>819</v>
      </c>
      <c r="H59" s="204">
        <v>-2.5315847267529108</v>
      </c>
      <c r="I59" s="204">
        <v>0.56774190505177224</v>
      </c>
      <c r="J59" s="204" t="s">
        <v>824</v>
      </c>
      <c r="K59" s="205">
        <v>3.6222231442457753</v>
      </c>
      <c r="L59" s="205">
        <v>99.985395900316519</v>
      </c>
      <c r="M59" s="205" t="s">
        <v>820</v>
      </c>
    </row>
    <row r="60" spans="1:13" x14ac:dyDescent="0.25">
      <c r="A60">
        <v>59</v>
      </c>
      <c r="B60" t="s">
        <v>822</v>
      </c>
      <c r="C60" t="s">
        <v>831</v>
      </c>
      <c r="D60">
        <v>9</v>
      </c>
      <c r="E60" s="203">
        <v>1.6375987259028781</v>
      </c>
      <c r="F60" s="203">
        <v>94.924728548476722</v>
      </c>
      <c r="G60" s="203" t="s">
        <v>819</v>
      </c>
      <c r="H60" s="204">
        <v>0.17858350226463351</v>
      </c>
      <c r="I60" s="204">
        <v>57.086762523985954</v>
      </c>
      <c r="J60" s="204" t="s">
        <v>819</v>
      </c>
      <c r="K60" s="205">
        <v>-1.9359120882920279E-2</v>
      </c>
      <c r="L60" s="205">
        <v>49.227731055062584</v>
      </c>
      <c r="M60" s="205" t="s">
        <v>819</v>
      </c>
    </row>
    <row r="61" spans="1:13" x14ac:dyDescent="0.25">
      <c r="A61">
        <v>60</v>
      </c>
      <c r="B61" t="s">
        <v>822</v>
      </c>
      <c r="C61" t="s">
        <v>830</v>
      </c>
      <c r="D61">
        <v>9</v>
      </c>
      <c r="E61" s="203">
        <v>-0.51386158305578</v>
      </c>
      <c r="F61" s="203">
        <v>30.367438418759228</v>
      </c>
      <c r="G61" s="203" t="s">
        <v>819</v>
      </c>
      <c r="H61" s="204">
        <v>-1.8768871123162896</v>
      </c>
      <c r="I61" s="204">
        <v>3.0266783794298222</v>
      </c>
      <c r="J61" s="204" t="s">
        <v>824</v>
      </c>
      <c r="K61" s="205">
        <v>2.5440008409554848</v>
      </c>
      <c r="L61" s="205">
        <v>99.452045896254589</v>
      </c>
      <c r="M61" s="205" t="s">
        <v>820</v>
      </c>
    </row>
    <row r="62" spans="1:13" x14ac:dyDescent="0.25">
      <c r="A62">
        <v>61</v>
      </c>
      <c r="B62" t="s">
        <v>822</v>
      </c>
      <c r="C62" t="s">
        <v>830</v>
      </c>
      <c r="D62">
        <v>9</v>
      </c>
      <c r="E62" s="203">
        <v>0.15188137443572455</v>
      </c>
      <c r="F62" s="203">
        <v>56.035975054942085</v>
      </c>
      <c r="G62" s="203" t="s">
        <v>819</v>
      </c>
      <c r="H62" s="204">
        <v>-2.1164592028418623</v>
      </c>
      <c r="I62" s="204">
        <v>1.7152885735962149</v>
      </c>
      <c r="J62" s="204" t="s">
        <v>824</v>
      </c>
      <c r="K62" s="205">
        <v>3.3091051200032453</v>
      </c>
      <c r="L62" s="205">
        <v>99.953202655428868</v>
      </c>
      <c r="M62" s="205" t="s">
        <v>820</v>
      </c>
    </row>
    <row r="63" spans="1:13" x14ac:dyDescent="0.25">
      <c r="A63">
        <v>62</v>
      </c>
      <c r="B63" t="s">
        <v>822</v>
      </c>
      <c r="C63" t="s">
        <v>830</v>
      </c>
      <c r="D63">
        <v>9</v>
      </c>
      <c r="E63" s="203">
        <v>0.48850796873006108</v>
      </c>
      <c r="F63" s="203">
        <v>68.740495863878294</v>
      </c>
      <c r="G63" s="203" t="s">
        <v>819</v>
      </c>
      <c r="H63" s="204">
        <v>-0.87542070856357879</v>
      </c>
      <c r="I63" s="204">
        <v>19.067251805246556</v>
      </c>
      <c r="J63" s="204" t="s">
        <v>819</v>
      </c>
      <c r="K63" s="205">
        <v>0.69912461994801633</v>
      </c>
      <c r="L63" s="205">
        <v>75.776292318332267</v>
      </c>
      <c r="M63" s="205" t="s">
        <v>819</v>
      </c>
    </row>
    <row r="64" spans="1:13" x14ac:dyDescent="0.25">
      <c r="A64">
        <v>63</v>
      </c>
      <c r="B64" t="s">
        <v>822</v>
      </c>
      <c r="C64" t="s">
        <v>830</v>
      </c>
      <c r="D64">
        <v>10</v>
      </c>
      <c r="E64" s="203">
        <v>0.38259279292278342</v>
      </c>
      <c r="F64" s="203">
        <v>64.898914258319607</v>
      </c>
      <c r="G64" s="203" t="s">
        <v>819</v>
      </c>
      <c r="H64" s="204">
        <v>-0.58533847588203269</v>
      </c>
      <c r="I64" s="204">
        <v>27.916007428285983</v>
      </c>
      <c r="J64" s="204" t="s">
        <v>819</v>
      </c>
      <c r="K64" s="205">
        <v>1.9281565328892405</v>
      </c>
      <c r="L64" s="205">
        <v>97.308217052088935</v>
      </c>
      <c r="M64" s="205" t="s">
        <v>820</v>
      </c>
    </row>
    <row r="65" spans="1:13" x14ac:dyDescent="0.25">
      <c r="A65">
        <v>64</v>
      </c>
      <c r="B65" t="s">
        <v>822</v>
      </c>
      <c r="C65" t="s">
        <v>831</v>
      </c>
      <c r="D65">
        <v>9</v>
      </c>
      <c r="E65" s="203">
        <v>-1.2003617957394703</v>
      </c>
      <c r="F65" s="203">
        <v>11.499942978460114</v>
      </c>
      <c r="G65" s="203" t="s">
        <v>819</v>
      </c>
      <c r="H65" s="204">
        <v>-1.8174058793311716</v>
      </c>
      <c r="I65" s="204">
        <v>3.4577494085322291</v>
      </c>
      <c r="J65" s="204" t="s">
        <v>824</v>
      </c>
      <c r="K65" s="205">
        <v>0.85368310078061949</v>
      </c>
      <c r="L65" s="205">
        <v>80.335969994523865</v>
      </c>
      <c r="M65" s="205" t="s">
        <v>819</v>
      </c>
    </row>
    <row r="66" spans="1:13" x14ac:dyDescent="0.25">
      <c r="A66">
        <v>65</v>
      </c>
      <c r="B66" t="s">
        <v>822</v>
      </c>
      <c r="C66" t="s">
        <v>831</v>
      </c>
      <c r="D66">
        <v>9</v>
      </c>
      <c r="E66" s="203">
        <v>1.409340878780158</v>
      </c>
      <c r="F66" s="203">
        <v>92.063280164992193</v>
      </c>
      <c r="G66" s="203" t="s">
        <v>819</v>
      </c>
      <c r="H66" s="204">
        <v>-2.049080058285905</v>
      </c>
      <c r="I66" s="204">
        <v>2.0227143563829415</v>
      </c>
      <c r="J66" s="204" t="s">
        <v>824</v>
      </c>
      <c r="K66" s="205">
        <v>-9.8947856374186349E-2</v>
      </c>
      <c r="L66" s="205">
        <v>46.058983571070364</v>
      </c>
      <c r="M66" s="205" t="s">
        <v>819</v>
      </c>
    </row>
    <row r="67" spans="1:13" x14ac:dyDescent="0.25">
      <c r="A67">
        <v>66</v>
      </c>
      <c r="B67" t="s">
        <v>822</v>
      </c>
      <c r="C67" t="s">
        <v>830</v>
      </c>
      <c r="D67">
        <v>9</v>
      </c>
      <c r="E67" s="203">
        <v>1.0256682259664571</v>
      </c>
      <c r="F67" s="203">
        <v>84.747600185787732</v>
      </c>
      <c r="G67" s="203" t="s">
        <v>819</v>
      </c>
      <c r="H67" s="204">
        <v>-0.24234602606343997</v>
      </c>
      <c r="I67" s="204">
        <v>40.425602641176546</v>
      </c>
      <c r="J67" s="204" t="s">
        <v>819</v>
      </c>
      <c r="K67" s="205">
        <v>2.3378747045445256</v>
      </c>
      <c r="L67" s="205">
        <v>99.030312558496277</v>
      </c>
      <c r="M67" s="205" t="s">
        <v>820</v>
      </c>
    </row>
    <row r="68" spans="1:13" x14ac:dyDescent="0.25">
      <c r="A68">
        <v>67</v>
      </c>
      <c r="B68" t="s">
        <v>822</v>
      </c>
      <c r="C68" t="s">
        <v>831</v>
      </c>
      <c r="D68">
        <v>10</v>
      </c>
      <c r="E68" s="203">
        <v>0.28708571291812124</v>
      </c>
      <c r="F68" s="203">
        <v>61.297665430838656</v>
      </c>
      <c r="G68" s="203" t="s">
        <v>819</v>
      </c>
      <c r="H68" s="204">
        <v>-1.6742237947181093</v>
      </c>
      <c r="I68" s="204">
        <v>4.7043312369037737</v>
      </c>
      <c r="J68" s="204" t="s">
        <v>824</v>
      </c>
      <c r="K68" s="205">
        <v>0.82648136146509144</v>
      </c>
      <c r="L68" s="205">
        <v>79.573445662046964</v>
      </c>
      <c r="M68" s="205" t="s">
        <v>819</v>
      </c>
    </row>
    <row r="69" spans="1:13" x14ac:dyDescent="0.25">
      <c r="A69">
        <v>68</v>
      </c>
      <c r="B69" t="s">
        <v>822</v>
      </c>
      <c r="C69" t="s">
        <v>830</v>
      </c>
      <c r="D69">
        <v>9</v>
      </c>
      <c r="E69" s="203">
        <v>-0.39513515617671108</v>
      </c>
      <c r="F69" s="203">
        <v>34.637157230937078</v>
      </c>
      <c r="G69" s="203" t="s">
        <v>819</v>
      </c>
      <c r="H69" s="204">
        <v>-1.0675391820461266</v>
      </c>
      <c r="I69" s="204">
        <v>14.286421510573346</v>
      </c>
      <c r="J69" s="204" t="s">
        <v>819</v>
      </c>
      <c r="K69" s="205">
        <v>2.615657105537375</v>
      </c>
      <c r="L69" s="205">
        <v>99.554720294175553</v>
      </c>
      <c r="M69" s="205" t="s">
        <v>820</v>
      </c>
    </row>
    <row r="70" spans="1:13" x14ac:dyDescent="0.25">
      <c r="A70">
        <v>69</v>
      </c>
      <c r="B70" t="s">
        <v>822</v>
      </c>
      <c r="C70" t="s">
        <v>830</v>
      </c>
      <c r="D70">
        <v>10</v>
      </c>
      <c r="E70" s="203">
        <v>-0.94068827748310047</v>
      </c>
      <c r="F70" s="203">
        <v>17.343231402686111</v>
      </c>
      <c r="G70" s="203" t="s">
        <v>819</v>
      </c>
      <c r="H70" s="204">
        <v>-1.8872373786256513</v>
      </c>
      <c r="I70" s="204">
        <v>2.95642024445426</v>
      </c>
      <c r="J70" s="204" t="s">
        <v>824</v>
      </c>
      <c r="K70" s="205">
        <v>1.7581916940577307</v>
      </c>
      <c r="L70" s="205">
        <v>96.064255098909442</v>
      </c>
      <c r="M70" s="205" t="s">
        <v>820</v>
      </c>
    </row>
    <row r="71" spans="1:13" x14ac:dyDescent="0.25">
      <c r="A71">
        <v>70</v>
      </c>
      <c r="B71" t="s">
        <v>822</v>
      </c>
      <c r="C71" t="s">
        <v>831</v>
      </c>
      <c r="D71">
        <v>10</v>
      </c>
      <c r="E71" s="203">
        <v>0.44289885425766912</v>
      </c>
      <c r="F71" s="203">
        <v>67.108055190819343</v>
      </c>
      <c r="G71" s="203" t="s">
        <v>819</v>
      </c>
      <c r="H71" s="204">
        <v>-1.6549304860096821</v>
      </c>
      <c r="I71" s="204">
        <v>4.8969299707590546</v>
      </c>
      <c r="J71" s="204" t="s">
        <v>824</v>
      </c>
      <c r="K71" s="205">
        <v>2.000310006969765</v>
      </c>
      <c r="L71" s="205">
        <v>97.726660043978328</v>
      </c>
      <c r="M71" s="205" t="s">
        <v>820</v>
      </c>
    </row>
    <row r="72" spans="1:13" x14ac:dyDescent="0.25">
      <c r="A72">
        <v>71</v>
      </c>
      <c r="B72" t="s">
        <v>822</v>
      </c>
      <c r="C72" t="s">
        <v>830</v>
      </c>
      <c r="D72">
        <v>9</v>
      </c>
      <c r="E72" s="203">
        <v>8.2292637343017561E-2</v>
      </c>
      <c r="F72" s="203">
        <v>53.279299544367611</v>
      </c>
      <c r="G72" s="203" t="s">
        <v>819</v>
      </c>
      <c r="H72" s="204">
        <v>0.18083005044738534</v>
      </c>
      <c r="I72" s="204">
        <v>57.174951245757676</v>
      </c>
      <c r="J72" s="204" t="s">
        <v>819</v>
      </c>
      <c r="K72" s="205">
        <v>1.1348136272128917</v>
      </c>
      <c r="L72" s="205">
        <v>87.177329234387472</v>
      </c>
      <c r="M72" s="205" t="s">
        <v>820</v>
      </c>
    </row>
    <row r="73" spans="1:13" x14ac:dyDescent="0.25">
      <c r="A73">
        <v>72</v>
      </c>
      <c r="B73" t="s">
        <v>822</v>
      </c>
      <c r="C73" t="s">
        <v>831</v>
      </c>
      <c r="D73">
        <v>10</v>
      </c>
      <c r="E73" s="203">
        <v>0.36016502848242249</v>
      </c>
      <c r="F73" s="203">
        <v>64.063813728453241</v>
      </c>
      <c r="G73" s="203" t="s">
        <v>819</v>
      </c>
      <c r="H73" s="204">
        <v>-1.8533646775900829</v>
      </c>
      <c r="I73" s="204">
        <v>3.1915053281525809</v>
      </c>
      <c r="J73" s="204" t="s">
        <v>824</v>
      </c>
      <c r="K73" s="205">
        <v>0.83549818318319191</v>
      </c>
      <c r="L73" s="205">
        <v>79.828136527188633</v>
      </c>
      <c r="M73" s="205" t="s">
        <v>819</v>
      </c>
    </row>
    <row r="74" spans="1:13" x14ac:dyDescent="0.25">
      <c r="A74">
        <v>73</v>
      </c>
      <c r="B74" t="s">
        <v>822</v>
      </c>
      <c r="C74" t="s">
        <v>830</v>
      </c>
      <c r="D74">
        <v>9</v>
      </c>
      <c r="E74" s="203">
        <v>1.3554334200622957</v>
      </c>
      <c r="F74" s="203">
        <v>91.236024606642758</v>
      </c>
      <c r="G74" s="203" t="s">
        <v>819</v>
      </c>
      <c r="H74" s="204">
        <v>-0.43967113621224185</v>
      </c>
      <c r="I74" s="204">
        <v>33.008765532435817</v>
      </c>
      <c r="J74" s="204" t="s">
        <v>819</v>
      </c>
      <c r="K74" s="205">
        <v>3.0775200345095497</v>
      </c>
      <c r="L74" s="205">
        <v>99.895634596446385</v>
      </c>
      <c r="M74" s="205" t="s">
        <v>820</v>
      </c>
    </row>
    <row r="75" spans="1:13" x14ac:dyDescent="0.25">
      <c r="A75">
        <v>74</v>
      </c>
      <c r="B75" t="s">
        <v>822</v>
      </c>
      <c r="C75" t="s">
        <v>830</v>
      </c>
      <c r="D75">
        <v>10</v>
      </c>
      <c r="E75" s="203">
        <v>1.5400284907416939</v>
      </c>
      <c r="F75" s="203">
        <v>93.8223295593438</v>
      </c>
      <c r="G75" s="203" t="s">
        <v>819</v>
      </c>
      <c r="H75" s="204">
        <v>0.46950963953928537</v>
      </c>
      <c r="I75" s="204">
        <v>68.064730186228914</v>
      </c>
      <c r="J75" s="204" t="s">
        <v>819</v>
      </c>
      <c r="K75" s="205">
        <v>0.64148442004341499</v>
      </c>
      <c r="L75" s="205">
        <v>73.939599993458586</v>
      </c>
      <c r="M75" s="205" t="s">
        <v>819</v>
      </c>
    </row>
    <row r="76" spans="1:13" x14ac:dyDescent="0.25">
      <c r="A76">
        <v>75</v>
      </c>
      <c r="B76" t="s">
        <v>822</v>
      </c>
      <c r="C76" t="s">
        <v>831</v>
      </c>
      <c r="D76">
        <v>10</v>
      </c>
      <c r="E76" s="203">
        <v>-1.1159731232829455</v>
      </c>
      <c r="F76" s="203">
        <v>13.221681965526285</v>
      </c>
      <c r="G76" s="203" t="s">
        <v>819</v>
      </c>
      <c r="H76" s="204">
        <v>0.70707944628015507</v>
      </c>
      <c r="I76" s="204">
        <v>76.024144596305149</v>
      </c>
      <c r="J76" s="204" t="s">
        <v>819</v>
      </c>
      <c r="K76" s="205">
        <v>-0.38801925516169472</v>
      </c>
      <c r="L76" s="205">
        <v>34.900089212097861</v>
      </c>
      <c r="M76" s="205" t="s">
        <v>819</v>
      </c>
    </row>
    <row r="77" spans="1:13" x14ac:dyDescent="0.25">
      <c r="A77">
        <v>76</v>
      </c>
      <c r="B77" t="s">
        <v>822</v>
      </c>
      <c r="C77" t="s">
        <v>830</v>
      </c>
      <c r="D77">
        <v>9</v>
      </c>
      <c r="E77" s="203">
        <v>-1.1581512468940443</v>
      </c>
      <c r="F77" s="203">
        <v>12.340115991647666</v>
      </c>
      <c r="G77" s="203" t="s">
        <v>819</v>
      </c>
      <c r="H77" s="204">
        <v>-1.1370782610490437</v>
      </c>
      <c r="I77" s="204">
        <v>12.775278539700139</v>
      </c>
      <c r="J77" s="204" t="s">
        <v>819</v>
      </c>
      <c r="K77" s="205">
        <v>1.8572838273569252</v>
      </c>
      <c r="L77" s="205">
        <v>96.8364607955222</v>
      </c>
      <c r="M77" s="205" t="s">
        <v>820</v>
      </c>
    </row>
    <row r="78" spans="1:13" x14ac:dyDescent="0.25">
      <c r="A78">
        <v>77</v>
      </c>
      <c r="B78" t="s">
        <v>822</v>
      </c>
      <c r="C78" t="s">
        <v>831</v>
      </c>
      <c r="D78">
        <v>10</v>
      </c>
      <c r="E78" s="203">
        <v>-1.0374602387301779</v>
      </c>
      <c r="F78" s="203">
        <v>14.976070848861491</v>
      </c>
      <c r="G78" s="203" t="s">
        <v>819</v>
      </c>
      <c r="H78" s="204">
        <v>-1.0688419437473771</v>
      </c>
      <c r="I78" s="204">
        <v>14.257044790684612</v>
      </c>
      <c r="J78" s="204" t="s">
        <v>819</v>
      </c>
      <c r="K78" s="205">
        <v>0.15161743379732925</v>
      </c>
      <c r="L78" s="205">
        <v>56.02556589009442</v>
      </c>
      <c r="M78" s="205" t="s">
        <v>819</v>
      </c>
    </row>
    <row r="79" spans="1:13" x14ac:dyDescent="0.25">
      <c r="A79">
        <v>78</v>
      </c>
      <c r="B79" t="s">
        <v>822</v>
      </c>
      <c r="C79" t="s">
        <v>830</v>
      </c>
      <c r="D79">
        <v>9</v>
      </c>
      <c r="E79" s="203">
        <v>-0.67530604661284566</v>
      </c>
      <c r="F79" s="203">
        <v>24.974067154873342</v>
      </c>
      <c r="G79" s="203" t="s">
        <v>819</v>
      </c>
      <c r="H79" s="204">
        <v>-0.60980687437841041</v>
      </c>
      <c r="I79" s="204">
        <v>27.099487359155926</v>
      </c>
      <c r="J79" s="204" t="s">
        <v>819</v>
      </c>
      <c r="K79" s="205">
        <v>1.3846671605389729</v>
      </c>
      <c r="L79" s="205">
        <v>91.692286749841983</v>
      </c>
      <c r="M79" s="205" t="s">
        <v>820</v>
      </c>
    </row>
    <row r="80" spans="1:13" x14ac:dyDescent="0.25">
      <c r="A80">
        <v>79</v>
      </c>
      <c r="B80" t="s">
        <v>822</v>
      </c>
      <c r="C80" t="s">
        <v>830</v>
      </c>
      <c r="D80">
        <v>9</v>
      </c>
      <c r="E80" s="203">
        <v>-1.827418536735897</v>
      </c>
      <c r="F80" s="203">
        <v>3.3818432171539152</v>
      </c>
      <c r="G80" s="203" t="s">
        <v>818</v>
      </c>
      <c r="H80" s="204">
        <v>-1.5022107983278059</v>
      </c>
      <c r="I80" s="204">
        <v>6.652133846872041</v>
      </c>
      <c r="J80" s="204" t="s">
        <v>819</v>
      </c>
      <c r="K80" s="205">
        <v>-2.551028872863017</v>
      </c>
      <c r="L80" s="205">
        <v>0.53702713764330279</v>
      </c>
      <c r="M80" s="205" t="s">
        <v>818</v>
      </c>
    </row>
    <row r="81" spans="1:13" x14ac:dyDescent="0.25">
      <c r="A81">
        <v>80</v>
      </c>
      <c r="B81" t="s">
        <v>822</v>
      </c>
      <c r="C81" t="s">
        <v>830</v>
      </c>
      <c r="D81">
        <v>9</v>
      </c>
      <c r="E81" s="203">
        <v>0.58614764908050099</v>
      </c>
      <c r="F81" s="203">
        <v>72.111185089987202</v>
      </c>
      <c r="G81" s="203" t="s">
        <v>819</v>
      </c>
      <c r="H81" s="204">
        <v>-0.62897980339309778</v>
      </c>
      <c r="I81" s="204">
        <v>26.468113928521209</v>
      </c>
      <c r="J81" s="204" t="s">
        <v>819</v>
      </c>
      <c r="K81" s="205">
        <v>2.2589949855612539</v>
      </c>
      <c r="L81" s="205">
        <v>98.805815160130422</v>
      </c>
      <c r="M81" s="205" t="s">
        <v>820</v>
      </c>
    </row>
    <row r="82" spans="1:13" x14ac:dyDescent="0.25">
      <c r="A82">
        <v>81</v>
      </c>
      <c r="B82" t="s">
        <v>822</v>
      </c>
      <c r="C82" t="s">
        <v>831</v>
      </c>
      <c r="D82">
        <v>10</v>
      </c>
      <c r="E82" s="203">
        <v>0.33873909965141619</v>
      </c>
      <c r="F82" s="203">
        <v>63.259685853906532</v>
      </c>
      <c r="G82" s="203" t="s">
        <v>819</v>
      </c>
      <c r="H82" s="204">
        <v>-1.8616612613831642</v>
      </c>
      <c r="I82" s="204">
        <v>3.1325426126525842</v>
      </c>
      <c r="J82" s="204" t="s">
        <v>824</v>
      </c>
      <c r="K82" s="205">
        <v>2.6801923854840357</v>
      </c>
      <c r="L82" s="205">
        <v>99.63210070964746</v>
      </c>
      <c r="M82" s="205" t="s">
        <v>820</v>
      </c>
    </row>
    <row r="83" spans="1:13" x14ac:dyDescent="0.25">
      <c r="A83">
        <v>82</v>
      </c>
      <c r="B83" t="s">
        <v>822</v>
      </c>
      <c r="C83" t="s">
        <v>830</v>
      </c>
      <c r="D83">
        <v>10</v>
      </c>
      <c r="E83" s="203">
        <v>-0.64818258459662226</v>
      </c>
      <c r="F83" s="203">
        <v>25.843343226295957</v>
      </c>
      <c r="G83" s="203" t="s">
        <v>819</v>
      </c>
      <c r="H83" s="204">
        <v>-2.3212804092440957</v>
      </c>
      <c r="I83" s="204">
        <v>1.0135857429550306</v>
      </c>
      <c r="J83" s="204" t="s">
        <v>824</v>
      </c>
      <c r="K83" s="205">
        <v>2.1980416984683071</v>
      </c>
      <c r="L83" s="205">
        <v>98.602693271898247</v>
      </c>
      <c r="M83" s="205" t="s">
        <v>820</v>
      </c>
    </row>
    <row r="84" spans="1:13" x14ac:dyDescent="0.25">
      <c r="A84">
        <v>83</v>
      </c>
      <c r="B84" t="s">
        <v>822</v>
      </c>
      <c r="C84" t="s">
        <v>830</v>
      </c>
      <c r="D84">
        <v>11</v>
      </c>
      <c r="E84" s="203">
        <v>-0.37060184615518021</v>
      </c>
      <c r="F84" s="203">
        <v>35.54670534021561</v>
      </c>
      <c r="G84" s="203" t="s">
        <v>819</v>
      </c>
      <c r="H84" s="204">
        <v>-1.7028598068944383</v>
      </c>
      <c r="I84" s="204">
        <v>4.4297153668650084</v>
      </c>
      <c r="J84" s="204" t="s">
        <v>824</v>
      </c>
      <c r="K84" s="205">
        <v>1.1397152934624988</v>
      </c>
      <c r="L84" s="205">
        <v>87.279753322288784</v>
      </c>
      <c r="M84" s="205" t="s">
        <v>820</v>
      </c>
    </row>
    <row r="85" spans="1:13" x14ac:dyDescent="0.25">
      <c r="A85">
        <v>84</v>
      </c>
      <c r="B85" t="s">
        <v>822</v>
      </c>
      <c r="C85" t="s">
        <v>830</v>
      </c>
      <c r="D85">
        <v>12</v>
      </c>
      <c r="E85" s="203">
        <v>-0.57589781451402888</v>
      </c>
      <c r="F85" s="203">
        <v>28.234212646113733</v>
      </c>
      <c r="G85" s="203" t="s">
        <v>819</v>
      </c>
      <c r="H85" s="204">
        <v>-0.10501714557312657</v>
      </c>
      <c r="I85" s="204">
        <v>45.818110187465891</v>
      </c>
      <c r="J85" s="204" t="s">
        <v>819</v>
      </c>
      <c r="K85" s="205">
        <v>-0.21022461655655975</v>
      </c>
      <c r="L85" s="205">
        <v>41.674618379881224</v>
      </c>
      <c r="M85" s="205" t="s">
        <v>819</v>
      </c>
    </row>
    <row r="86" spans="1:13" x14ac:dyDescent="0.25">
      <c r="A86">
        <v>85</v>
      </c>
      <c r="B86" t="s">
        <v>822</v>
      </c>
      <c r="C86" t="s">
        <v>831</v>
      </c>
      <c r="D86">
        <v>10</v>
      </c>
      <c r="E86" s="203">
        <v>-0.20171848384685195</v>
      </c>
      <c r="F86" s="203">
        <v>42.006840580752289</v>
      </c>
      <c r="G86" s="203" t="s">
        <v>819</v>
      </c>
      <c r="H86" s="204">
        <v>-1.4261119270313301</v>
      </c>
      <c r="I86" s="204">
        <v>7.6918018270212816</v>
      </c>
      <c r="J86" s="204" t="s">
        <v>819</v>
      </c>
      <c r="K86" s="205">
        <v>0.22054200271326085</v>
      </c>
      <c r="L86" s="205">
        <v>58.72754679488893</v>
      </c>
      <c r="M86" s="205" t="s">
        <v>819</v>
      </c>
    </row>
    <row r="87" spans="1:13" x14ac:dyDescent="0.25">
      <c r="A87">
        <v>86</v>
      </c>
      <c r="B87" t="s">
        <v>822</v>
      </c>
      <c r="C87" t="s">
        <v>831</v>
      </c>
      <c r="D87">
        <v>10</v>
      </c>
      <c r="E87" s="203">
        <v>-1.198976636406976</v>
      </c>
      <c r="F87" s="203">
        <v>11.526851519538882</v>
      </c>
      <c r="G87" s="203" t="s">
        <v>819</v>
      </c>
      <c r="H87" s="204">
        <v>-3.0997118580812608</v>
      </c>
      <c r="I87" s="204">
        <v>9.6854494124828855E-2</v>
      </c>
      <c r="J87" s="204" t="s">
        <v>824</v>
      </c>
      <c r="K87" s="205">
        <v>2.4348292119615613</v>
      </c>
      <c r="L87" s="205">
        <v>99.255059000660907</v>
      </c>
      <c r="M87" s="205" t="s">
        <v>820</v>
      </c>
    </row>
    <row r="88" spans="1:13" x14ac:dyDescent="0.25">
      <c r="A88">
        <v>87</v>
      </c>
      <c r="B88" t="s">
        <v>822</v>
      </c>
      <c r="C88" t="s">
        <v>831</v>
      </c>
      <c r="D88">
        <v>11</v>
      </c>
      <c r="E88" s="203">
        <v>-0.83498212356341395</v>
      </c>
      <c r="F88" s="203">
        <v>20.186388680691998</v>
      </c>
      <c r="G88" s="203" t="s">
        <v>819</v>
      </c>
      <c r="H88" s="204">
        <v>-1.952063906824145</v>
      </c>
      <c r="I88" s="204">
        <v>2.5465308866290632</v>
      </c>
      <c r="J88" s="204" t="s">
        <v>824</v>
      </c>
      <c r="K88" s="205">
        <v>2.0731558125107981</v>
      </c>
      <c r="L88" s="205">
        <v>98.092110940108924</v>
      </c>
      <c r="M88" s="205" t="s">
        <v>820</v>
      </c>
    </row>
    <row r="89" spans="1:13" x14ac:dyDescent="0.25">
      <c r="A89">
        <v>88</v>
      </c>
      <c r="B89" t="s">
        <v>822</v>
      </c>
      <c r="C89" t="s">
        <v>831</v>
      </c>
      <c r="D89">
        <v>10</v>
      </c>
      <c r="E89" s="203">
        <v>-1.198976636406976</v>
      </c>
      <c r="F89" s="203">
        <v>11.526851519538882</v>
      </c>
      <c r="G89" s="203" t="s">
        <v>819</v>
      </c>
      <c r="H89" s="204">
        <v>-1.5170915275475589</v>
      </c>
      <c r="I89" s="204">
        <v>6.4621788526224009</v>
      </c>
      <c r="J89" s="204" t="s">
        <v>819</v>
      </c>
      <c r="K89" s="205">
        <v>1.998688636856961</v>
      </c>
      <c r="L89" s="205">
        <v>97.717897338056389</v>
      </c>
      <c r="M89" s="205" t="s">
        <v>820</v>
      </c>
    </row>
    <row r="90" spans="1:13" x14ac:dyDescent="0.25">
      <c r="A90">
        <v>89</v>
      </c>
      <c r="B90" t="s">
        <v>822</v>
      </c>
      <c r="C90" t="s">
        <v>831</v>
      </c>
      <c r="D90">
        <v>11</v>
      </c>
      <c r="E90" s="203">
        <v>-0.45815211802715605</v>
      </c>
      <c r="F90" s="203">
        <v>32.342157871454667</v>
      </c>
      <c r="G90" s="203" t="s">
        <v>819</v>
      </c>
      <c r="H90" s="204">
        <v>-0.69698182214937254</v>
      </c>
      <c r="I90" s="204">
        <v>24.290708495273076</v>
      </c>
      <c r="J90" s="204" t="s">
        <v>819</v>
      </c>
      <c r="K90" s="205">
        <v>1.5764026975468182</v>
      </c>
      <c r="L90" s="205">
        <v>94.25334864449411</v>
      </c>
      <c r="M90" s="205" t="s">
        <v>820</v>
      </c>
    </row>
    <row r="91" spans="1:13" x14ac:dyDescent="0.25">
      <c r="A91">
        <v>90</v>
      </c>
      <c r="B91" t="s">
        <v>822</v>
      </c>
      <c r="C91" t="s">
        <v>831</v>
      </c>
      <c r="D91">
        <v>13</v>
      </c>
      <c r="E91" s="203">
        <v>-2.3444295563811304</v>
      </c>
      <c r="F91" s="203">
        <v>0.95281049565392273</v>
      </c>
      <c r="G91" s="203" t="s">
        <v>818</v>
      </c>
      <c r="H91" s="204">
        <v>-0.56871184546472042</v>
      </c>
      <c r="I91" s="204">
        <v>28.477585386290883</v>
      </c>
      <c r="J91" s="204" t="s">
        <v>819</v>
      </c>
      <c r="K91" s="205">
        <v>-1.1666961259913142</v>
      </c>
      <c r="L91" s="205">
        <v>12.166655393178599</v>
      </c>
      <c r="M91" s="205" t="s">
        <v>825</v>
      </c>
    </row>
    <row r="92" spans="1:13" x14ac:dyDescent="0.25">
      <c r="A92">
        <v>91</v>
      </c>
      <c r="B92" t="s">
        <v>822</v>
      </c>
      <c r="C92" t="s">
        <v>831</v>
      </c>
      <c r="D92">
        <v>9</v>
      </c>
      <c r="E92" s="203">
        <v>-1.9835611960074819</v>
      </c>
      <c r="F92" s="203">
        <v>2.3652389322477081</v>
      </c>
      <c r="G92" s="203" t="s">
        <v>818</v>
      </c>
      <c r="H92" s="204">
        <v>-0.79745879177121537</v>
      </c>
      <c r="I92" s="204">
        <v>21.259231315590046</v>
      </c>
      <c r="J92" s="204" t="s">
        <v>819</v>
      </c>
      <c r="K92" s="205">
        <v>-0.78389234357730542</v>
      </c>
      <c r="L92" s="205">
        <v>21.655164136086182</v>
      </c>
      <c r="M92" s="205" t="s">
        <v>819</v>
      </c>
    </row>
    <row r="93" spans="1:13" x14ac:dyDescent="0.25">
      <c r="A93">
        <v>92</v>
      </c>
      <c r="B93" t="s">
        <v>822</v>
      </c>
      <c r="C93" t="s">
        <v>830</v>
      </c>
      <c r="D93">
        <v>11</v>
      </c>
      <c r="E93" s="203">
        <v>-1.6510599072275824</v>
      </c>
      <c r="F93" s="203">
        <v>4.9363171445939198</v>
      </c>
      <c r="G93" s="203" t="s">
        <v>818</v>
      </c>
      <c r="H93" s="204">
        <v>-1.8955278690925306</v>
      </c>
      <c r="I93" s="204">
        <v>2.9011251581146995</v>
      </c>
      <c r="J93" s="204" t="s">
        <v>824</v>
      </c>
      <c r="K93" s="205">
        <v>-0.79435924484653697</v>
      </c>
      <c r="L93" s="205">
        <v>21.3493161535959</v>
      </c>
      <c r="M93" s="205" t="s">
        <v>819</v>
      </c>
    </row>
    <row r="94" spans="1:13" x14ac:dyDescent="0.25">
      <c r="A94">
        <v>93</v>
      </c>
      <c r="B94" t="s">
        <v>822</v>
      </c>
      <c r="C94" t="s">
        <v>831</v>
      </c>
      <c r="D94">
        <v>11</v>
      </c>
      <c r="E94" s="203">
        <v>-1.2062288570173549</v>
      </c>
      <c r="F94" s="203">
        <v>11.386463008143716</v>
      </c>
      <c r="G94" s="203" t="s">
        <v>819</v>
      </c>
      <c r="H94" s="204">
        <v>-2.6085773593210952E-2</v>
      </c>
      <c r="I94" s="204">
        <v>48.959446211527428</v>
      </c>
      <c r="J94" s="204" t="s">
        <v>819</v>
      </c>
      <c r="K94" s="205">
        <v>-0.39259538367612401</v>
      </c>
      <c r="L94" s="205">
        <v>34.730917482661852</v>
      </c>
      <c r="M94" s="205" t="s">
        <v>819</v>
      </c>
    </row>
    <row r="95" spans="1:13" x14ac:dyDescent="0.25">
      <c r="A95">
        <v>94</v>
      </c>
      <c r="B95" t="s">
        <v>822</v>
      </c>
      <c r="C95" t="s">
        <v>830</v>
      </c>
      <c r="D95">
        <v>10</v>
      </c>
      <c r="E95" s="203">
        <v>-0.62827226336275266</v>
      </c>
      <c r="F95" s="203">
        <v>26.491279917810751</v>
      </c>
      <c r="G95" s="203" t="s">
        <v>819</v>
      </c>
      <c r="H95" s="204">
        <v>-1.5271954753356327</v>
      </c>
      <c r="I95" s="204">
        <v>6.3356205550137421</v>
      </c>
      <c r="J95" s="204" t="s">
        <v>819</v>
      </c>
      <c r="K95" s="205">
        <v>0.59529414505240308</v>
      </c>
      <c r="L95" s="205">
        <v>72.417656553388923</v>
      </c>
      <c r="M95" s="205" t="s">
        <v>819</v>
      </c>
    </row>
    <row r="96" spans="1:13" x14ac:dyDescent="0.25">
      <c r="A96">
        <v>95</v>
      </c>
      <c r="B96" t="s">
        <v>822</v>
      </c>
      <c r="C96" t="s">
        <v>831</v>
      </c>
      <c r="D96">
        <v>10</v>
      </c>
      <c r="E96" s="203">
        <v>8.1853308580893416E-2</v>
      </c>
      <c r="F96" s="203">
        <v>53.261831793019176</v>
      </c>
      <c r="G96" s="203" t="s">
        <v>819</v>
      </c>
      <c r="H96" s="204">
        <v>-1.1192485331017581</v>
      </c>
      <c r="I96" s="204">
        <v>13.151706283697804</v>
      </c>
      <c r="J96" s="204" t="s">
        <v>819</v>
      </c>
      <c r="K96" s="205">
        <v>2.1373003850074279</v>
      </c>
      <c r="L96" s="205">
        <v>98.371321621369077</v>
      </c>
      <c r="M96" s="205" t="s">
        <v>820</v>
      </c>
    </row>
    <row r="97" spans="1:13" x14ac:dyDescent="0.25">
      <c r="A97">
        <v>96</v>
      </c>
      <c r="B97" t="s">
        <v>822</v>
      </c>
      <c r="C97" t="s">
        <v>830</v>
      </c>
      <c r="D97">
        <v>10</v>
      </c>
      <c r="E97" s="203">
        <v>-6.0254338176670696E-2</v>
      </c>
      <c r="F97" s="203">
        <v>47.597653434257417</v>
      </c>
      <c r="G97" s="203" t="s">
        <v>819</v>
      </c>
      <c r="H97" s="204">
        <v>-0.80128494384821802</v>
      </c>
      <c r="I97" s="204">
        <v>21.148335256326046</v>
      </c>
      <c r="J97" s="204" t="s">
        <v>819</v>
      </c>
      <c r="K97" s="205">
        <v>-0.48166888769539529</v>
      </c>
      <c r="L97" s="205">
        <v>31.502059051972829</v>
      </c>
      <c r="M97" s="205" t="s">
        <v>819</v>
      </c>
    </row>
    <row r="98" spans="1:13" x14ac:dyDescent="0.25">
      <c r="A98">
        <v>97</v>
      </c>
      <c r="B98" t="s">
        <v>822</v>
      </c>
      <c r="C98" t="s">
        <v>830</v>
      </c>
      <c r="D98">
        <v>10</v>
      </c>
      <c r="E98" s="203">
        <v>-0.21287424237289609</v>
      </c>
      <c r="F98" s="203">
        <v>41.571252676173195</v>
      </c>
      <c r="G98" s="203" t="s">
        <v>819</v>
      </c>
      <c r="H98" s="204">
        <v>-2.015683924662127</v>
      </c>
      <c r="I98" s="204">
        <v>2.1916518816756394</v>
      </c>
      <c r="J98" s="204" t="s">
        <v>824</v>
      </c>
      <c r="K98" s="205">
        <v>2.4712037042606161</v>
      </c>
      <c r="L98" s="205">
        <v>99.326704555558521</v>
      </c>
      <c r="M98" s="205" t="s">
        <v>820</v>
      </c>
    </row>
    <row r="99" spans="1:13" x14ac:dyDescent="0.25">
      <c r="A99">
        <v>98</v>
      </c>
      <c r="B99" t="s">
        <v>822</v>
      </c>
      <c r="C99" t="s">
        <v>830</v>
      </c>
      <c r="D99">
        <v>10</v>
      </c>
      <c r="E99" s="203">
        <v>-2.0368110392131644</v>
      </c>
      <c r="F99" s="203">
        <v>2.08344908139073</v>
      </c>
      <c r="G99" s="203" t="s">
        <v>818</v>
      </c>
      <c r="H99" s="204">
        <v>-1.1644019730706268</v>
      </c>
      <c r="I99" s="204">
        <v>12.213057418878781</v>
      </c>
      <c r="J99" s="204" t="s">
        <v>819</v>
      </c>
      <c r="K99" s="205">
        <v>-3.6799695784850095E-2</v>
      </c>
      <c r="L99" s="205">
        <v>48.532235830706561</v>
      </c>
      <c r="M99" s="205" t="s">
        <v>819</v>
      </c>
    </row>
    <row r="100" spans="1:13" x14ac:dyDescent="0.25">
      <c r="A100">
        <v>99</v>
      </c>
      <c r="B100" t="s">
        <v>822</v>
      </c>
      <c r="C100" t="s">
        <v>830</v>
      </c>
      <c r="D100">
        <v>11</v>
      </c>
      <c r="E100" s="203">
        <v>0.36250831003088163</v>
      </c>
      <c r="F100" s="203">
        <v>64.151389263416263</v>
      </c>
      <c r="G100" s="203" t="s">
        <v>819</v>
      </c>
      <c r="H100" s="204">
        <v>-0.8925678218326536</v>
      </c>
      <c r="I100" s="204">
        <v>18.604432882634146</v>
      </c>
      <c r="J100" s="204" t="s">
        <v>819</v>
      </c>
      <c r="K100" s="205">
        <v>1.1794812006285738</v>
      </c>
      <c r="L100" s="205">
        <v>88.089669090215423</v>
      </c>
      <c r="M100" s="205" t="s">
        <v>820</v>
      </c>
    </row>
    <row r="101" spans="1:13" x14ac:dyDescent="0.25">
      <c r="A101">
        <v>100</v>
      </c>
      <c r="B101" t="s">
        <v>822</v>
      </c>
      <c r="C101" t="s">
        <v>830</v>
      </c>
      <c r="D101">
        <v>10</v>
      </c>
      <c r="E101" s="203">
        <v>0.79828978386139771</v>
      </c>
      <c r="F101" s="203">
        <v>78.76488274145045</v>
      </c>
      <c r="G101" s="203" t="s">
        <v>819</v>
      </c>
      <c r="H101" s="204">
        <v>-0.89091951384020496</v>
      </c>
      <c r="I101" s="204">
        <v>18.648617537228727</v>
      </c>
      <c r="J101" s="204" t="s">
        <v>819</v>
      </c>
      <c r="K101" s="205">
        <v>1.9682512884234882</v>
      </c>
      <c r="L101" s="205">
        <v>97.548043416752307</v>
      </c>
      <c r="M101" s="205" t="s">
        <v>820</v>
      </c>
    </row>
    <row r="102" spans="1:13" x14ac:dyDescent="0.25">
      <c r="A102">
        <v>101</v>
      </c>
      <c r="B102" t="s">
        <v>822</v>
      </c>
      <c r="C102" t="s">
        <v>831</v>
      </c>
      <c r="D102">
        <v>10</v>
      </c>
      <c r="E102" s="203">
        <v>-0.89628883847029728</v>
      </c>
      <c r="F102" s="203">
        <v>18.504925937790738</v>
      </c>
      <c r="G102" s="203" t="s">
        <v>819</v>
      </c>
      <c r="H102" s="204">
        <v>-0.48489413285804783</v>
      </c>
      <c r="I102" s="204">
        <v>31.387572223834088</v>
      </c>
      <c r="J102" s="204" t="s">
        <v>819</v>
      </c>
      <c r="K102" s="205">
        <v>-0.6745809400269539</v>
      </c>
      <c r="L102" s="205">
        <v>24.997102289927263</v>
      </c>
      <c r="M102" s="205" t="s">
        <v>819</v>
      </c>
    </row>
    <row r="103" spans="1:13" x14ac:dyDescent="0.25">
      <c r="A103">
        <v>102</v>
      </c>
      <c r="B103" t="s">
        <v>822</v>
      </c>
      <c r="C103" t="s">
        <v>831</v>
      </c>
      <c r="D103">
        <v>6</v>
      </c>
      <c r="E103" s="203">
        <v>9.4103400278492191E-2</v>
      </c>
      <c r="F103" s="203">
        <v>53.748649033074649</v>
      </c>
      <c r="G103" s="203" t="s">
        <v>819</v>
      </c>
      <c r="H103" s="204">
        <v>-0.53689544037974546</v>
      </c>
      <c r="I103" s="204">
        <v>29.566992037228857</v>
      </c>
      <c r="J103" s="204" t="s">
        <v>819</v>
      </c>
      <c r="K103" s="205">
        <v>0.29708440394598817</v>
      </c>
      <c r="L103" s="205">
        <v>61.679896450425453</v>
      </c>
      <c r="M103" s="205" t="s">
        <v>819</v>
      </c>
    </row>
    <row r="104" spans="1:13" x14ac:dyDescent="0.25">
      <c r="A104">
        <v>103</v>
      </c>
      <c r="B104" t="s">
        <v>822</v>
      </c>
      <c r="C104" t="s">
        <v>831</v>
      </c>
      <c r="D104">
        <v>6</v>
      </c>
      <c r="E104" s="203">
        <v>-0.10689348990141691</v>
      </c>
      <c r="F104" s="203">
        <v>45.743673895312568</v>
      </c>
      <c r="G104" s="203" t="s">
        <v>819</v>
      </c>
      <c r="H104" s="204">
        <v>-1.114974959392474</v>
      </c>
      <c r="I104" s="204">
        <v>13.243057621372834</v>
      </c>
      <c r="J104" s="204" t="s">
        <v>819</v>
      </c>
      <c r="K104" s="205">
        <v>-0.27908130006359971</v>
      </c>
      <c r="L104" s="205">
        <v>39.009121680214363</v>
      </c>
      <c r="M104" s="205" t="s">
        <v>819</v>
      </c>
    </row>
    <row r="105" spans="1:13" x14ac:dyDescent="0.25">
      <c r="A105">
        <v>104</v>
      </c>
      <c r="B105" t="s">
        <v>822</v>
      </c>
      <c r="C105" t="s">
        <v>831</v>
      </c>
      <c r="D105">
        <v>5</v>
      </c>
      <c r="E105" s="203">
        <v>-0.92833411483768313</v>
      </c>
      <c r="F105" s="203">
        <v>17.661714155361221</v>
      </c>
      <c r="G105" s="203" t="s">
        <v>819</v>
      </c>
      <c r="H105" s="204">
        <v>0.19813629681735809</v>
      </c>
      <c r="I105" s="204">
        <v>57.853078650656556</v>
      </c>
      <c r="J105" s="204" t="s">
        <v>819</v>
      </c>
      <c r="K105" s="205">
        <v>-1.1147023774458087</v>
      </c>
      <c r="L105" s="205">
        <v>13.248899094640326</v>
      </c>
      <c r="M105" s="205" t="s">
        <v>825</v>
      </c>
    </row>
    <row r="106" spans="1:13" x14ac:dyDescent="0.25">
      <c r="A106">
        <v>105</v>
      </c>
      <c r="B106" t="s">
        <v>822</v>
      </c>
      <c r="C106" t="s">
        <v>830</v>
      </c>
      <c r="D106">
        <v>5</v>
      </c>
      <c r="E106" s="203">
        <v>-2.2507274238977413</v>
      </c>
      <c r="F106" s="203">
        <v>1.2201403359779874</v>
      </c>
      <c r="G106" s="203" t="s">
        <v>818</v>
      </c>
      <c r="H106" s="204">
        <v>-0.70001321556236196</v>
      </c>
      <c r="I106" s="204">
        <v>24.195952563083129</v>
      </c>
      <c r="J106" s="204" t="s">
        <v>819</v>
      </c>
      <c r="K106" s="205">
        <v>-0.61591253310839456</v>
      </c>
      <c r="L106" s="205">
        <v>26.897612463624217</v>
      </c>
      <c r="M106" s="205" t="s">
        <v>819</v>
      </c>
    </row>
    <row r="107" spans="1:13" x14ac:dyDescent="0.25">
      <c r="A107">
        <v>106</v>
      </c>
      <c r="B107" t="s">
        <v>822</v>
      </c>
      <c r="C107" t="s">
        <v>830</v>
      </c>
      <c r="D107">
        <v>6</v>
      </c>
      <c r="E107" s="203">
        <v>-0.26302339034765504</v>
      </c>
      <c r="F107" s="203">
        <v>39.626627539150803</v>
      </c>
      <c r="G107" s="203" t="s">
        <v>819</v>
      </c>
      <c r="H107" s="204">
        <v>-0.24906134941826075</v>
      </c>
      <c r="I107" s="204">
        <v>40.165666310484248</v>
      </c>
      <c r="J107" s="204" t="s">
        <v>819</v>
      </c>
      <c r="K107" s="205">
        <v>1.1062539563516518</v>
      </c>
      <c r="L107" s="205">
        <v>86.569169260694821</v>
      </c>
      <c r="M107" s="205" t="s">
        <v>820</v>
      </c>
    </row>
    <row r="108" spans="1:13" x14ac:dyDescent="0.25">
      <c r="A108">
        <v>107</v>
      </c>
      <c r="B108" t="s">
        <v>822</v>
      </c>
      <c r="C108" t="s">
        <v>830</v>
      </c>
      <c r="D108">
        <v>6</v>
      </c>
      <c r="E108" s="203">
        <v>-0.17040558389718163</v>
      </c>
      <c r="F108" s="203">
        <v>43.234559052693569</v>
      </c>
      <c r="G108" s="203" t="s">
        <v>819</v>
      </c>
      <c r="H108" s="204">
        <v>-0.7377178872774629</v>
      </c>
      <c r="I108" s="204">
        <v>23.034295005996004</v>
      </c>
      <c r="J108" s="204" t="s">
        <v>819</v>
      </c>
      <c r="K108" s="205">
        <v>3.2155718456268811</v>
      </c>
      <c r="L108" s="205">
        <v>99.934907548523924</v>
      </c>
      <c r="M108" s="205" t="s">
        <v>820</v>
      </c>
    </row>
    <row r="109" spans="1:13" x14ac:dyDescent="0.25">
      <c r="A109">
        <v>108</v>
      </c>
      <c r="B109" t="s">
        <v>822</v>
      </c>
      <c r="C109" t="s">
        <v>830</v>
      </c>
      <c r="D109">
        <v>6</v>
      </c>
      <c r="E109" s="203">
        <v>0.41719987781723522</v>
      </c>
      <c r="F109" s="203">
        <v>66.173389272054692</v>
      </c>
      <c r="G109" s="203" t="s">
        <v>819</v>
      </c>
      <c r="H109" s="204">
        <v>-0.82751839283936213</v>
      </c>
      <c r="I109" s="204">
        <v>20.397165074356817</v>
      </c>
      <c r="J109" s="204" t="s">
        <v>819</v>
      </c>
      <c r="K109" s="205">
        <v>0.55917249423638193</v>
      </c>
      <c r="L109" s="205">
        <v>71.197799842712499</v>
      </c>
      <c r="M109" s="205" t="s">
        <v>819</v>
      </c>
    </row>
    <row r="110" spans="1:13" x14ac:dyDescent="0.25">
      <c r="A110">
        <v>109</v>
      </c>
      <c r="B110" t="s">
        <v>822</v>
      </c>
      <c r="C110" t="s">
        <v>830</v>
      </c>
      <c r="D110">
        <v>6</v>
      </c>
      <c r="E110" s="203">
        <v>2.268294402456231</v>
      </c>
      <c r="F110" s="203">
        <v>98.834436556454904</v>
      </c>
      <c r="G110" s="203" t="s">
        <v>816</v>
      </c>
      <c r="H110" s="204">
        <v>-0.60338290624598656</v>
      </c>
      <c r="I110" s="204">
        <v>27.312699556497932</v>
      </c>
      <c r="J110" s="204" t="s">
        <v>819</v>
      </c>
      <c r="K110" s="205">
        <v>4.2549362577739007</v>
      </c>
      <c r="L110" s="205">
        <v>99.998954457113371</v>
      </c>
      <c r="M110" s="205" t="s">
        <v>820</v>
      </c>
    </row>
    <row r="111" spans="1:13" x14ac:dyDescent="0.25">
      <c r="A111">
        <v>110</v>
      </c>
      <c r="B111" t="s">
        <v>822</v>
      </c>
      <c r="C111" t="s">
        <v>831</v>
      </c>
      <c r="D111">
        <v>6</v>
      </c>
      <c r="E111" s="203">
        <v>0.47914477299026131</v>
      </c>
      <c r="F111" s="203">
        <v>68.408218008120713</v>
      </c>
      <c r="G111" s="203" t="s">
        <v>819</v>
      </c>
      <c r="H111" s="204">
        <v>-1.0366239102154009</v>
      </c>
      <c r="I111" s="204">
        <v>14.99555828076563</v>
      </c>
      <c r="J111" s="204" t="s">
        <v>819</v>
      </c>
      <c r="K111" s="205">
        <v>0.46250460983320446</v>
      </c>
      <c r="L111" s="205">
        <v>67.814025135230608</v>
      </c>
      <c r="M111" s="205" t="s">
        <v>819</v>
      </c>
    </row>
    <row r="112" spans="1:13" x14ac:dyDescent="0.25">
      <c r="A112">
        <v>111</v>
      </c>
      <c r="B112" t="s">
        <v>822</v>
      </c>
      <c r="C112" t="s">
        <v>831</v>
      </c>
      <c r="D112">
        <v>10</v>
      </c>
      <c r="E112" s="203">
        <v>-4.387308527268365</v>
      </c>
      <c r="F112" s="203">
        <v>5.7380972423501993E-4</v>
      </c>
      <c r="G112" s="203" t="s">
        <v>818</v>
      </c>
      <c r="H112" s="204">
        <v>-2.1657238478953253</v>
      </c>
      <c r="I112" s="204">
        <v>1.5166147779868122</v>
      </c>
      <c r="J112" s="204" t="s">
        <v>824</v>
      </c>
      <c r="K112" s="205">
        <v>1.047886241155489</v>
      </c>
      <c r="L112" s="205">
        <v>85.265448894763438</v>
      </c>
      <c r="M112" s="205" t="s">
        <v>820</v>
      </c>
    </row>
    <row r="113" spans="1:13" x14ac:dyDescent="0.25">
      <c r="A113">
        <v>112</v>
      </c>
      <c r="B113" t="s">
        <v>822</v>
      </c>
      <c r="C113" t="s">
        <v>831</v>
      </c>
      <c r="D113">
        <v>6</v>
      </c>
      <c r="E113" s="203">
        <v>-0.93974998814578248</v>
      </c>
      <c r="F113" s="203">
        <v>17.36729087369784</v>
      </c>
      <c r="G113" s="203" t="s">
        <v>819</v>
      </c>
      <c r="H113" s="204">
        <v>-1.0795953631656012</v>
      </c>
      <c r="I113" s="204">
        <v>14.016120358192765</v>
      </c>
      <c r="J113" s="204" t="s">
        <v>819</v>
      </c>
      <c r="K113" s="205">
        <v>0.30075342100437186</v>
      </c>
      <c r="L113" s="205">
        <v>61.819873528136768</v>
      </c>
      <c r="M113" s="205" t="s">
        <v>819</v>
      </c>
    </row>
    <row r="114" spans="1:13" x14ac:dyDescent="0.25">
      <c r="A114">
        <v>113</v>
      </c>
      <c r="B114" t="s">
        <v>822</v>
      </c>
      <c r="C114" t="s">
        <v>831</v>
      </c>
      <c r="D114">
        <v>6</v>
      </c>
      <c r="E114" s="203">
        <v>7.6927593022313973E-2</v>
      </c>
      <c r="F114" s="203">
        <v>53.065942673674236</v>
      </c>
      <c r="G114" s="203" t="s">
        <v>819</v>
      </c>
      <c r="H114" s="204">
        <v>-2.1482486811527921</v>
      </c>
      <c r="I114" s="204">
        <v>1.5847002655130633</v>
      </c>
      <c r="J114" s="204" t="s">
        <v>824</v>
      </c>
      <c r="K114" s="205">
        <v>2.0804958946130903</v>
      </c>
      <c r="L114" s="205">
        <v>98.125996409996063</v>
      </c>
      <c r="M114" s="205" t="s">
        <v>820</v>
      </c>
    </row>
    <row r="115" spans="1:13" x14ac:dyDescent="0.25">
      <c r="A115">
        <v>114</v>
      </c>
      <c r="B115" t="s">
        <v>822</v>
      </c>
      <c r="C115" t="s">
        <v>830</v>
      </c>
      <c r="D115">
        <v>6</v>
      </c>
      <c r="E115" s="203">
        <v>0.51579719446931604</v>
      </c>
      <c r="F115" s="203">
        <v>69.700196888324882</v>
      </c>
      <c r="G115" s="203" t="s">
        <v>819</v>
      </c>
      <c r="H115" s="204">
        <v>-1.4287489485117075</v>
      </c>
      <c r="I115" s="204">
        <v>7.6538201758508766</v>
      </c>
      <c r="J115" s="204" t="s">
        <v>819</v>
      </c>
      <c r="K115" s="205">
        <v>5.6104495980631111</v>
      </c>
      <c r="L115" s="205">
        <v>99.999998990991784</v>
      </c>
      <c r="M115" s="205" t="s">
        <v>820</v>
      </c>
    </row>
    <row r="116" spans="1:13" x14ac:dyDescent="0.25">
      <c r="A116">
        <v>115</v>
      </c>
      <c r="B116" t="s">
        <v>822</v>
      </c>
      <c r="C116" t="s">
        <v>830</v>
      </c>
      <c r="D116">
        <v>6</v>
      </c>
      <c r="E116" s="203">
        <v>0.61522240124341421</v>
      </c>
      <c r="F116" s="203">
        <v>73.079607207472719</v>
      </c>
      <c r="G116" s="203" t="s">
        <v>819</v>
      </c>
      <c r="H116" s="204">
        <v>1.7262045513053244</v>
      </c>
      <c r="I116" s="204">
        <v>95.784469022809006</v>
      </c>
      <c r="J116" s="204" t="s">
        <v>817</v>
      </c>
      <c r="K116" s="205">
        <v>-2.5987095334711214</v>
      </c>
      <c r="L116" s="205">
        <v>0.46787458246178693</v>
      </c>
      <c r="M116" s="205" t="s">
        <v>818</v>
      </c>
    </row>
    <row r="117" spans="1:13" x14ac:dyDescent="0.25">
      <c r="A117">
        <v>116</v>
      </c>
      <c r="B117" t="s">
        <v>822</v>
      </c>
      <c r="C117" t="s">
        <v>831</v>
      </c>
      <c r="D117">
        <v>6</v>
      </c>
      <c r="E117" s="203">
        <v>-0.56210527430954749</v>
      </c>
      <c r="F117" s="203">
        <v>28.702214751683996</v>
      </c>
      <c r="G117" s="203" t="s">
        <v>819</v>
      </c>
      <c r="H117" s="204">
        <v>0.61053493031235695</v>
      </c>
      <c r="I117" s="204">
        <v>72.92462440769684</v>
      </c>
      <c r="J117" s="204" t="s">
        <v>819</v>
      </c>
      <c r="K117" s="205">
        <v>-1.5262834131017982</v>
      </c>
      <c r="L117" s="205">
        <v>6.3469648841246995</v>
      </c>
      <c r="M117" s="205" t="s">
        <v>825</v>
      </c>
    </row>
    <row r="118" spans="1:13" x14ac:dyDescent="0.25">
      <c r="A118">
        <v>117</v>
      </c>
      <c r="B118" t="s">
        <v>822</v>
      </c>
      <c r="C118" t="s">
        <v>831</v>
      </c>
      <c r="D118">
        <v>5</v>
      </c>
      <c r="E118" s="203">
        <v>0.36445234329081977</v>
      </c>
      <c r="F118" s="203">
        <v>64.223987262244194</v>
      </c>
      <c r="G118" s="203" t="s">
        <v>819</v>
      </c>
      <c r="H118" s="204">
        <v>-0.74470677697780585</v>
      </c>
      <c r="I118" s="204">
        <v>22.822450069050472</v>
      </c>
      <c r="J118" s="204" t="s">
        <v>819</v>
      </c>
      <c r="K118" s="205">
        <v>1.8561907814385619</v>
      </c>
      <c r="L118" s="205">
        <v>96.828681519438661</v>
      </c>
      <c r="M118" s="205" t="s">
        <v>820</v>
      </c>
    </row>
    <row r="119" spans="1:13" x14ac:dyDescent="0.25">
      <c r="A119">
        <v>118</v>
      </c>
      <c r="B119" t="s">
        <v>822</v>
      </c>
      <c r="C119" t="s">
        <v>831</v>
      </c>
      <c r="D119">
        <v>6</v>
      </c>
      <c r="E119" s="203">
        <v>-1.0451629469187491</v>
      </c>
      <c r="F119" s="203">
        <v>14.79738326767975</v>
      </c>
      <c r="G119" s="203" t="s">
        <v>819</v>
      </c>
      <c r="H119" s="204">
        <v>-0.92369608087299793</v>
      </c>
      <c r="I119" s="204">
        <v>17.782228658811743</v>
      </c>
      <c r="J119" s="204" t="s">
        <v>819</v>
      </c>
      <c r="K119" s="205">
        <v>-1.1914741146677417</v>
      </c>
      <c r="L119" s="205">
        <v>11.673375631936933</v>
      </c>
      <c r="M119" s="205" t="s">
        <v>825</v>
      </c>
    </row>
    <row r="120" spans="1:13" x14ac:dyDescent="0.25">
      <c r="A120">
        <v>119</v>
      </c>
      <c r="B120" t="s">
        <v>822</v>
      </c>
      <c r="C120" t="s">
        <v>831</v>
      </c>
      <c r="D120">
        <v>5</v>
      </c>
      <c r="E120" s="203">
        <v>-1.3261461283951448</v>
      </c>
      <c r="F120" s="203">
        <v>9.2395649668188771</v>
      </c>
      <c r="G120" s="203" t="s">
        <v>819</v>
      </c>
      <c r="H120" s="204">
        <v>-0.42752585573606289</v>
      </c>
      <c r="I120" s="204">
        <v>33.449817844755799</v>
      </c>
      <c r="J120" s="204" t="s">
        <v>819</v>
      </c>
      <c r="K120" s="205">
        <v>-0.27239133054414683</v>
      </c>
      <c r="L120" s="205">
        <v>39.266056899979901</v>
      </c>
      <c r="M120" s="205" t="s">
        <v>819</v>
      </c>
    </row>
    <row r="121" spans="1:13" x14ac:dyDescent="0.25">
      <c r="A121">
        <v>120</v>
      </c>
      <c r="B121" t="s">
        <v>822</v>
      </c>
      <c r="C121" t="s">
        <v>830</v>
      </c>
      <c r="D121">
        <v>8</v>
      </c>
      <c r="E121" s="203">
        <v>-1.0061260581599163</v>
      </c>
      <c r="F121" s="203">
        <v>15.717746758157569</v>
      </c>
      <c r="G121" s="203" t="s">
        <v>819</v>
      </c>
      <c r="H121" s="204">
        <v>-2.1475860883558218</v>
      </c>
      <c r="I121" s="204">
        <v>1.5873325774222939</v>
      </c>
      <c r="J121" s="204" t="s">
        <v>824</v>
      </c>
      <c r="K121" s="205">
        <v>-0.11658398583976626</v>
      </c>
      <c r="L121" s="205">
        <v>45.359486431238864</v>
      </c>
      <c r="M121" s="205" t="s">
        <v>819</v>
      </c>
    </row>
    <row r="122" spans="1:13" x14ac:dyDescent="0.25">
      <c r="A122">
        <v>121</v>
      </c>
      <c r="B122" t="s">
        <v>822</v>
      </c>
      <c r="C122" t="s">
        <v>831</v>
      </c>
      <c r="D122">
        <v>7</v>
      </c>
      <c r="E122" s="203">
        <v>0.85854467465040718</v>
      </c>
      <c r="F122" s="203">
        <v>80.47041135500406</v>
      </c>
      <c r="G122" s="203" t="s">
        <v>819</v>
      </c>
      <c r="H122" s="204">
        <v>-0.37438352657373036</v>
      </c>
      <c r="I122" s="204">
        <v>35.40594985960179</v>
      </c>
      <c r="J122" s="204" t="s">
        <v>819</v>
      </c>
      <c r="K122" s="205">
        <v>-0.37492050612201994</v>
      </c>
      <c r="L122" s="205">
        <v>35.385979397130562</v>
      </c>
      <c r="M122" s="205" t="s">
        <v>819</v>
      </c>
    </row>
    <row r="123" spans="1:13" x14ac:dyDescent="0.25">
      <c r="A123">
        <v>122</v>
      </c>
      <c r="B123" t="s">
        <v>822</v>
      </c>
      <c r="C123" t="s">
        <v>831</v>
      </c>
      <c r="D123">
        <v>7</v>
      </c>
      <c r="E123" s="203">
        <v>0.85770775239244423</v>
      </c>
      <c r="F123" s="203">
        <v>80.447307089568937</v>
      </c>
      <c r="G123" s="203" t="s">
        <v>819</v>
      </c>
      <c r="H123" s="204">
        <v>-2.1112643766376435</v>
      </c>
      <c r="I123" s="204">
        <v>1.7374797086947562</v>
      </c>
      <c r="J123" s="204" t="s">
        <v>824</v>
      </c>
      <c r="K123" s="205">
        <v>1.1635589217301574</v>
      </c>
      <c r="L123" s="205">
        <v>87.76985966338205</v>
      </c>
      <c r="M123" s="205" t="s">
        <v>820</v>
      </c>
    </row>
    <row r="124" spans="1:13" x14ac:dyDescent="0.25">
      <c r="A124">
        <v>123</v>
      </c>
      <c r="B124" t="s">
        <v>822</v>
      </c>
      <c r="C124" t="s">
        <v>831</v>
      </c>
      <c r="D124">
        <v>7</v>
      </c>
      <c r="E124" s="203">
        <v>-0.71806898738848191</v>
      </c>
      <c r="F124" s="203">
        <v>23.635737551820522</v>
      </c>
      <c r="G124" s="203" t="s">
        <v>819</v>
      </c>
      <c r="H124" s="204">
        <v>1.5438609333562203</v>
      </c>
      <c r="I124" s="204">
        <v>93.86889870011747</v>
      </c>
      <c r="J124" s="204" t="s">
        <v>819</v>
      </c>
      <c r="K124" s="205">
        <v>2.0840013672545954</v>
      </c>
      <c r="L124" s="205">
        <v>98.141997855136054</v>
      </c>
      <c r="M124" s="205" t="s">
        <v>820</v>
      </c>
    </row>
    <row r="125" spans="1:13" x14ac:dyDescent="0.25">
      <c r="A125">
        <v>124</v>
      </c>
      <c r="B125" t="s">
        <v>822</v>
      </c>
      <c r="C125" t="s">
        <v>830</v>
      </c>
      <c r="D125">
        <v>8</v>
      </c>
      <c r="E125" s="203">
        <v>0.12675941080465566</v>
      </c>
      <c r="F125" s="203">
        <v>55.043458899690293</v>
      </c>
      <c r="G125" s="203" t="s">
        <v>819</v>
      </c>
      <c r="H125" s="204">
        <v>7.4725843382462576E-2</v>
      </c>
      <c r="I125" s="204">
        <v>52.978357744522889</v>
      </c>
      <c r="J125" s="204" t="s">
        <v>819</v>
      </c>
      <c r="K125" s="205">
        <v>-3.0759233550126086</v>
      </c>
      <c r="L125" s="205">
        <v>0.10492589041197929</v>
      </c>
      <c r="M125" s="205" t="s">
        <v>818</v>
      </c>
    </row>
    <row r="126" spans="1:13" x14ac:dyDescent="0.25">
      <c r="A126">
        <v>125</v>
      </c>
      <c r="B126" t="s">
        <v>822</v>
      </c>
      <c r="C126" t="s">
        <v>830</v>
      </c>
      <c r="D126">
        <v>8</v>
      </c>
      <c r="E126" s="203">
        <v>-0.4517560987925302</v>
      </c>
      <c r="F126" s="203">
        <v>32.572234974396828</v>
      </c>
      <c r="G126" s="203" t="s">
        <v>819</v>
      </c>
      <c r="H126" s="204">
        <v>4.3717151877411098E-2</v>
      </c>
      <c r="I126" s="204">
        <v>51.743506646687401</v>
      </c>
      <c r="J126" s="204" t="s">
        <v>819</v>
      </c>
      <c r="K126" s="205">
        <v>-0.23866879881114669</v>
      </c>
      <c r="L126" s="205">
        <v>40.568120628471178</v>
      </c>
      <c r="M126" s="205" t="s">
        <v>819</v>
      </c>
    </row>
    <row r="127" spans="1:13" x14ac:dyDescent="0.25">
      <c r="A127">
        <v>126</v>
      </c>
      <c r="B127" t="s">
        <v>822</v>
      </c>
      <c r="C127" t="s">
        <v>830</v>
      </c>
      <c r="D127">
        <v>9</v>
      </c>
      <c r="E127" s="203">
        <v>6.1573515507949761E-2</v>
      </c>
      <c r="F127" s="203">
        <v>52.454876576288676</v>
      </c>
      <c r="G127" s="203" t="s">
        <v>819</v>
      </c>
      <c r="H127" s="204">
        <v>-0.78858687134931427</v>
      </c>
      <c r="I127" s="204">
        <v>21.517675334806825</v>
      </c>
      <c r="J127" s="204" t="s">
        <v>819</v>
      </c>
      <c r="K127" s="205">
        <v>3.2189668184544531</v>
      </c>
      <c r="L127" s="205">
        <v>99.935673314188719</v>
      </c>
      <c r="M127" s="205" t="s">
        <v>820</v>
      </c>
    </row>
    <row r="128" spans="1:13" x14ac:dyDescent="0.25">
      <c r="A128">
        <v>127</v>
      </c>
      <c r="B128" t="s">
        <v>822</v>
      </c>
      <c r="C128" t="s">
        <v>831</v>
      </c>
      <c r="D128">
        <v>9</v>
      </c>
      <c r="E128" s="203">
        <v>-0.40820589899261317</v>
      </c>
      <c r="F128" s="203">
        <v>34.15612588507615</v>
      </c>
      <c r="G128" s="203" t="s">
        <v>819</v>
      </c>
      <c r="H128" s="204">
        <v>-1.1472983709754025</v>
      </c>
      <c r="I128" s="204">
        <v>12.56291635306453</v>
      </c>
      <c r="J128" s="204" t="s">
        <v>819</v>
      </c>
      <c r="K128" s="205">
        <v>1.2645947004950051</v>
      </c>
      <c r="L128" s="205">
        <v>89.699167311622773</v>
      </c>
      <c r="M128" s="205" t="s">
        <v>820</v>
      </c>
    </row>
    <row r="129" spans="1:13" x14ac:dyDescent="0.25">
      <c r="A129">
        <v>128</v>
      </c>
      <c r="B129" t="s">
        <v>822</v>
      </c>
      <c r="C129" t="s">
        <v>831</v>
      </c>
      <c r="D129">
        <v>8</v>
      </c>
      <c r="E129" s="203">
        <v>0.4143398279372541</v>
      </c>
      <c r="F129" s="203">
        <v>66.068737524182936</v>
      </c>
      <c r="G129" s="203" t="s">
        <v>819</v>
      </c>
      <c r="H129" s="204">
        <v>4.3136861037731261E-2</v>
      </c>
      <c r="I129" s="204">
        <v>51.720378211224237</v>
      </c>
      <c r="J129" s="204" t="s">
        <v>819</v>
      </c>
      <c r="K129" s="205">
        <v>1.2255931201748762</v>
      </c>
      <c r="L129" s="205">
        <v>88.982408594631167</v>
      </c>
      <c r="M129" s="205" t="s">
        <v>820</v>
      </c>
    </row>
    <row r="130" spans="1:13" x14ac:dyDescent="0.25">
      <c r="A130">
        <v>129</v>
      </c>
      <c r="B130" t="s">
        <v>822</v>
      </c>
      <c r="C130" t="s">
        <v>831</v>
      </c>
      <c r="D130">
        <v>9</v>
      </c>
      <c r="E130" s="203">
        <v>-0.48610775432556563</v>
      </c>
      <c r="F130" s="203">
        <v>31.344538466551587</v>
      </c>
      <c r="G130" s="203" t="s">
        <v>819</v>
      </c>
      <c r="H130" s="204">
        <v>-0.4384571025713272</v>
      </c>
      <c r="I130" s="204">
        <v>33.052748011687825</v>
      </c>
      <c r="J130" s="204" t="s">
        <v>819</v>
      </c>
      <c r="K130" s="205">
        <v>-1.1673245487744919</v>
      </c>
      <c r="L130" s="205">
        <v>12.153966424886603</v>
      </c>
      <c r="M130" s="205" t="s">
        <v>825</v>
      </c>
    </row>
    <row r="131" spans="1:13" x14ac:dyDescent="0.25">
      <c r="A131">
        <v>130</v>
      </c>
      <c r="B131" t="s">
        <v>822</v>
      </c>
      <c r="C131" t="s">
        <v>831</v>
      </c>
      <c r="D131">
        <v>9</v>
      </c>
      <c r="E131" s="203">
        <v>2.4234537377788263</v>
      </c>
      <c r="F131" s="203">
        <v>99.231314437761213</v>
      </c>
      <c r="G131" s="203" t="s">
        <v>816</v>
      </c>
      <c r="H131" s="204">
        <v>-1.1805977899261451</v>
      </c>
      <c r="I131" s="204">
        <v>11.888127101090101</v>
      </c>
      <c r="J131" s="204" t="s">
        <v>819</v>
      </c>
      <c r="K131" s="205">
        <v>2.0188340620204364</v>
      </c>
      <c r="L131" s="205">
        <v>97.824776526735562</v>
      </c>
      <c r="M131" s="205" t="s">
        <v>820</v>
      </c>
    </row>
    <row r="132" spans="1:13" x14ac:dyDescent="0.25">
      <c r="A132">
        <v>131</v>
      </c>
      <c r="B132" t="s">
        <v>822</v>
      </c>
      <c r="C132" t="s">
        <v>830</v>
      </c>
      <c r="D132">
        <v>8</v>
      </c>
      <c r="E132" s="203">
        <v>-0.47709931690849172</v>
      </c>
      <c r="F132" s="203">
        <v>31.664570054070907</v>
      </c>
      <c r="G132" s="203" t="s">
        <v>819</v>
      </c>
      <c r="H132" s="204">
        <v>-1.6462602639267994</v>
      </c>
      <c r="I132" s="204">
        <v>4.9855093343361441</v>
      </c>
      <c r="J132" s="204" t="s">
        <v>824</v>
      </c>
      <c r="K132" s="205">
        <v>1.1806343736508942</v>
      </c>
      <c r="L132" s="205">
        <v>88.112599885439806</v>
      </c>
      <c r="M132" s="205" t="s">
        <v>820</v>
      </c>
    </row>
    <row r="133" spans="1:13" x14ac:dyDescent="0.25">
      <c r="A133">
        <v>132</v>
      </c>
      <c r="B133" t="s">
        <v>822</v>
      </c>
      <c r="C133" t="s">
        <v>831</v>
      </c>
      <c r="D133">
        <v>9</v>
      </c>
      <c r="E133" s="203">
        <v>-1.9079511953252067E-3</v>
      </c>
      <c r="F133" s="203">
        <v>49.923883806104918</v>
      </c>
      <c r="G133" s="203" t="s">
        <v>819</v>
      </c>
      <c r="H133" s="204">
        <v>-0.31475385858521837</v>
      </c>
      <c r="I133" s="204">
        <v>37.647427388780287</v>
      </c>
      <c r="J133" s="204" t="s">
        <v>819</v>
      </c>
      <c r="K133" s="205">
        <v>0.69168142432363433</v>
      </c>
      <c r="L133" s="205">
        <v>75.543129254132708</v>
      </c>
      <c r="M133" s="205" t="s">
        <v>819</v>
      </c>
    </row>
    <row r="134" spans="1:13" x14ac:dyDescent="0.25">
      <c r="A134">
        <v>133</v>
      </c>
      <c r="B134" t="s">
        <v>822</v>
      </c>
      <c r="C134" t="s">
        <v>830</v>
      </c>
      <c r="D134">
        <v>9</v>
      </c>
      <c r="E134" s="203">
        <v>-1.1590063823968033</v>
      </c>
      <c r="F134" s="203">
        <v>12.322679174680074</v>
      </c>
      <c r="G134" s="203" t="s">
        <v>819</v>
      </c>
      <c r="H134" s="204">
        <v>-1.7524440070228804</v>
      </c>
      <c r="I134" s="204">
        <v>3.9848744988225966</v>
      </c>
      <c r="J134" s="204" t="s">
        <v>824</v>
      </c>
      <c r="K134" s="205">
        <v>2.8802433864111701E-2</v>
      </c>
      <c r="L134" s="205">
        <v>51.148892012813228</v>
      </c>
      <c r="M134" s="205" t="s">
        <v>819</v>
      </c>
    </row>
    <row r="135" spans="1:13" x14ac:dyDescent="0.25">
      <c r="A135">
        <v>134</v>
      </c>
      <c r="B135" t="s">
        <v>822</v>
      </c>
      <c r="C135" t="s">
        <v>831</v>
      </c>
      <c r="D135">
        <v>8</v>
      </c>
      <c r="E135" s="203">
        <v>-0.65593014161240959</v>
      </c>
      <c r="F135" s="203">
        <v>25.593453672680756</v>
      </c>
      <c r="G135" s="203" t="s">
        <v>819</v>
      </c>
      <c r="H135" s="204">
        <v>-0.81303314277945693</v>
      </c>
      <c r="I135" s="204">
        <v>20.809952816562713</v>
      </c>
      <c r="J135" s="204" t="s">
        <v>819</v>
      </c>
      <c r="K135" s="205">
        <v>0.42164262846089362</v>
      </c>
      <c r="L135" s="205">
        <v>66.335705682337661</v>
      </c>
      <c r="M135" s="205" t="s">
        <v>819</v>
      </c>
    </row>
    <row r="136" spans="1:13" x14ac:dyDescent="0.25">
      <c r="A136">
        <v>135</v>
      </c>
      <c r="B136" t="s">
        <v>822</v>
      </c>
      <c r="C136" t="s">
        <v>831</v>
      </c>
      <c r="D136">
        <v>9</v>
      </c>
      <c r="E136" s="203">
        <v>-0.4058650948048666</v>
      </c>
      <c r="F136" s="203">
        <v>34.242086313412948</v>
      </c>
      <c r="G136" s="203" t="s">
        <v>819</v>
      </c>
      <c r="H136" s="204">
        <v>6.9826511579564529E-2</v>
      </c>
      <c r="I136" s="204">
        <v>52.783412725708068</v>
      </c>
      <c r="J136" s="204" t="s">
        <v>819</v>
      </c>
      <c r="K136" s="205">
        <v>0.7041491383475984</v>
      </c>
      <c r="L136" s="205">
        <v>75.933004921083125</v>
      </c>
      <c r="M136" s="205" t="s">
        <v>819</v>
      </c>
    </row>
    <row r="137" spans="1:13" x14ac:dyDescent="0.25">
      <c r="A137">
        <v>136</v>
      </c>
      <c r="B137" t="s">
        <v>822</v>
      </c>
      <c r="C137" t="s">
        <v>830</v>
      </c>
      <c r="D137">
        <v>9</v>
      </c>
      <c r="E137" s="203">
        <v>-1.6682759388959867</v>
      </c>
      <c r="F137" s="203">
        <v>4.7630481037742971</v>
      </c>
      <c r="G137" s="203" t="s">
        <v>818</v>
      </c>
      <c r="H137" s="204">
        <v>-0.94439054049515381</v>
      </c>
      <c r="I137" s="204">
        <v>17.2485056807893</v>
      </c>
      <c r="J137" s="204" t="s">
        <v>819</v>
      </c>
      <c r="K137" s="205">
        <v>-0.70408138418487309</v>
      </c>
      <c r="L137" s="205">
        <v>24.069104625686833</v>
      </c>
      <c r="M137" s="205" t="s">
        <v>819</v>
      </c>
    </row>
    <row r="138" spans="1:13" x14ac:dyDescent="0.25">
      <c r="A138">
        <v>137</v>
      </c>
      <c r="B138" t="s">
        <v>822</v>
      </c>
      <c r="C138" t="s">
        <v>830</v>
      </c>
      <c r="D138">
        <v>10</v>
      </c>
      <c r="E138" s="203">
        <v>-0.56662866675215506</v>
      </c>
      <c r="F138" s="203">
        <v>28.548324717162888</v>
      </c>
      <c r="G138" s="203" t="s">
        <v>819</v>
      </c>
      <c r="H138" s="204">
        <v>-0.8157174285276203</v>
      </c>
      <c r="I138" s="204">
        <v>20.733088428455297</v>
      </c>
      <c r="J138" s="204" t="s">
        <v>819</v>
      </c>
      <c r="K138" s="205">
        <v>1.8114146965859341</v>
      </c>
      <c r="L138" s="205">
        <v>96.496165865084492</v>
      </c>
      <c r="M138" s="205" t="s">
        <v>820</v>
      </c>
    </row>
    <row r="139" spans="1:13" x14ac:dyDescent="0.25">
      <c r="A139">
        <v>138</v>
      </c>
      <c r="B139" t="s">
        <v>822</v>
      </c>
      <c r="C139" t="s">
        <v>830</v>
      </c>
      <c r="D139">
        <v>10</v>
      </c>
      <c r="E139" s="203">
        <v>0.87061184619625398</v>
      </c>
      <c r="F139" s="203">
        <v>80.801693696302436</v>
      </c>
      <c r="G139" s="203" t="s">
        <v>819</v>
      </c>
      <c r="H139" s="204">
        <v>1.9001472003080715E-2</v>
      </c>
      <c r="I139" s="204">
        <v>50.75800344330743</v>
      </c>
      <c r="J139" s="204" t="s">
        <v>819</v>
      </c>
      <c r="K139" s="205">
        <v>-0.20535333075303536</v>
      </c>
      <c r="L139" s="205">
        <v>41.864803992833863</v>
      </c>
      <c r="M139" s="205" t="s">
        <v>819</v>
      </c>
    </row>
    <row r="140" spans="1:13" x14ac:dyDescent="0.25">
      <c r="A140">
        <v>139</v>
      </c>
      <c r="B140" t="s">
        <v>822</v>
      </c>
      <c r="C140" t="s">
        <v>831</v>
      </c>
      <c r="D140">
        <v>11</v>
      </c>
      <c r="E140" s="203">
        <v>-0.32289876353035579</v>
      </c>
      <c r="F140" s="203">
        <v>37.338595637935441</v>
      </c>
      <c r="G140" s="203" t="s">
        <v>819</v>
      </c>
      <c r="H140" s="204">
        <v>-1.3687424607592813</v>
      </c>
      <c r="I140" s="204">
        <v>8.553989628441574</v>
      </c>
      <c r="J140" s="204" t="s">
        <v>819</v>
      </c>
      <c r="K140" s="205">
        <v>2.3671579543072552</v>
      </c>
      <c r="L140" s="205">
        <v>99.10373596550815</v>
      </c>
      <c r="M140" s="205" t="s">
        <v>820</v>
      </c>
    </row>
    <row r="141" spans="1:13" x14ac:dyDescent="0.25">
      <c r="A141">
        <v>140</v>
      </c>
      <c r="B141" t="s">
        <v>822</v>
      </c>
      <c r="C141" t="s">
        <v>831</v>
      </c>
      <c r="D141">
        <v>11</v>
      </c>
      <c r="E141" s="203">
        <v>1.5213190243952899</v>
      </c>
      <c r="F141" s="203">
        <v>93.591010080337767</v>
      </c>
      <c r="G141" s="203" t="s">
        <v>819</v>
      </c>
      <c r="H141" s="204">
        <v>0.30815365041334786</v>
      </c>
      <c r="I141" s="204">
        <v>62.101729049969002</v>
      </c>
      <c r="J141" s="204" t="s">
        <v>819</v>
      </c>
      <c r="K141" s="205">
        <v>4.0796837277686142E-3</v>
      </c>
      <c r="L141" s="205">
        <v>50.162755381488608</v>
      </c>
      <c r="M141" s="205" t="s">
        <v>819</v>
      </c>
    </row>
    <row r="142" spans="1:13" x14ac:dyDescent="0.25">
      <c r="A142">
        <v>141</v>
      </c>
      <c r="B142" t="s">
        <v>826</v>
      </c>
      <c r="C142" t="s">
        <v>831</v>
      </c>
      <c r="D142">
        <v>4</v>
      </c>
      <c r="E142" s="203">
        <v>1.0223446226548947</v>
      </c>
      <c r="F142" s="203">
        <v>84.66910897721452</v>
      </c>
      <c r="G142" s="203" t="s">
        <v>819</v>
      </c>
      <c r="H142" s="204">
        <v>-1.0449687957894231</v>
      </c>
      <c r="I142" s="204">
        <v>14.801869583832975</v>
      </c>
      <c r="J142" s="204" t="s">
        <v>819</v>
      </c>
      <c r="K142" s="205">
        <v>1.0782716506236525</v>
      </c>
      <c r="L142" s="205">
        <v>85.954372768513224</v>
      </c>
      <c r="M142" s="205" t="s">
        <v>820</v>
      </c>
    </row>
    <row r="143" spans="1:13" x14ac:dyDescent="0.25">
      <c r="A143">
        <v>142</v>
      </c>
      <c r="B143" t="s">
        <v>826</v>
      </c>
      <c r="C143" t="s">
        <v>831</v>
      </c>
      <c r="D143">
        <v>4</v>
      </c>
      <c r="E143" s="203">
        <v>-1.9151940258239506</v>
      </c>
      <c r="F143" s="203">
        <v>2.7733882049446037</v>
      </c>
      <c r="G143" s="203" t="s">
        <v>818</v>
      </c>
      <c r="H143" s="204">
        <v>0.48780449909209267</v>
      </c>
      <c r="I143" s="204">
        <v>68.715583784016872</v>
      </c>
      <c r="J143" s="204" t="s">
        <v>819</v>
      </c>
      <c r="K143" s="205">
        <v>2.2998135775056494</v>
      </c>
      <c r="L143" s="205">
        <v>98.927060804903135</v>
      </c>
      <c r="M143" s="205" t="s">
        <v>820</v>
      </c>
    </row>
    <row r="144" spans="1:13" x14ac:dyDescent="0.25">
      <c r="A144">
        <v>143</v>
      </c>
      <c r="B144" t="s">
        <v>826</v>
      </c>
      <c r="C144" t="s">
        <v>831</v>
      </c>
      <c r="D144">
        <v>4</v>
      </c>
      <c r="E144" s="203">
        <v>-1.5626627909162658</v>
      </c>
      <c r="F144" s="203">
        <v>5.9065965365023656</v>
      </c>
      <c r="G144" s="203" t="s">
        <v>819</v>
      </c>
      <c r="H144" s="204">
        <v>-1.9920878639301964</v>
      </c>
      <c r="I144" s="204">
        <v>2.3180709147529366</v>
      </c>
      <c r="J144" s="204" t="s">
        <v>824</v>
      </c>
      <c r="K144" s="205">
        <v>0.89728726618920185</v>
      </c>
      <c r="L144" s="205">
        <v>81.521717522308009</v>
      </c>
      <c r="M144" s="205" t="s">
        <v>819</v>
      </c>
    </row>
    <row r="145" spans="1:13" x14ac:dyDescent="0.25">
      <c r="A145">
        <v>144</v>
      </c>
      <c r="B145" t="s">
        <v>826</v>
      </c>
      <c r="C145" t="s">
        <v>830</v>
      </c>
      <c r="D145">
        <v>3</v>
      </c>
      <c r="E145" s="203">
        <v>-1.8674476065922416</v>
      </c>
      <c r="F145" s="203">
        <v>3.0919553472769445</v>
      </c>
      <c r="G145" s="203" t="s">
        <v>818</v>
      </c>
      <c r="H145" s="204">
        <v>-0.35618388203598339</v>
      </c>
      <c r="I145" s="204">
        <v>36.085143087272691</v>
      </c>
      <c r="J145" s="204" t="s">
        <v>819</v>
      </c>
      <c r="K145" s="205">
        <v>0.30109516461762631</v>
      </c>
      <c r="L145" s="205">
        <v>61.83290359394249</v>
      </c>
      <c r="M145" s="205" t="s">
        <v>819</v>
      </c>
    </row>
    <row r="146" spans="1:13" x14ac:dyDescent="0.25">
      <c r="A146">
        <v>145</v>
      </c>
      <c r="B146" t="s">
        <v>826</v>
      </c>
      <c r="C146" t="s">
        <v>830</v>
      </c>
      <c r="D146">
        <v>3</v>
      </c>
      <c r="E146" s="203">
        <v>-1.1317315932288114</v>
      </c>
      <c r="F146" s="203">
        <v>12.887364743793601</v>
      </c>
      <c r="G146" s="203" t="s">
        <v>819</v>
      </c>
      <c r="H146" s="204">
        <v>1.0213156936919496</v>
      </c>
      <c r="I146" s="204">
        <v>84.644755329590012</v>
      </c>
      <c r="J146" s="204" t="s">
        <v>819</v>
      </c>
      <c r="K146" s="205">
        <v>2.238501257191779E-2</v>
      </c>
      <c r="L146" s="205">
        <v>50.892958220377452</v>
      </c>
      <c r="M146" s="205" t="s">
        <v>819</v>
      </c>
    </row>
    <row r="147" spans="1:13" x14ac:dyDescent="0.25">
      <c r="A147">
        <v>146</v>
      </c>
      <c r="B147" t="s">
        <v>826</v>
      </c>
      <c r="C147" t="s">
        <v>830</v>
      </c>
      <c r="D147">
        <v>4</v>
      </c>
      <c r="E147" s="203">
        <v>-1.2854096400427388</v>
      </c>
      <c r="F147" s="203">
        <v>9.9324587143802372</v>
      </c>
      <c r="G147" s="203" t="s">
        <v>819</v>
      </c>
      <c r="H147" s="204">
        <v>-9.3970195159689948E-2</v>
      </c>
      <c r="I147" s="204">
        <v>46.256641638027425</v>
      </c>
      <c r="J147" s="204" t="s">
        <v>819</v>
      </c>
      <c r="K147" s="205">
        <v>0.25844120705306228</v>
      </c>
      <c r="L147" s="205">
        <v>60.196679108407046</v>
      </c>
      <c r="M147" s="205" t="s">
        <v>819</v>
      </c>
    </row>
    <row r="148" spans="1:13" x14ac:dyDescent="0.25">
      <c r="A148">
        <v>147</v>
      </c>
      <c r="B148" t="s">
        <v>826</v>
      </c>
      <c r="C148" t="s">
        <v>831</v>
      </c>
      <c r="D148">
        <v>4</v>
      </c>
      <c r="E148" s="203">
        <v>-0.61336997824985207</v>
      </c>
      <c r="F148" s="203">
        <v>26.981586610309648</v>
      </c>
      <c r="G148" s="203" t="s">
        <v>819</v>
      </c>
      <c r="H148" s="204">
        <v>0.21202582706685014</v>
      </c>
      <c r="I148" s="204">
        <v>58.395655736189966</v>
      </c>
      <c r="J148" s="204" t="s">
        <v>819</v>
      </c>
      <c r="K148" s="205">
        <v>0.91391071053870709</v>
      </c>
      <c r="L148" s="205">
        <v>81.961811736339314</v>
      </c>
      <c r="M148" s="205" t="s">
        <v>819</v>
      </c>
    </row>
    <row r="149" spans="1:13" x14ac:dyDescent="0.25">
      <c r="A149">
        <v>148</v>
      </c>
      <c r="B149" t="s">
        <v>826</v>
      </c>
      <c r="C149" t="s">
        <v>830</v>
      </c>
      <c r="D149">
        <v>5</v>
      </c>
      <c r="E149" s="203">
        <v>-0.50681484890726403</v>
      </c>
      <c r="F149" s="203">
        <v>30.614236827250739</v>
      </c>
      <c r="G149" s="203" t="s">
        <v>819</v>
      </c>
      <c r="H149" s="204">
        <v>-0.80666991529339571</v>
      </c>
      <c r="I149" s="204">
        <v>20.992834067025104</v>
      </c>
      <c r="J149" s="204" t="s">
        <v>819</v>
      </c>
      <c r="K149" s="205">
        <v>1.4624355260382313</v>
      </c>
      <c r="L149" s="205">
        <v>92.81890499265603</v>
      </c>
      <c r="M149" s="205" t="s">
        <v>820</v>
      </c>
    </row>
    <row r="150" spans="1:13" x14ac:dyDescent="0.25">
      <c r="A150">
        <v>149</v>
      </c>
      <c r="B150" t="s">
        <v>826</v>
      </c>
      <c r="C150" t="s">
        <v>831</v>
      </c>
      <c r="D150">
        <v>5</v>
      </c>
      <c r="E150" s="203">
        <v>-1.7684776664541455</v>
      </c>
      <c r="F150" s="203">
        <v>3.8490541311852535</v>
      </c>
      <c r="G150" s="203" t="s">
        <v>818</v>
      </c>
      <c r="H150" s="204">
        <v>6.6054591063554061E-2</v>
      </c>
      <c r="I150" s="204">
        <v>52.633281853379252</v>
      </c>
      <c r="J150" s="204" t="s">
        <v>819</v>
      </c>
      <c r="K150" s="205">
        <v>0.36465734659589272</v>
      </c>
      <c r="L150" s="205">
        <v>64.231639915022342</v>
      </c>
      <c r="M150" s="205" t="s">
        <v>819</v>
      </c>
    </row>
    <row r="151" spans="1:13" x14ac:dyDescent="0.25">
      <c r="A151">
        <v>150</v>
      </c>
      <c r="B151" t="s">
        <v>826</v>
      </c>
      <c r="C151" t="s">
        <v>830</v>
      </c>
      <c r="D151">
        <v>5</v>
      </c>
      <c r="E151" s="203">
        <v>-1.8924237778669124</v>
      </c>
      <c r="F151" s="203">
        <v>2.9217270203828747</v>
      </c>
      <c r="G151" s="203" t="s">
        <v>818</v>
      </c>
      <c r="H151" s="204">
        <v>-2.5450154163552994</v>
      </c>
      <c r="I151" s="204">
        <v>0.54636456912972142</v>
      </c>
      <c r="J151" s="204" t="s">
        <v>824</v>
      </c>
      <c r="K151" s="205">
        <v>1.0430198196644769</v>
      </c>
      <c r="L151" s="205">
        <v>85.153044325848327</v>
      </c>
      <c r="M151" s="205" t="s">
        <v>820</v>
      </c>
    </row>
    <row r="152" spans="1:13" x14ac:dyDescent="0.25">
      <c r="A152">
        <v>151</v>
      </c>
      <c r="B152" t="s">
        <v>826</v>
      </c>
      <c r="C152" t="s">
        <v>831</v>
      </c>
      <c r="D152">
        <v>5</v>
      </c>
      <c r="E152" s="203">
        <v>-0.50945723473381144</v>
      </c>
      <c r="F152" s="203">
        <v>30.521588346978991</v>
      </c>
      <c r="G152" s="203" t="s">
        <v>819</v>
      </c>
      <c r="H152" s="204">
        <v>-0.42752585573606289</v>
      </c>
      <c r="I152" s="204">
        <v>33.449817844755799</v>
      </c>
      <c r="J152" s="204" t="s">
        <v>819</v>
      </c>
      <c r="K152" s="205">
        <v>-0.35280566270804786</v>
      </c>
      <c r="L152" s="205">
        <v>36.211706910177035</v>
      </c>
      <c r="M152" s="205" t="s">
        <v>819</v>
      </c>
    </row>
    <row r="153" spans="1:13" x14ac:dyDescent="0.25">
      <c r="A153">
        <v>152</v>
      </c>
      <c r="B153" t="s">
        <v>826</v>
      </c>
      <c r="C153" t="s">
        <v>830</v>
      </c>
      <c r="D153">
        <v>5</v>
      </c>
      <c r="E153" s="203">
        <v>-1.9915204117241241</v>
      </c>
      <c r="F153" s="203">
        <v>2.3211851732440447</v>
      </c>
      <c r="G153" s="203" t="s">
        <v>818</v>
      </c>
      <c r="H153" s="204">
        <v>-0.67103233751897473</v>
      </c>
      <c r="I153" s="204">
        <v>25.109996461515692</v>
      </c>
      <c r="J153" s="204" t="s">
        <v>819</v>
      </c>
      <c r="K153" s="205">
        <v>0.66696605738564074</v>
      </c>
      <c r="L153" s="205">
        <v>74.760309267577867</v>
      </c>
      <c r="M153" s="205" t="s">
        <v>819</v>
      </c>
    </row>
    <row r="154" spans="1:13" x14ac:dyDescent="0.25">
      <c r="A154">
        <v>153</v>
      </c>
      <c r="B154" t="s">
        <v>826</v>
      </c>
      <c r="C154" t="s">
        <v>830</v>
      </c>
      <c r="D154">
        <v>4</v>
      </c>
      <c r="E154" s="203">
        <v>-0.84814410279819552</v>
      </c>
      <c r="F154" s="203">
        <v>19.81788613409061</v>
      </c>
      <c r="G154" s="203" t="s">
        <v>819</v>
      </c>
      <c r="H154" s="204">
        <v>1.0051946832313068</v>
      </c>
      <c r="I154" s="204">
        <v>84.259844259053423</v>
      </c>
      <c r="J154" s="204" t="s">
        <v>819</v>
      </c>
      <c r="K154" s="205">
        <v>2.209001817924474E-2</v>
      </c>
      <c r="L154" s="205">
        <v>50.881192556310076</v>
      </c>
      <c r="M154" s="205" t="s">
        <v>819</v>
      </c>
    </row>
    <row r="155" spans="1:13" x14ac:dyDescent="0.25">
      <c r="A155">
        <v>154</v>
      </c>
      <c r="B155" t="s">
        <v>826</v>
      </c>
      <c r="C155" t="s">
        <v>831</v>
      </c>
      <c r="D155">
        <v>4</v>
      </c>
      <c r="E155" s="203">
        <v>0.29455469293953035</v>
      </c>
      <c r="F155" s="203">
        <v>61.583296147569143</v>
      </c>
      <c r="G155" s="203" t="s">
        <v>819</v>
      </c>
      <c r="H155" s="204">
        <v>0.75302665423905035</v>
      </c>
      <c r="I155" s="204">
        <v>77.42830514229297</v>
      </c>
      <c r="J155" s="204" t="s">
        <v>819</v>
      </c>
      <c r="K155" s="205">
        <v>-0.34224867893941002</v>
      </c>
      <c r="L155" s="205">
        <v>36.60818770858171</v>
      </c>
      <c r="M155" s="205" t="s">
        <v>819</v>
      </c>
    </row>
    <row r="156" spans="1:13" x14ac:dyDescent="0.25">
      <c r="A156">
        <v>155</v>
      </c>
      <c r="B156" t="s">
        <v>826</v>
      </c>
      <c r="C156" t="s">
        <v>831</v>
      </c>
      <c r="D156">
        <v>5</v>
      </c>
      <c r="E156" s="203">
        <v>-0.75335172026152097</v>
      </c>
      <c r="F156" s="203">
        <v>22.561929338786662</v>
      </c>
      <c r="G156" s="203" t="s">
        <v>819</v>
      </c>
      <c r="H156" s="204">
        <v>1.285018196057262</v>
      </c>
      <c r="I156" s="204">
        <v>90.060703722501501</v>
      </c>
      <c r="J156" s="204" t="s">
        <v>819</v>
      </c>
      <c r="K156" s="205">
        <v>-1.3469699797282495</v>
      </c>
      <c r="L156" s="205">
        <v>8.8994950707240186</v>
      </c>
      <c r="M156" s="205" t="s">
        <v>825</v>
      </c>
    </row>
    <row r="157" spans="1:13" x14ac:dyDescent="0.25">
      <c r="A157">
        <v>156</v>
      </c>
      <c r="B157" t="s">
        <v>826</v>
      </c>
      <c r="C157" t="s">
        <v>830</v>
      </c>
      <c r="D157">
        <v>5</v>
      </c>
      <c r="E157" s="203">
        <v>-0.93101643828351133</v>
      </c>
      <c r="F157" s="203">
        <v>17.592253052244857</v>
      </c>
      <c r="G157" s="203" t="s">
        <v>819</v>
      </c>
      <c r="H157" s="204">
        <v>-0.69558883408362249</v>
      </c>
      <c r="I157" s="204">
        <v>24.334318042937696</v>
      </c>
      <c r="J157" s="204" t="s">
        <v>819</v>
      </c>
      <c r="K157" s="205">
        <v>-1.6931504766136962</v>
      </c>
      <c r="L157" s="205">
        <v>4.5213414175202553</v>
      </c>
      <c r="M157" s="205" t="s">
        <v>818</v>
      </c>
    </row>
    <row r="158" spans="1:13" x14ac:dyDescent="0.25">
      <c r="A158">
        <v>157</v>
      </c>
      <c r="B158" t="s">
        <v>826</v>
      </c>
      <c r="C158" t="s">
        <v>831</v>
      </c>
      <c r="D158">
        <v>5</v>
      </c>
      <c r="E158" s="203">
        <v>-1.166702092136924</v>
      </c>
      <c r="F158" s="203">
        <v>12.166534882382921</v>
      </c>
      <c r="G158" s="203" t="s">
        <v>819</v>
      </c>
      <c r="H158" s="204">
        <v>-0.12478816675522819</v>
      </c>
      <c r="I158" s="204">
        <v>45.034562786105781</v>
      </c>
      <c r="J158" s="204" t="s">
        <v>819</v>
      </c>
      <c r="K158" s="205">
        <v>0.77592226160889677</v>
      </c>
      <c r="L158" s="205">
        <v>78.110255626545907</v>
      </c>
      <c r="M158" s="205" t="s">
        <v>819</v>
      </c>
    </row>
    <row r="159" spans="1:13" x14ac:dyDescent="0.25">
      <c r="A159">
        <v>158</v>
      </c>
      <c r="B159" t="s">
        <v>826</v>
      </c>
      <c r="C159" t="s">
        <v>830</v>
      </c>
      <c r="D159">
        <v>5</v>
      </c>
      <c r="E159" s="203">
        <v>0.25946431277480897</v>
      </c>
      <c r="F159" s="203">
        <v>60.236149316924894</v>
      </c>
      <c r="G159" s="203" t="s">
        <v>819</v>
      </c>
      <c r="H159" s="204">
        <v>-2.2339283791645714</v>
      </c>
      <c r="I159" s="204">
        <v>1.2743892964570431</v>
      </c>
      <c r="J159" s="204" t="s">
        <v>824</v>
      </c>
      <c r="K159" s="205">
        <v>3.9165081952480163</v>
      </c>
      <c r="L159" s="205">
        <v>99.995507961842662</v>
      </c>
      <c r="M159" s="205" t="s">
        <v>820</v>
      </c>
    </row>
    <row r="160" spans="1:13" x14ac:dyDescent="0.25">
      <c r="A160">
        <v>159</v>
      </c>
      <c r="B160" t="s">
        <v>826</v>
      </c>
      <c r="C160" t="s">
        <v>831</v>
      </c>
      <c r="D160">
        <v>4</v>
      </c>
      <c r="E160" s="203">
        <v>0.18193092335232774</v>
      </c>
      <c r="F160" s="203">
        <v>57.218153193397626</v>
      </c>
      <c r="G160" s="203" t="s">
        <v>819</v>
      </c>
      <c r="H160" s="204">
        <v>0.49965816157929949</v>
      </c>
      <c r="I160" s="204">
        <v>69.134210153546988</v>
      </c>
      <c r="J160" s="204" t="s">
        <v>819</v>
      </c>
      <c r="K160" s="205">
        <v>1.5169084364737215</v>
      </c>
      <c r="L160" s="205">
        <v>93.535509834743095</v>
      </c>
      <c r="M160" s="205" t="s">
        <v>820</v>
      </c>
    </row>
    <row r="161" spans="1:13" x14ac:dyDescent="0.25">
      <c r="A161">
        <v>160</v>
      </c>
      <c r="B161" t="s">
        <v>826</v>
      </c>
      <c r="C161" t="s">
        <v>830</v>
      </c>
      <c r="D161">
        <v>5</v>
      </c>
      <c r="E161" s="203">
        <v>-0.82217781151570624</v>
      </c>
      <c r="F161" s="203">
        <v>20.548785255638499</v>
      </c>
      <c r="G161" s="203" t="s">
        <v>819</v>
      </c>
      <c r="H161" s="204">
        <v>-0.37934648160243223</v>
      </c>
      <c r="I161" s="204">
        <v>35.221529356735168</v>
      </c>
      <c r="J161" s="204" t="s">
        <v>819</v>
      </c>
      <c r="K161" s="205">
        <v>0.98553155989267338</v>
      </c>
      <c r="L161" s="205">
        <v>83.78184814566221</v>
      </c>
      <c r="M161" s="205" t="s">
        <v>819</v>
      </c>
    </row>
    <row r="162" spans="1:13" x14ac:dyDescent="0.25">
      <c r="A162">
        <v>161</v>
      </c>
      <c r="B162" t="s">
        <v>826</v>
      </c>
      <c r="C162" t="s">
        <v>830</v>
      </c>
      <c r="D162">
        <v>4</v>
      </c>
      <c r="E162" s="203">
        <v>0.24796086605367362</v>
      </c>
      <c r="F162" s="203">
        <v>59.791765713845521</v>
      </c>
      <c r="G162" s="203" t="s">
        <v>819</v>
      </c>
      <c r="H162" s="204">
        <v>0.58651193269965618</v>
      </c>
      <c r="I162" s="204">
        <v>72.123422746483996</v>
      </c>
      <c r="J162" s="204" t="s">
        <v>819</v>
      </c>
      <c r="K162" s="205">
        <v>0.30669489813670592</v>
      </c>
      <c r="L162" s="205">
        <v>62.046219326913985</v>
      </c>
      <c r="M162" s="205" t="s">
        <v>819</v>
      </c>
    </row>
    <row r="163" spans="1:13" x14ac:dyDescent="0.25">
      <c r="A163">
        <v>162</v>
      </c>
      <c r="B163" t="s">
        <v>826</v>
      </c>
      <c r="C163" t="s">
        <v>830</v>
      </c>
      <c r="D163">
        <v>5</v>
      </c>
      <c r="E163" s="203">
        <v>0.24262719224332768</v>
      </c>
      <c r="F163" s="203">
        <v>59.585289291294508</v>
      </c>
      <c r="G163" s="203" t="s">
        <v>819</v>
      </c>
      <c r="H163" s="204">
        <v>-1.2741163718030983</v>
      </c>
      <c r="I163" s="204">
        <v>10.131108853692917</v>
      </c>
      <c r="J163" s="204" t="s">
        <v>819</v>
      </c>
      <c r="K163" s="205">
        <v>2.4790360395930922</v>
      </c>
      <c r="L163" s="205">
        <v>99.341310028031955</v>
      </c>
      <c r="M163" s="205" t="s">
        <v>820</v>
      </c>
    </row>
    <row r="164" spans="1:13" x14ac:dyDescent="0.25">
      <c r="A164">
        <v>163</v>
      </c>
      <c r="B164" t="s">
        <v>826</v>
      </c>
      <c r="C164" t="s">
        <v>830</v>
      </c>
      <c r="D164">
        <v>4</v>
      </c>
      <c r="E164" s="203">
        <v>-0.9547536237188875</v>
      </c>
      <c r="F164" s="203">
        <v>16.985115253886789</v>
      </c>
      <c r="G164" s="203" t="s">
        <v>819</v>
      </c>
      <c r="H164" s="204">
        <v>0.29227826698688264</v>
      </c>
      <c r="I164" s="204">
        <v>61.496306293799371</v>
      </c>
      <c r="J164" s="204" t="s">
        <v>819</v>
      </c>
      <c r="K164" s="205">
        <v>0.70111131206718214</v>
      </c>
      <c r="L164" s="205">
        <v>75.838322433136099</v>
      </c>
      <c r="M164" s="205" t="s">
        <v>819</v>
      </c>
    </row>
    <row r="165" spans="1:13" x14ac:dyDescent="0.25">
      <c r="A165">
        <v>164</v>
      </c>
      <c r="B165" t="s">
        <v>826</v>
      </c>
      <c r="C165" t="s">
        <v>830</v>
      </c>
      <c r="D165">
        <v>4</v>
      </c>
      <c r="E165" s="203">
        <v>-1.2854096400427388</v>
      </c>
      <c r="F165" s="203">
        <v>9.9324587143802372</v>
      </c>
      <c r="G165" s="203" t="s">
        <v>819</v>
      </c>
      <c r="H165" s="204">
        <v>0.12995844543717919</v>
      </c>
      <c r="I165" s="204">
        <v>55.170034823094369</v>
      </c>
      <c r="J165" s="204" t="s">
        <v>819</v>
      </c>
      <c r="K165" s="205">
        <v>0.53874142383947199</v>
      </c>
      <c r="L165" s="205">
        <v>70.496735667612299</v>
      </c>
      <c r="M165" s="205" t="s">
        <v>819</v>
      </c>
    </row>
    <row r="166" spans="1:13" x14ac:dyDescent="0.25">
      <c r="A166">
        <v>165</v>
      </c>
      <c r="B166" t="s">
        <v>826</v>
      </c>
      <c r="C166" t="s">
        <v>831</v>
      </c>
      <c r="D166">
        <v>3</v>
      </c>
      <c r="E166" s="203">
        <v>-0.53022680661738031</v>
      </c>
      <c r="F166" s="203">
        <v>29.797734358787974</v>
      </c>
      <c r="G166" s="203" t="s">
        <v>819</v>
      </c>
      <c r="H166" s="204">
        <v>5.4277545320889097E-2</v>
      </c>
      <c r="I166" s="204">
        <v>52.1642980292891</v>
      </c>
      <c r="J166" s="204" t="s">
        <v>819</v>
      </c>
      <c r="K166" s="205">
        <v>-0.84028947761814143</v>
      </c>
      <c r="L166" s="205">
        <v>20.037304986882244</v>
      </c>
      <c r="M166" s="205" t="s">
        <v>819</v>
      </c>
    </row>
    <row r="167" spans="1:13" x14ac:dyDescent="0.25">
      <c r="A167">
        <v>166</v>
      </c>
      <c r="B167" t="s">
        <v>826</v>
      </c>
      <c r="C167" t="s">
        <v>830</v>
      </c>
      <c r="D167">
        <v>3</v>
      </c>
      <c r="E167" s="203">
        <v>-1.6105638764081873</v>
      </c>
      <c r="F167" s="203">
        <v>5.3637406284311444</v>
      </c>
      <c r="G167" s="203" t="s">
        <v>819</v>
      </c>
      <c r="H167" s="204">
        <v>0.68659183686003578</v>
      </c>
      <c r="I167" s="204">
        <v>75.383001298697863</v>
      </c>
      <c r="J167" s="204" t="s">
        <v>819</v>
      </c>
      <c r="K167" s="205">
        <v>-2.362013517465868E-2</v>
      </c>
      <c r="L167" s="205">
        <v>49.057780554216244</v>
      </c>
      <c r="M167" s="205" t="s">
        <v>819</v>
      </c>
    </row>
    <row r="168" spans="1:13" x14ac:dyDescent="0.25">
      <c r="A168">
        <v>167</v>
      </c>
      <c r="B168" t="s">
        <v>826</v>
      </c>
      <c r="C168" t="s">
        <v>831</v>
      </c>
      <c r="D168">
        <v>3</v>
      </c>
      <c r="E168" s="203">
        <v>-2.1975827730321735</v>
      </c>
      <c r="F168" s="203">
        <v>1.3989425982179646</v>
      </c>
      <c r="G168" s="203" t="s">
        <v>818</v>
      </c>
      <c r="H168" s="204">
        <v>-0.1683637334294931</v>
      </c>
      <c r="I168" s="204">
        <v>43.314856866194951</v>
      </c>
      <c r="J168" s="204" t="s">
        <v>819</v>
      </c>
      <c r="K168" s="205">
        <v>0.84895724786097804</v>
      </c>
      <c r="L168" s="205">
        <v>80.204745909598827</v>
      </c>
      <c r="M168" s="205" t="s">
        <v>819</v>
      </c>
    </row>
    <row r="169" spans="1:13" x14ac:dyDescent="0.25">
      <c r="A169">
        <v>168</v>
      </c>
      <c r="B169" t="s">
        <v>826</v>
      </c>
      <c r="C169" t="s">
        <v>830</v>
      </c>
      <c r="D169">
        <v>2</v>
      </c>
      <c r="E169" s="203">
        <v>-0.93529502067988712</v>
      </c>
      <c r="F169" s="203">
        <v>17.481814035338232</v>
      </c>
      <c r="G169" s="203" t="s">
        <v>819</v>
      </c>
      <c r="H169" s="204">
        <v>-0.14233671476709586</v>
      </c>
      <c r="I169" s="204">
        <v>44.340702377622478</v>
      </c>
      <c r="J169" s="204" t="s">
        <v>819</v>
      </c>
      <c r="K169" s="205">
        <v>-0.51880845129179132</v>
      </c>
      <c r="L169" s="205">
        <v>30.194716192288851</v>
      </c>
      <c r="M169" s="205" t="s">
        <v>819</v>
      </c>
    </row>
    <row r="170" spans="1:13" x14ac:dyDescent="0.25">
      <c r="A170">
        <v>169</v>
      </c>
      <c r="B170" t="s">
        <v>826</v>
      </c>
      <c r="C170" t="s">
        <v>831</v>
      </c>
      <c r="D170">
        <v>2</v>
      </c>
      <c r="E170" s="203">
        <v>-2.2194069844490976</v>
      </c>
      <c r="F170" s="203">
        <v>1.3229524461074191</v>
      </c>
      <c r="G170" s="203" t="s">
        <v>818</v>
      </c>
      <c r="H170" s="204">
        <v>-0.29233519474879149</v>
      </c>
      <c r="I170" s="204">
        <v>38.501517598352386</v>
      </c>
      <c r="J170" s="204" t="s">
        <v>819</v>
      </c>
      <c r="K170" s="205">
        <v>1.2301158185854588</v>
      </c>
      <c r="L170" s="205">
        <v>89.067313137100044</v>
      </c>
      <c r="M170" s="205" t="s">
        <v>820</v>
      </c>
    </row>
    <row r="171" spans="1:13" x14ac:dyDescent="0.25">
      <c r="A171">
        <v>170</v>
      </c>
      <c r="B171" t="s">
        <v>826</v>
      </c>
      <c r="C171" t="s">
        <v>830</v>
      </c>
      <c r="D171">
        <v>3</v>
      </c>
      <c r="E171" s="203">
        <v>-0.61153224027067421</v>
      </c>
      <c r="F171" s="203">
        <v>27.042364060820677</v>
      </c>
      <c r="G171" s="203" t="s">
        <v>819</v>
      </c>
      <c r="H171" s="204">
        <v>1.0444181389579772</v>
      </c>
      <c r="I171" s="204">
        <v>85.185401249360496</v>
      </c>
      <c r="J171" s="204" t="s">
        <v>819</v>
      </c>
      <c r="K171" s="205">
        <v>0.31990051045852091</v>
      </c>
      <c r="L171" s="205">
        <v>62.547812454984907</v>
      </c>
      <c r="M171" s="205" t="s">
        <v>819</v>
      </c>
    </row>
    <row r="172" spans="1:13" x14ac:dyDescent="0.25">
      <c r="A172">
        <v>171</v>
      </c>
      <c r="B172" t="s">
        <v>826</v>
      </c>
      <c r="C172" t="s">
        <v>830</v>
      </c>
      <c r="D172">
        <v>3</v>
      </c>
      <c r="E172" s="203">
        <v>-1.9801502940252083</v>
      </c>
      <c r="F172" s="203">
        <v>2.384332160726061</v>
      </c>
      <c r="G172" s="203" t="s">
        <v>818</v>
      </c>
      <c r="H172" s="204">
        <v>1.4249937045086871</v>
      </c>
      <c r="I172" s="204">
        <v>92.2920489540885</v>
      </c>
      <c r="J172" s="204" t="s">
        <v>819</v>
      </c>
      <c r="K172" s="205">
        <v>-0.76007991910139872</v>
      </c>
      <c r="L172" s="205">
        <v>22.360340754889602</v>
      </c>
      <c r="M172" s="205" t="s">
        <v>819</v>
      </c>
    </row>
    <row r="173" spans="1:13" x14ac:dyDescent="0.25">
      <c r="A173">
        <v>172</v>
      </c>
      <c r="B173" t="s">
        <v>826</v>
      </c>
      <c r="C173" t="s">
        <v>831</v>
      </c>
      <c r="D173">
        <v>2</v>
      </c>
      <c r="E173" s="203">
        <v>-1.1566380263371678</v>
      </c>
      <c r="F173" s="203">
        <v>12.371013968615637</v>
      </c>
      <c r="G173" s="203" t="s">
        <v>819</v>
      </c>
      <c r="H173" s="204">
        <v>-0.36349111256551825</v>
      </c>
      <c r="I173" s="204">
        <v>35.811902536585549</v>
      </c>
      <c r="J173" s="204" t="s">
        <v>819</v>
      </c>
      <c r="K173" s="205">
        <v>-1.2078248140826515</v>
      </c>
      <c r="L173" s="205">
        <v>11.355732730604897</v>
      </c>
      <c r="M173" s="205" t="s">
        <v>825</v>
      </c>
    </row>
    <row r="174" spans="1:13" x14ac:dyDescent="0.25">
      <c r="A174">
        <v>173</v>
      </c>
      <c r="B174" t="s">
        <v>826</v>
      </c>
      <c r="C174" t="s">
        <v>831</v>
      </c>
      <c r="D174">
        <v>4</v>
      </c>
      <c r="E174" s="203">
        <v>-3.9160235555188403</v>
      </c>
      <c r="F174" s="203">
        <v>4.5010728181255552E-3</v>
      </c>
      <c r="G174" s="203" t="s">
        <v>818</v>
      </c>
      <c r="H174" s="204">
        <v>-0.73849335090389723</v>
      </c>
      <c r="I174" s="204">
        <v>23.010735309228</v>
      </c>
      <c r="J174" s="204" t="s">
        <v>819</v>
      </c>
      <c r="K174" s="205">
        <v>-0.19040548961456702</v>
      </c>
      <c r="L174" s="205">
        <v>42.449569813719926</v>
      </c>
      <c r="M174" s="205" t="s">
        <v>819</v>
      </c>
    </row>
    <row r="175" spans="1:13" x14ac:dyDescent="0.25">
      <c r="A175">
        <v>174</v>
      </c>
      <c r="B175" t="s">
        <v>826</v>
      </c>
      <c r="C175" t="s">
        <v>830</v>
      </c>
      <c r="D175">
        <v>4</v>
      </c>
      <c r="E175" s="203">
        <v>7.5471033953068714E-2</v>
      </c>
      <c r="F175" s="203">
        <v>53.008002832599175</v>
      </c>
      <c r="G175" s="203" t="s">
        <v>819</v>
      </c>
      <c r="H175" s="204">
        <v>1.3945101400829938</v>
      </c>
      <c r="I175" s="204">
        <v>91.841819519935626</v>
      </c>
      <c r="J175" s="204" t="s">
        <v>819</v>
      </c>
      <c r="K175" s="205">
        <v>-4.1640075761818836E-2</v>
      </c>
      <c r="L175" s="205">
        <v>48.339281254718216</v>
      </c>
      <c r="M175" s="205" t="s">
        <v>819</v>
      </c>
    </row>
    <row r="176" spans="1:13" x14ac:dyDescent="0.25">
      <c r="A176">
        <v>175</v>
      </c>
      <c r="B176" t="s">
        <v>826</v>
      </c>
      <c r="C176" t="s">
        <v>830</v>
      </c>
      <c r="D176">
        <v>4</v>
      </c>
      <c r="E176" s="203">
        <v>-0.48279504338498413</v>
      </c>
      <c r="F176" s="203">
        <v>31.462063527249619</v>
      </c>
      <c r="G176" s="203" t="s">
        <v>819</v>
      </c>
      <c r="H176" s="204">
        <v>0.88196651052663089</v>
      </c>
      <c r="I176" s="204">
        <v>81.110254110885904</v>
      </c>
      <c r="J176" s="204" t="s">
        <v>819</v>
      </c>
      <c r="K176" s="205">
        <v>0.54998208962996487</v>
      </c>
      <c r="L176" s="205">
        <v>70.883417093005647</v>
      </c>
      <c r="M176" s="205" t="s">
        <v>819</v>
      </c>
    </row>
    <row r="177" spans="1:13" x14ac:dyDescent="0.25">
      <c r="A177">
        <v>176</v>
      </c>
      <c r="B177" t="s">
        <v>826</v>
      </c>
      <c r="C177" t="s">
        <v>831</v>
      </c>
      <c r="D177">
        <v>4</v>
      </c>
      <c r="E177" s="203">
        <v>0.52670687842150321</v>
      </c>
      <c r="F177" s="203">
        <v>70.080142087281587</v>
      </c>
      <c r="G177" s="203" t="s">
        <v>819</v>
      </c>
      <c r="H177" s="204">
        <v>2.4981871139628593</v>
      </c>
      <c r="I177" s="204">
        <v>99.375848576188673</v>
      </c>
      <c r="J177" s="204" t="s">
        <v>817</v>
      </c>
      <c r="K177" s="205">
        <v>-0.4169567226051954</v>
      </c>
      <c r="L177" s="205">
        <v>33.835503147600008</v>
      </c>
      <c r="M177" s="205" t="s">
        <v>819</v>
      </c>
    </row>
    <row r="178" spans="1:13" x14ac:dyDescent="0.25">
      <c r="A178">
        <v>177</v>
      </c>
      <c r="B178" t="s">
        <v>826</v>
      </c>
      <c r="C178" t="s">
        <v>831</v>
      </c>
      <c r="D178">
        <v>4</v>
      </c>
      <c r="E178" s="203">
        <v>-1.1448666114843926</v>
      </c>
      <c r="F178" s="203">
        <v>12.613220839032937</v>
      </c>
      <c r="G178" s="203" t="s">
        <v>819</v>
      </c>
      <c r="H178" s="204">
        <v>1.1962743248798307</v>
      </c>
      <c r="I178" s="204">
        <v>88.420523763325164</v>
      </c>
      <c r="J178" s="204" t="s">
        <v>819</v>
      </c>
      <c r="K178" s="205">
        <v>-0.59833012372055849</v>
      </c>
      <c r="L178" s="205">
        <v>27.480984020221083</v>
      </c>
      <c r="M178" s="205" t="s">
        <v>819</v>
      </c>
    </row>
    <row r="179" spans="1:13" x14ac:dyDescent="0.25">
      <c r="A179">
        <v>178</v>
      </c>
      <c r="B179" t="s">
        <v>826</v>
      </c>
      <c r="C179" t="s">
        <v>830</v>
      </c>
      <c r="D179">
        <v>3</v>
      </c>
      <c r="E179" s="203">
        <v>-1.1317315932288114</v>
      </c>
      <c r="F179" s="203">
        <v>12.887364743793601</v>
      </c>
      <c r="G179" s="203" t="s">
        <v>819</v>
      </c>
      <c r="H179" s="204">
        <v>-1.0791216511942186E-2</v>
      </c>
      <c r="I179" s="204">
        <v>49.569501102949715</v>
      </c>
      <c r="J179" s="204" t="s">
        <v>819</v>
      </c>
      <c r="K179" s="205">
        <v>-0.41065835962543978</v>
      </c>
      <c r="L179" s="205">
        <v>34.066153213919272</v>
      </c>
      <c r="M179" s="205" t="s">
        <v>819</v>
      </c>
    </row>
    <row r="180" spans="1:13" x14ac:dyDescent="0.25">
      <c r="A180">
        <v>179</v>
      </c>
      <c r="B180" t="s">
        <v>826</v>
      </c>
      <c r="C180" t="s">
        <v>830</v>
      </c>
      <c r="D180">
        <v>4</v>
      </c>
      <c r="E180" s="203">
        <v>-0.61705098705762318</v>
      </c>
      <c r="F180" s="203">
        <v>26.860054783191533</v>
      </c>
      <c r="G180" s="203" t="s">
        <v>819</v>
      </c>
      <c r="H180" s="204">
        <v>1.3161933135675652</v>
      </c>
      <c r="I180" s="204">
        <v>90.594541631704274</v>
      </c>
      <c r="J180" s="204" t="s">
        <v>819</v>
      </c>
      <c r="K180" s="205">
        <v>0.7366304974130693</v>
      </c>
      <c r="L180" s="205">
        <v>76.932645825528638</v>
      </c>
      <c r="M180" s="205" t="s">
        <v>819</v>
      </c>
    </row>
    <row r="181" spans="1:13" x14ac:dyDescent="0.25">
      <c r="A181">
        <v>180</v>
      </c>
      <c r="B181" t="s">
        <v>826</v>
      </c>
      <c r="C181" t="s">
        <v>831</v>
      </c>
      <c r="D181">
        <v>4</v>
      </c>
      <c r="E181" s="203">
        <v>-0.49422634580787839</v>
      </c>
      <c r="F181" s="203">
        <v>31.057316771503217</v>
      </c>
      <c r="G181" s="203" t="s">
        <v>819</v>
      </c>
      <c r="H181" s="204">
        <v>-0.91761725241421033</v>
      </c>
      <c r="I181" s="204">
        <v>17.940964121338336</v>
      </c>
      <c r="J181" s="204" t="s">
        <v>819</v>
      </c>
      <c r="K181" s="205">
        <v>-1.2311938483352129</v>
      </c>
      <c r="L181" s="205">
        <v>10.912518582612567</v>
      </c>
      <c r="M181" s="205" t="s">
        <v>825</v>
      </c>
    </row>
    <row r="182" spans="1:13" x14ac:dyDescent="0.25">
      <c r="A182">
        <v>181</v>
      </c>
      <c r="B182" t="s">
        <v>826</v>
      </c>
      <c r="C182" t="s">
        <v>831</v>
      </c>
      <c r="D182">
        <v>4</v>
      </c>
      <c r="E182" s="203">
        <v>-1.4648918194214124</v>
      </c>
      <c r="F182" s="203">
        <v>7.1475217537710272</v>
      </c>
      <c r="G182" s="203" t="s">
        <v>819</v>
      </c>
      <c r="H182" s="204">
        <v>0.45482950277585393</v>
      </c>
      <c r="I182" s="204">
        <v>67.538404827314565</v>
      </c>
      <c r="J182" s="204" t="s">
        <v>819</v>
      </c>
      <c r="K182" s="205">
        <v>-0.64787171958918655</v>
      </c>
      <c r="L182" s="205">
        <v>25.853396170375021</v>
      </c>
      <c r="M182" s="205" t="s">
        <v>819</v>
      </c>
    </row>
    <row r="183" spans="1:13" x14ac:dyDescent="0.25">
      <c r="A183">
        <v>182</v>
      </c>
      <c r="B183" t="s">
        <v>826</v>
      </c>
      <c r="C183" t="s">
        <v>831</v>
      </c>
      <c r="D183">
        <v>4</v>
      </c>
      <c r="E183" s="203">
        <v>-0.59682608674237903</v>
      </c>
      <c r="F183" s="203">
        <v>27.531174964021531</v>
      </c>
      <c r="G183" s="203" t="s">
        <v>819</v>
      </c>
      <c r="H183" s="204">
        <v>0.16063857272745441</v>
      </c>
      <c r="I183" s="204">
        <v>56.381096361990537</v>
      </c>
      <c r="J183" s="204" t="s">
        <v>819</v>
      </c>
      <c r="K183" s="205">
        <v>-0.59511420213035626</v>
      </c>
      <c r="L183" s="205">
        <v>27.588356797044533</v>
      </c>
      <c r="M183" s="205" t="s">
        <v>819</v>
      </c>
    </row>
    <row r="184" spans="1:13" x14ac:dyDescent="0.25">
      <c r="A184">
        <v>183</v>
      </c>
      <c r="B184" t="s">
        <v>826</v>
      </c>
      <c r="C184" t="s">
        <v>830</v>
      </c>
      <c r="D184">
        <v>3</v>
      </c>
      <c r="E184" s="203">
        <v>-1.9889489454196536</v>
      </c>
      <c r="F184" s="203">
        <v>2.3353419256684296</v>
      </c>
      <c r="G184" s="203" t="s">
        <v>818</v>
      </c>
      <c r="H184" s="204">
        <v>1.8166091025596425</v>
      </c>
      <c r="I184" s="204">
        <v>96.536150566420659</v>
      </c>
      <c r="J184" s="204" t="s">
        <v>817</v>
      </c>
      <c r="K184" s="205">
        <v>-0.16060776489888612</v>
      </c>
      <c r="L184" s="205">
        <v>43.620116939689261</v>
      </c>
      <c r="M184" s="205" t="s">
        <v>819</v>
      </c>
    </row>
    <row r="185" spans="1:13" x14ac:dyDescent="0.25">
      <c r="A185">
        <v>184</v>
      </c>
      <c r="B185" t="s">
        <v>826</v>
      </c>
      <c r="C185" t="s">
        <v>830</v>
      </c>
      <c r="D185">
        <v>4</v>
      </c>
      <c r="E185" s="203">
        <v>-1.5086353990531864</v>
      </c>
      <c r="F185" s="203">
        <v>6.5695991343675262</v>
      </c>
      <c r="G185" s="203" t="s">
        <v>819</v>
      </c>
      <c r="H185" s="204">
        <v>-0.55059857364179199</v>
      </c>
      <c r="I185" s="204">
        <v>29.095444343487497</v>
      </c>
      <c r="J185" s="204" t="s">
        <v>819</v>
      </c>
      <c r="K185" s="205">
        <v>-1.2879518542727739</v>
      </c>
      <c r="L185" s="205">
        <v>9.8881361632604268</v>
      </c>
      <c r="M185" s="205" t="s">
        <v>825</v>
      </c>
    </row>
    <row r="186" spans="1:13" x14ac:dyDescent="0.25">
      <c r="A186">
        <v>185</v>
      </c>
      <c r="B186" t="s">
        <v>826</v>
      </c>
      <c r="C186" t="s">
        <v>831</v>
      </c>
      <c r="D186">
        <v>4</v>
      </c>
      <c r="E186" s="203">
        <v>1.3907322373657516</v>
      </c>
      <c r="F186" s="203">
        <v>91.784668093882928</v>
      </c>
      <c r="G186" s="203" t="s">
        <v>819</v>
      </c>
      <c r="H186" s="204">
        <v>-0.26146752487498609</v>
      </c>
      <c r="I186" s="204">
        <v>39.686599502991918</v>
      </c>
      <c r="J186" s="204" t="s">
        <v>819</v>
      </c>
      <c r="K186" s="205">
        <v>1.4357936605242236</v>
      </c>
      <c r="L186" s="205">
        <v>92.446946786580511</v>
      </c>
      <c r="M186" s="205" t="s">
        <v>820</v>
      </c>
    </row>
    <row r="187" spans="1:13" x14ac:dyDescent="0.25">
      <c r="A187">
        <v>186</v>
      </c>
      <c r="B187" t="s">
        <v>826</v>
      </c>
      <c r="C187" t="s">
        <v>830</v>
      </c>
      <c r="D187">
        <v>4</v>
      </c>
      <c r="E187" s="203">
        <v>-1.396941768034484</v>
      </c>
      <c r="F187" s="203">
        <v>8.1215541497642967</v>
      </c>
      <c r="G187" s="203" t="s">
        <v>819</v>
      </c>
      <c r="H187" s="204">
        <v>-0.75802705668594317</v>
      </c>
      <c r="I187" s="204">
        <v>22.421739266812164</v>
      </c>
      <c r="J187" s="204" t="s">
        <v>819</v>
      </c>
      <c r="K187" s="205">
        <v>-1.1796367768925684</v>
      </c>
      <c r="L187" s="205">
        <v>11.907235461536807</v>
      </c>
      <c r="M187" s="205" t="s">
        <v>825</v>
      </c>
    </row>
    <row r="188" spans="1:13" x14ac:dyDescent="0.25">
      <c r="A188">
        <v>187</v>
      </c>
      <c r="B188" t="s">
        <v>826</v>
      </c>
      <c r="C188" t="s">
        <v>830</v>
      </c>
      <c r="D188">
        <v>4</v>
      </c>
      <c r="E188" s="203">
        <v>1.1141246075191358</v>
      </c>
      <c r="F188" s="203">
        <v>86.738713337227153</v>
      </c>
      <c r="G188" s="203" t="s">
        <v>819</v>
      </c>
      <c r="H188" s="204">
        <v>-0.56735105060809454</v>
      </c>
      <c r="I188" s="204">
        <v>28.523784966883557</v>
      </c>
      <c r="J188" s="204" t="s">
        <v>819</v>
      </c>
      <c r="K188" s="205">
        <v>0.91235430082830948</v>
      </c>
      <c r="L188" s="205">
        <v>81.920888097997619</v>
      </c>
      <c r="M188" s="205" t="s">
        <v>819</v>
      </c>
    </row>
    <row r="189" spans="1:13" x14ac:dyDescent="0.25">
      <c r="A189">
        <v>188</v>
      </c>
      <c r="B189" t="s">
        <v>826</v>
      </c>
      <c r="C189" t="s">
        <v>830</v>
      </c>
      <c r="D189">
        <v>4</v>
      </c>
      <c r="E189" s="203">
        <v>-0.27378153773725367</v>
      </c>
      <c r="F189" s="203">
        <v>39.21262562363637</v>
      </c>
      <c r="G189" s="203" t="s">
        <v>819</v>
      </c>
      <c r="H189" s="204">
        <v>-0.30502729742142987</v>
      </c>
      <c r="I189" s="204">
        <v>38.017268103377276</v>
      </c>
      <c r="J189" s="204" t="s">
        <v>819</v>
      </c>
      <c r="K189" s="205">
        <v>0.95236569070215871</v>
      </c>
      <c r="L189" s="205">
        <v>82.954422341139619</v>
      </c>
      <c r="M189" s="205" t="s">
        <v>819</v>
      </c>
    </row>
    <row r="190" spans="1:13" x14ac:dyDescent="0.25">
      <c r="A190">
        <v>189</v>
      </c>
      <c r="B190" t="s">
        <v>826</v>
      </c>
      <c r="C190" t="s">
        <v>830</v>
      </c>
      <c r="D190">
        <v>4</v>
      </c>
      <c r="E190" s="203">
        <v>-0.72304562985614573</v>
      </c>
      <c r="F190" s="203">
        <v>23.482592549602849</v>
      </c>
      <c r="G190" s="203" t="s">
        <v>819</v>
      </c>
      <c r="H190" s="204">
        <v>0.18347526451943913</v>
      </c>
      <c r="I190" s="204">
        <v>57.278743731066648</v>
      </c>
      <c r="J190" s="204" t="s">
        <v>819</v>
      </c>
      <c r="K190" s="205">
        <v>-0.42834961855020143</v>
      </c>
      <c r="L190" s="205">
        <v>33.419829954596167</v>
      </c>
      <c r="M190" s="205" t="s">
        <v>819</v>
      </c>
    </row>
    <row r="191" spans="1:13" x14ac:dyDescent="0.25">
      <c r="A191">
        <v>190</v>
      </c>
      <c r="B191" t="s">
        <v>826</v>
      </c>
      <c r="C191" t="s">
        <v>831</v>
      </c>
      <c r="D191">
        <v>4</v>
      </c>
      <c r="E191" s="203">
        <v>-0.53380104254894201</v>
      </c>
      <c r="F191" s="203">
        <v>29.673959619978994</v>
      </c>
      <c r="G191" s="203" t="s">
        <v>819</v>
      </c>
      <c r="H191" s="204">
        <v>-0.20386506906521204</v>
      </c>
      <c r="I191" s="204">
        <v>41.922947132089377</v>
      </c>
      <c r="J191" s="204" t="s">
        <v>819</v>
      </c>
      <c r="K191" s="205">
        <v>0.29829674349678587</v>
      </c>
      <c r="L191" s="205">
        <v>61.726165523232254</v>
      </c>
      <c r="M191" s="205" t="s">
        <v>819</v>
      </c>
    </row>
    <row r="192" spans="1:13" x14ac:dyDescent="0.25">
      <c r="A192">
        <v>191</v>
      </c>
      <c r="B192" t="s">
        <v>826</v>
      </c>
      <c r="C192" t="s">
        <v>831</v>
      </c>
      <c r="D192">
        <v>4</v>
      </c>
      <c r="E192" s="203">
        <v>0.3866646082661524</v>
      </c>
      <c r="F192" s="203">
        <v>65.049773974914473</v>
      </c>
      <c r="G192" s="203" t="s">
        <v>819</v>
      </c>
      <c r="H192" s="204">
        <v>0.40142307056409465</v>
      </c>
      <c r="I192" s="204">
        <v>65.594566669914229</v>
      </c>
      <c r="J192" s="204" t="s">
        <v>819</v>
      </c>
      <c r="K192" s="205">
        <v>1.1148439900071347</v>
      </c>
      <c r="L192" s="205">
        <v>86.754135906000585</v>
      </c>
      <c r="M192" s="205" t="s">
        <v>820</v>
      </c>
    </row>
    <row r="193" spans="1:13" x14ac:dyDescent="0.25">
      <c r="A193">
        <v>192</v>
      </c>
      <c r="B193" t="s">
        <v>826</v>
      </c>
      <c r="C193" t="s">
        <v>831</v>
      </c>
      <c r="D193">
        <v>3</v>
      </c>
      <c r="E193" s="203">
        <v>-0.5992861735092424</v>
      </c>
      <c r="F193" s="203">
        <v>27.449103322426073</v>
      </c>
      <c r="G193" s="203" t="s">
        <v>819</v>
      </c>
      <c r="H193" s="204">
        <v>0.4461241695044304</v>
      </c>
      <c r="I193" s="204">
        <v>67.224622254266706</v>
      </c>
      <c r="J193" s="204" t="s">
        <v>819</v>
      </c>
      <c r="K193" s="205">
        <v>0.58767328607111979</v>
      </c>
      <c r="L193" s="205">
        <v>72.162419514626279</v>
      </c>
      <c r="M193" s="205" t="s">
        <v>819</v>
      </c>
    </row>
    <row r="194" spans="1:13" x14ac:dyDescent="0.25">
      <c r="A194">
        <v>193</v>
      </c>
      <c r="B194" t="s">
        <v>826</v>
      </c>
      <c r="C194" t="s">
        <v>831</v>
      </c>
      <c r="D194">
        <v>4</v>
      </c>
      <c r="E194" s="203">
        <v>-1.252799070888613</v>
      </c>
      <c r="F194" s="203">
        <v>10.513941993941714</v>
      </c>
      <c r="G194" s="203" t="s">
        <v>819</v>
      </c>
      <c r="H194" s="204">
        <v>-3.3432058587297371E-2</v>
      </c>
      <c r="I194" s="204">
        <v>48.666502244464745</v>
      </c>
      <c r="J194" s="204" t="s">
        <v>819</v>
      </c>
      <c r="K194" s="205">
        <v>0.35245846137540804</v>
      </c>
      <c r="L194" s="205">
        <v>63.775276736630005</v>
      </c>
      <c r="M194" s="205" t="s">
        <v>819</v>
      </c>
    </row>
    <row r="195" spans="1:13" x14ac:dyDescent="0.25">
      <c r="A195">
        <v>194</v>
      </c>
      <c r="B195" t="s">
        <v>826</v>
      </c>
      <c r="C195" t="s">
        <v>830</v>
      </c>
      <c r="D195">
        <v>4</v>
      </c>
      <c r="E195" s="203">
        <v>-2.091463048794771</v>
      </c>
      <c r="F195" s="203">
        <v>1.8243287736124998</v>
      </c>
      <c r="G195" s="203" t="s">
        <v>818</v>
      </c>
      <c r="H195" s="204">
        <v>-2.2944224497644736</v>
      </c>
      <c r="I195" s="204">
        <v>1.088312242986935</v>
      </c>
      <c r="J195" s="204" t="s">
        <v>824</v>
      </c>
      <c r="K195" s="205">
        <v>0.73991131513475528</v>
      </c>
      <c r="L195" s="205">
        <v>77.032309591460006</v>
      </c>
      <c r="M195" s="205" t="s">
        <v>819</v>
      </c>
    </row>
    <row r="196" spans="1:13" x14ac:dyDescent="0.25">
      <c r="A196">
        <v>195</v>
      </c>
      <c r="B196" t="s">
        <v>826</v>
      </c>
      <c r="C196" t="s">
        <v>831</v>
      </c>
      <c r="D196">
        <v>4</v>
      </c>
      <c r="E196" s="203">
        <v>-7.3568217141396136E-2</v>
      </c>
      <c r="F196" s="203">
        <v>47.067698081543213</v>
      </c>
      <c r="G196" s="203" t="s">
        <v>819</v>
      </c>
      <c r="H196" s="204">
        <v>-1.1104094419930204</v>
      </c>
      <c r="I196" s="204">
        <v>13.341131566960568</v>
      </c>
      <c r="J196" s="204" t="s">
        <v>819</v>
      </c>
      <c r="K196" s="205">
        <v>1.1744503074287804</v>
      </c>
      <c r="L196" s="205">
        <v>87.989264752683113</v>
      </c>
      <c r="M196" s="205" t="s">
        <v>820</v>
      </c>
    </row>
    <row r="197" spans="1:13" x14ac:dyDescent="0.25">
      <c r="A197">
        <v>196</v>
      </c>
      <c r="B197" t="s">
        <v>826</v>
      </c>
      <c r="C197" t="s">
        <v>831</v>
      </c>
      <c r="D197">
        <v>4</v>
      </c>
      <c r="E197" s="203">
        <v>-1.5626627909162658</v>
      </c>
      <c r="F197" s="203">
        <v>5.9065965365023656</v>
      </c>
      <c r="G197" s="203" t="s">
        <v>819</v>
      </c>
      <c r="H197" s="204">
        <v>-0.6105730168537512</v>
      </c>
      <c r="I197" s="204">
        <v>27.074114536546901</v>
      </c>
      <c r="J197" s="204" t="s">
        <v>819</v>
      </c>
      <c r="K197" s="205">
        <v>0.75996337594371843</v>
      </c>
      <c r="L197" s="205">
        <v>77.636176149025559</v>
      </c>
      <c r="M197" s="205" t="s">
        <v>819</v>
      </c>
    </row>
    <row r="198" spans="1:13" x14ac:dyDescent="0.25">
      <c r="A198">
        <v>197</v>
      </c>
      <c r="B198" t="s">
        <v>826</v>
      </c>
      <c r="C198" t="s">
        <v>831</v>
      </c>
      <c r="D198">
        <v>4</v>
      </c>
      <c r="E198" s="203">
        <v>-1.6910042232465317</v>
      </c>
      <c r="F198" s="203">
        <v>4.5417998027349133</v>
      </c>
      <c r="G198" s="203" t="s">
        <v>818</v>
      </c>
      <c r="H198" s="204">
        <v>0.13926698855089917</v>
      </c>
      <c r="I198" s="204">
        <v>55.538041252386215</v>
      </c>
      <c r="J198" s="204" t="s">
        <v>819</v>
      </c>
      <c r="K198" s="205">
        <v>-0.5825163960333638</v>
      </c>
      <c r="L198" s="205">
        <v>28.010945039989288</v>
      </c>
      <c r="M198" s="205" t="s">
        <v>819</v>
      </c>
    </row>
    <row r="199" spans="1:13" x14ac:dyDescent="0.25">
      <c r="A199">
        <v>198</v>
      </c>
      <c r="B199" t="s">
        <v>826</v>
      </c>
      <c r="C199" t="s">
        <v>830</v>
      </c>
      <c r="D199">
        <v>4</v>
      </c>
      <c r="E199" s="203">
        <v>-0.80776215013774555</v>
      </c>
      <c r="F199" s="203">
        <v>20.961375898282697</v>
      </c>
      <c r="G199" s="203" t="s">
        <v>819</v>
      </c>
      <c r="H199" s="204">
        <v>0.60407013007999155</v>
      </c>
      <c r="I199" s="204">
        <v>72.71014912834957</v>
      </c>
      <c r="J199" s="204" t="s">
        <v>819</v>
      </c>
      <c r="K199" s="205">
        <v>-0.56603550874462716</v>
      </c>
      <c r="L199" s="205">
        <v>28.568482111083927</v>
      </c>
      <c r="M199" s="205" t="s">
        <v>819</v>
      </c>
    </row>
    <row r="200" spans="1:13" x14ac:dyDescent="0.25">
      <c r="A200">
        <v>199</v>
      </c>
      <c r="B200" t="s">
        <v>826</v>
      </c>
      <c r="C200" t="s">
        <v>830</v>
      </c>
      <c r="D200">
        <v>4</v>
      </c>
      <c r="E200" s="203">
        <v>-1.7450314915211436</v>
      </c>
      <c r="F200" s="203">
        <v>4.0489693709218688</v>
      </c>
      <c r="G200" s="203" t="s">
        <v>818</v>
      </c>
      <c r="H200" s="204">
        <v>-0.79297524302059053</v>
      </c>
      <c r="I200" s="204">
        <v>21.389612344771709</v>
      </c>
      <c r="J200" s="204" t="s">
        <v>819</v>
      </c>
      <c r="K200" s="205">
        <v>0.3292620327014113</v>
      </c>
      <c r="L200" s="205">
        <v>62.902118047001863</v>
      </c>
      <c r="M200" s="205" t="s">
        <v>819</v>
      </c>
    </row>
    <row r="201" spans="1:13" x14ac:dyDescent="0.25">
      <c r="A201">
        <v>200</v>
      </c>
      <c r="B201" t="s">
        <v>826</v>
      </c>
      <c r="C201" t="s">
        <v>831</v>
      </c>
      <c r="D201">
        <v>3</v>
      </c>
      <c r="E201" s="203">
        <v>0.43671156342683753</v>
      </c>
      <c r="F201" s="203">
        <v>66.883972894747785</v>
      </c>
      <c r="G201" s="203" t="s">
        <v>819</v>
      </c>
      <c r="H201" s="204">
        <v>8.8472834278789214E-2</v>
      </c>
      <c r="I201" s="204">
        <v>53.524956262034983</v>
      </c>
      <c r="J201" s="204" t="s">
        <v>819</v>
      </c>
      <c r="K201" s="205">
        <v>0.92440627109446527</v>
      </c>
      <c r="L201" s="205">
        <v>82.236258454923444</v>
      </c>
      <c r="M201" s="205" t="s">
        <v>819</v>
      </c>
    </row>
    <row r="202" spans="1:13" x14ac:dyDescent="0.25">
      <c r="A202">
        <v>201</v>
      </c>
      <c r="B202" t="s">
        <v>826</v>
      </c>
      <c r="C202" t="s">
        <v>830</v>
      </c>
      <c r="D202">
        <v>5</v>
      </c>
      <c r="E202" s="203">
        <v>-0.82001129172818532</v>
      </c>
      <c r="F202" s="203">
        <v>20.610483504763078</v>
      </c>
      <c r="G202" s="203" t="s">
        <v>819</v>
      </c>
      <c r="H202" s="204">
        <v>-1.0918000576972411</v>
      </c>
      <c r="I202" s="204">
        <v>13.746049684741823</v>
      </c>
      <c r="J202" s="204" t="s">
        <v>819</v>
      </c>
      <c r="K202" s="205">
        <v>-0.44017244119898874</v>
      </c>
      <c r="L202" s="205">
        <v>32.99061090565791</v>
      </c>
      <c r="M202" s="205" t="s">
        <v>819</v>
      </c>
    </row>
    <row r="203" spans="1:13" x14ac:dyDescent="0.25">
      <c r="A203">
        <v>202</v>
      </c>
      <c r="B203" t="s">
        <v>826</v>
      </c>
      <c r="C203" t="s">
        <v>830</v>
      </c>
      <c r="D203">
        <v>5</v>
      </c>
      <c r="E203" s="203">
        <v>-1.0385062363738089</v>
      </c>
      <c r="F203" s="203">
        <v>14.951721668980964</v>
      </c>
      <c r="G203" s="203" t="s">
        <v>819</v>
      </c>
      <c r="H203" s="204">
        <v>-1.4107804186487471</v>
      </c>
      <c r="I203" s="204">
        <v>7.9154684993386946</v>
      </c>
      <c r="J203" s="204" t="s">
        <v>819</v>
      </c>
      <c r="K203" s="205">
        <v>0.78134151355157366</v>
      </c>
      <c r="L203" s="205">
        <v>78.269916999077793</v>
      </c>
      <c r="M203" s="205" t="s">
        <v>819</v>
      </c>
    </row>
    <row r="204" spans="1:13" x14ac:dyDescent="0.25">
      <c r="A204">
        <v>203</v>
      </c>
      <c r="B204" t="s">
        <v>826</v>
      </c>
      <c r="C204" t="s">
        <v>831</v>
      </c>
      <c r="D204">
        <v>5</v>
      </c>
      <c r="E204" s="203">
        <v>-0.53904190597384583</v>
      </c>
      <c r="F204" s="203">
        <v>29.492896970855632</v>
      </c>
      <c r="G204" s="203" t="s">
        <v>819</v>
      </c>
      <c r="H204" s="204">
        <v>-0.17615799665337031</v>
      </c>
      <c r="I204" s="204">
        <v>43.008490925281386</v>
      </c>
      <c r="J204" s="204" t="s">
        <v>819</v>
      </c>
      <c r="K204" s="205">
        <v>1.8603720324408091</v>
      </c>
      <c r="L204" s="205">
        <v>96.858354563630925</v>
      </c>
      <c r="M204" s="205" t="s">
        <v>820</v>
      </c>
    </row>
    <row r="205" spans="1:13" x14ac:dyDescent="0.25">
      <c r="A205">
        <v>204</v>
      </c>
      <c r="B205" t="s">
        <v>826</v>
      </c>
      <c r="C205" t="s">
        <v>831</v>
      </c>
      <c r="D205">
        <v>4</v>
      </c>
      <c r="E205" s="203">
        <v>-1.0377739719681649</v>
      </c>
      <c r="F205" s="203">
        <v>14.968764857034254</v>
      </c>
      <c r="G205" s="203" t="s">
        <v>819</v>
      </c>
      <c r="H205" s="204">
        <v>0.13415331189828822</v>
      </c>
      <c r="I205" s="204">
        <v>55.335932809771712</v>
      </c>
      <c r="J205" s="204" t="s">
        <v>819</v>
      </c>
      <c r="K205" s="205">
        <v>6.9539297280642759E-2</v>
      </c>
      <c r="L205" s="205">
        <v>52.771982318081214</v>
      </c>
      <c r="M205" s="205" t="s">
        <v>819</v>
      </c>
    </row>
    <row r="206" spans="1:13" x14ac:dyDescent="0.25">
      <c r="A206">
        <v>205</v>
      </c>
      <c r="B206" t="s">
        <v>826</v>
      </c>
      <c r="C206" t="s">
        <v>831</v>
      </c>
      <c r="D206">
        <v>5</v>
      </c>
      <c r="E206" s="203">
        <v>0.27138307274275447</v>
      </c>
      <c r="F206" s="203">
        <v>60.695179014747936</v>
      </c>
      <c r="G206" s="203" t="s">
        <v>819</v>
      </c>
      <c r="H206" s="204">
        <v>-0.77591558138104666</v>
      </c>
      <c r="I206" s="204">
        <v>21.88994160110752</v>
      </c>
      <c r="J206" s="204" t="s">
        <v>819</v>
      </c>
      <c r="K206" s="205">
        <v>3.1575253316033551</v>
      </c>
      <c r="L206" s="205">
        <v>99.920442794214324</v>
      </c>
      <c r="M206" s="205" t="s">
        <v>820</v>
      </c>
    </row>
    <row r="207" spans="1:13" x14ac:dyDescent="0.25">
      <c r="A207">
        <v>206</v>
      </c>
      <c r="B207" t="s">
        <v>826</v>
      </c>
      <c r="C207" t="s">
        <v>830</v>
      </c>
      <c r="D207">
        <v>3</v>
      </c>
      <c r="E207" s="203">
        <v>0.92408821238438821</v>
      </c>
      <c r="F207" s="203">
        <v>82.227980500563646</v>
      </c>
      <c r="G207" s="203" t="s">
        <v>819</v>
      </c>
      <c r="H207" s="204">
        <v>-0.35100224723945178</v>
      </c>
      <c r="I207" s="204">
        <v>36.279333124031787</v>
      </c>
      <c r="J207" s="204" t="s">
        <v>819</v>
      </c>
      <c r="K207" s="205">
        <v>-0.11719707396863781</v>
      </c>
      <c r="L207" s="205">
        <v>45.335194278819635</v>
      </c>
      <c r="M207" s="205" t="s">
        <v>819</v>
      </c>
    </row>
    <row r="208" spans="1:13" x14ac:dyDescent="0.25">
      <c r="A208">
        <v>207</v>
      </c>
      <c r="B208" t="s">
        <v>821</v>
      </c>
      <c r="C208" t="s">
        <v>830</v>
      </c>
      <c r="D208">
        <v>7</v>
      </c>
      <c r="E208" s="203">
        <v>0.24784067641612462</v>
      </c>
      <c r="F208" s="203">
        <v>59.787115934409506</v>
      </c>
      <c r="G208" s="203" t="s">
        <v>819</v>
      </c>
      <c r="H208" s="204">
        <v>-0.37094348438249453</v>
      </c>
      <c r="I208" s="204">
        <v>35.53398130747194</v>
      </c>
      <c r="J208" s="204" t="s">
        <v>819</v>
      </c>
      <c r="K208" s="205">
        <v>0.88775573014982079</v>
      </c>
      <c r="L208" s="205">
        <v>81.266391957774218</v>
      </c>
      <c r="M208" s="205" t="s">
        <v>819</v>
      </c>
    </row>
    <row r="209" spans="1:13" x14ac:dyDescent="0.25">
      <c r="A209">
        <v>208</v>
      </c>
      <c r="B209" t="s">
        <v>821</v>
      </c>
      <c r="C209" t="s">
        <v>831</v>
      </c>
      <c r="D209">
        <v>12</v>
      </c>
      <c r="E209" s="203">
        <v>0.43105678911511802</v>
      </c>
      <c r="F209" s="203">
        <v>66.678646058789212</v>
      </c>
      <c r="G209" s="203" t="s">
        <v>819</v>
      </c>
      <c r="H209" s="204">
        <v>-0.17842542020479563</v>
      </c>
      <c r="I209" s="204">
        <v>42.919444358257735</v>
      </c>
      <c r="J209" s="204" t="s">
        <v>819</v>
      </c>
      <c r="K209" s="205">
        <v>1.5662971687977032</v>
      </c>
      <c r="L209" s="205">
        <v>94.13604682432279</v>
      </c>
      <c r="M209" s="205" t="s">
        <v>171</v>
      </c>
    </row>
    <row r="210" spans="1:13" x14ac:dyDescent="0.25">
      <c r="A210">
        <v>209</v>
      </c>
      <c r="B210" t="s">
        <v>821</v>
      </c>
      <c r="C210" t="s">
        <v>831</v>
      </c>
      <c r="D210">
        <v>5</v>
      </c>
      <c r="E210" s="203">
        <v>0.26510192583468667</v>
      </c>
      <c r="F210" s="203">
        <v>60.45345280996407</v>
      </c>
      <c r="G210" s="203" t="s">
        <v>819</v>
      </c>
      <c r="H210" s="204">
        <v>-1.385699140837799</v>
      </c>
      <c r="I210" s="204">
        <v>8.2919395329092822</v>
      </c>
      <c r="J210" s="204" t="s">
        <v>819</v>
      </c>
      <c r="K210" s="205">
        <v>-0.39734590945666565</v>
      </c>
      <c r="L210" s="205">
        <v>34.555619855511644</v>
      </c>
      <c r="M210" s="205" t="s">
        <v>819</v>
      </c>
    </row>
    <row r="211" spans="1:13" x14ac:dyDescent="0.25">
      <c r="A211">
        <v>210</v>
      </c>
      <c r="B211" t="s">
        <v>821</v>
      </c>
      <c r="C211" t="s">
        <v>830</v>
      </c>
      <c r="D211">
        <v>7</v>
      </c>
      <c r="E211" s="203">
        <v>1.1830885119486818</v>
      </c>
      <c r="F211" s="203">
        <v>88.161296485716505</v>
      </c>
      <c r="G211" s="203" t="s">
        <v>819</v>
      </c>
      <c r="H211" s="204">
        <v>-0.54173194937461766</v>
      </c>
      <c r="I211" s="204">
        <v>29.400158837493407</v>
      </c>
      <c r="J211" s="204" t="s">
        <v>819</v>
      </c>
      <c r="K211" s="205">
        <v>1.2739044627827243</v>
      </c>
      <c r="L211" s="205">
        <v>89.865136169394816</v>
      </c>
      <c r="M211" s="205" t="s">
        <v>171</v>
      </c>
    </row>
    <row r="212" spans="1:13" x14ac:dyDescent="0.25">
      <c r="A212">
        <v>211</v>
      </c>
      <c r="B212" t="s">
        <v>821</v>
      </c>
      <c r="C212" t="s">
        <v>830</v>
      </c>
      <c r="D212">
        <v>10</v>
      </c>
      <c r="E212" s="203">
        <v>1.6146764993000053</v>
      </c>
      <c r="F212" s="203">
        <v>94.680961532514758</v>
      </c>
      <c r="G212" s="203" t="s">
        <v>819</v>
      </c>
      <c r="H212" s="204">
        <v>1.2289029858781169</v>
      </c>
      <c r="I212" s="204">
        <v>89.044590907949654</v>
      </c>
      <c r="J212" s="204" t="s">
        <v>819</v>
      </c>
      <c r="K212" s="205">
        <v>2.4798495915763339</v>
      </c>
      <c r="L212" s="205">
        <v>99.342810932647311</v>
      </c>
      <c r="M212" s="205" t="s">
        <v>820</v>
      </c>
    </row>
    <row r="213" spans="1:13" x14ac:dyDescent="0.25">
      <c r="A213">
        <v>212</v>
      </c>
      <c r="B213" t="s">
        <v>821</v>
      </c>
      <c r="C213" t="s">
        <v>830</v>
      </c>
      <c r="D213">
        <v>9</v>
      </c>
      <c r="E213" s="203">
        <v>1.6633223903473833</v>
      </c>
      <c r="F213" s="203">
        <v>95.187604044316714</v>
      </c>
      <c r="G213" s="203" t="s">
        <v>816</v>
      </c>
      <c r="H213" s="204">
        <v>-1.4427463384241581</v>
      </c>
      <c r="I213" s="204">
        <v>7.4545970271324311</v>
      </c>
      <c r="J213" s="204" t="s">
        <v>819</v>
      </c>
      <c r="K213" s="205">
        <v>2.1254575075540405</v>
      </c>
      <c r="L213" s="205">
        <v>98.32257719412604</v>
      </c>
      <c r="M213" s="205" t="s">
        <v>820</v>
      </c>
    </row>
    <row r="214" spans="1:13" x14ac:dyDescent="0.25">
      <c r="A214">
        <v>213</v>
      </c>
      <c r="B214" t="s">
        <v>821</v>
      </c>
      <c r="C214" t="s">
        <v>831</v>
      </c>
      <c r="D214">
        <v>6</v>
      </c>
      <c r="E214" s="203">
        <v>1.4232474720086099</v>
      </c>
      <c r="F214" s="203">
        <v>92.266778581424802</v>
      </c>
      <c r="G214" s="203" t="s">
        <v>819</v>
      </c>
      <c r="H214" s="204">
        <v>0.49404183975337451</v>
      </c>
      <c r="I214" s="204">
        <v>68.936168442250363</v>
      </c>
      <c r="J214" s="204" t="s">
        <v>819</v>
      </c>
      <c r="K214" s="205">
        <v>0.98990319392608428</v>
      </c>
      <c r="L214" s="205">
        <v>83.888928088510525</v>
      </c>
      <c r="M214" s="205" t="s">
        <v>819</v>
      </c>
    </row>
    <row r="215" spans="1:13" x14ac:dyDescent="0.25">
      <c r="A215">
        <v>214</v>
      </c>
      <c r="B215" t="s">
        <v>821</v>
      </c>
      <c r="C215" t="s">
        <v>831</v>
      </c>
      <c r="D215">
        <v>10</v>
      </c>
      <c r="E215" s="203">
        <v>1.776499994704593</v>
      </c>
      <c r="F215" s="203">
        <v>96.21747286040916</v>
      </c>
      <c r="G215" s="203" t="s">
        <v>816</v>
      </c>
      <c r="H215" s="204">
        <v>-0.81949842918253013</v>
      </c>
      <c r="I215" s="204">
        <v>20.62510489032724</v>
      </c>
      <c r="J215" s="204" t="s">
        <v>819</v>
      </c>
      <c r="K215" s="205">
        <v>-0.38669851338686129</v>
      </c>
      <c r="L215" s="205">
        <v>34.948970842416053</v>
      </c>
      <c r="M215" s="205" t="s">
        <v>819</v>
      </c>
    </row>
    <row r="216" spans="1:13" x14ac:dyDescent="0.25">
      <c r="A216">
        <v>215</v>
      </c>
      <c r="B216" t="s">
        <v>821</v>
      </c>
      <c r="C216" t="s">
        <v>830</v>
      </c>
      <c r="D216">
        <v>10</v>
      </c>
      <c r="E216" s="203">
        <v>2.5449192365828419</v>
      </c>
      <c r="F216" s="203">
        <v>99.45348492209672</v>
      </c>
      <c r="G216" s="203" t="s">
        <v>816</v>
      </c>
      <c r="H216" s="204">
        <v>-1.2653296717214157</v>
      </c>
      <c r="I216" s="204">
        <v>10.287658716284273</v>
      </c>
      <c r="J216" s="204" t="s">
        <v>819</v>
      </c>
      <c r="K216" s="205">
        <v>3.4780933136428684</v>
      </c>
      <c r="L216" s="205">
        <v>99.97475029532842</v>
      </c>
      <c r="M216" s="205" t="s">
        <v>820</v>
      </c>
    </row>
    <row r="217" spans="1:13" x14ac:dyDescent="0.25">
      <c r="A217">
        <v>216</v>
      </c>
      <c r="B217" t="s">
        <v>821</v>
      </c>
      <c r="C217" t="s">
        <v>830</v>
      </c>
      <c r="D217">
        <v>8</v>
      </c>
      <c r="E217" s="203">
        <v>1.898868359126398</v>
      </c>
      <c r="F217" s="203">
        <v>97.120910677775356</v>
      </c>
      <c r="G217" s="203" t="s">
        <v>816</v>
      </c>
      <c r="H217" s="204">
        <v>-0.83431005119467561</v>
      </c>
      <c r="I217" s="204">
        <v>20.205314467032231</v>
      </c>
      <c r="J217" s="204" t="s">
        <v>819</v>
      </c>
      <c r="K217" s="205">
        <v>3.8578177022793705</v>
      </c>
      <c r="L217" s="205">
        <v>99.994279803875713</v>
      </c>
      <c r="M217" s="205" t="s">
        <v>820</v>
      </c>
    </row>
    <row r="218" spans="1:13" x14ac:dyDescent="0.25">
      <c r="A218">
        <v>217</v>
      </c>
      <c r="B218" t="s">
        <v>821</v>
      </c>
      <c r="C218" t="s">
        <v>831</v>
      </c>
      <c r="D218">
        <v>5</v>
      </c>
      <c r="E218" s="203">
        <v>3.0949939079669861</v>
      </c>
      <c r="F218" s="203">
        <v>99.901591530214532</v>
      </c>
      <c r="G218" s="203" t="s">
        <v>816</v>
      </c>
      <c r="H218" s="204">
        <v>-6.2105641732824396E-3</v>
      </c>
      <c r="I218" s="204">
        <v>49.75223592936991</v>
      </c>
      <c r="J218" s="204" t="s">
        <v>819</v>
      </c>
      <c r="K218" s="205">
        <v>3.5318949339453044E-2</v>
      </c>
      <c r="L218" s="205">
        <v>51.408729331554312</v>
      </c>
      <c r="M218" s="205" t="s">
        <v>819</v>
      </c>
    </row>
    <row r="219" spans="1:13" x14ac:dyDescent="0.25">
      <c r="A219">
        <v>218</v>
      </c>
      <c r="B219" t="s">
        <v>821</v>
      </c>
      <c r="C219" t="s">
        <v>830</v>
      </c>
      <c r="D219">
        <v>5</v>
      </c>
      <c r="E219" s="203">
        <v>-0.61139319580076734</v>
      </c>
      <c r="F219" s="203">
        <v>27.046965305525404</v>
      </c>
      <c r="G219" s="203" t="s">
        <v>819</v>
      </c>
      <c r="H219" s="204">
        <v>-1.7666891149816752</v>
      </c>
      <c r="I219" s="204">
        <v>3.8640153654482368</v>
      </c>
      <c r="J219" s="204" t="s">
        <v>824</v>
      </c>
      <c r="K219" s="205">
        <v>-1.0043697079802139</v>
      </c>
      <c r="L219" s="205">
        <v>15.76002226547919</v>
      </c>
      <c r="M219" s="205" t="s">
        <v>819</v>
      </c>
    </row>
    <row r="220" spans="1:13" x14ac:dyDescent="0.25">
      <c r="A220">
        <v>219</v>
      </c>
      <c r="B220" t="s">
        <v>821</v>
      </c>
      <c r="C220" t="s">
        <v>831</v>
      </c>
      <c r="D220">
        <v>4</v>
      </c>
      <c r="E220" s="203">
        <v>0.57011981500465603</v>
      </c>
      <c r="F220" s="203">
        <v>71.570178174729747</v>
      </c>
      <c r="G220" s="203" t="s">
        <v>819</v>
      </c>
      <c r="H220" s="204">
        <v>-6.9518523693521574</v>
      </c>
      <c r="I220" s="204">
        <v>1.8026029160120648E-10</v>
      </c>
      <c r="J220" s="204" t="s">
        <v>824</v>
      </c>
      <c r="K220" s="205">
        <v>0.14557516213285238</v>
      </c>
      <c r="L220" s="205">
        <v>55.787161159067232</v>
      </c>
      <c r="M220" s="205" t="s">
        <v>819</v>
      </c>
    </row>
    <row r="221" spans="1:13" x14ac:dyDescent="0.25">
      <c r="A221">
        <v>220</v>
      </c>
      <c r="B221" t="s">
        <v>821</v>
      </c>
      <c r="C221" t="s">
        <v>830</v>
      </c>
      <c r="D221">
        <v>8</v>
      </c>
      <c r="E221" s="203">
        <v>-0.40104283261070822</v>
      </c>
      <c r="F221" s="203">
        <v>34.41942944350123</v>
      </c>
      <c r="G221" s="203" t="s">
        <v>819</v>
      </c>
      <c r="H221" s="204">
        <v>-11.996282616202869</v>
      </c>
      <c r="I221" s="204">
        <v>1.8580776487074295E-31</v>
      </c>
      <c r="J221" s="204" t="s">
        <v>824</v>
      </c>
      <c r="K221" s="205">
        <v>0.4493298902304565</v>
      </c>
      <c r="L221" s="205">
        <v>67.340315066071682</v>
      </c>
      <c r="M221" s="205" t="s">
        <v>819</v>
      </c>
    </row>
    <row r="222" spans="1:13" x14ac:dyDescent="0.25">
      <c r="A222">
        <v>221</v>
      </c>
      <c r="B222" t="s">
        <v>821</v>
      </c>
      <c r="C222" t="s">
        <v>830</v>
      </c>
      <c r="D222">
        <v>8</v>
      </c>
      <c r="E222" s="203">
        <v>-0.42919691113583019</v>
      </c>
      <c r="F222" s="203">
        <v>33.388996534627339</v>
      </c>
      <c r="G222" s="203" t="s">
        <v>819</v>
      </c>
      <c r="H222" s="204">
        <v>-3.2637163681582511</v>
      </c>
      <c r="I222" s="204">
        <v>5.4980593197514235E-2</v>
      </c>
      <c r="J222" s="204" t="s">
        <v>824</v>
      </c>
      <c r="K222" s="205">
        <v>0.1264478892879497</v>
      </c>
      <c r="L222" s="205">
        <v>55.031130191549124</v>
      </c>
      <c r="M222" s="205" t="s">
        <v>819</v>
      </c>
    </row>
    <row r="223" spans="1:13" x14ac:dyDescent="0.25">
      <c r="A223">
        <v>222</v>
      </c>
      <c r="B223" t="s">
        <v>821</v>
      </c>
      <c r="C223" t="s">
        <v>831</v>
      </c>
      <c r="D223">
        <v>7</v>
      </c>
      <c r="E223" s="203">
        <v>1.1300613194632538</v>
      </c>
      <c r="F223" s="203">
        <v>87.077480643734276</v>
      </c>
      <c r="G223" s="203" t="s">
        <v>819</v>
      </c>
      <c r="H223" s="204">
        <v>0.83438088128160715</v>
      </c>
      <c r="I223" s="204">
        <v>79.796680632744156</v>
      </c>
      <c r="J223" s="204" t="s">
        <v>819</v>
      </c>
      <c r="K223" s="205">
        <v>-0.66990559979016351</v>
      </c>
      <c r="L223" s="205">
        <v>25.145898489957219</v>
      </c>
      <c r="M223" s="205" t="s">
        <v>819</v>
      </c>
    </row>
    <row r="224" spans="1:13" x14ac:dyDescent="0.25">
      <c r="A224">
        <v>223</v>
      </c>
      <c r="B224" t="s">
        <v>821</v>
      </c>
      <c r="C224" t="s">
        <v>830</v>
      </c>
      <c r="D224">
        <v>5</v>
      </c>
      <c r="E224" s="203">
        <v>1.9500312184973925</v>
      </c>
      <c r="F224" s="203">
        <v>97.441380087890963</v>
      </c>
      <c r="G224" s="203" t="s">
        <v>816</v>
      </c>
      <c r="H224" s="204">
        <v>0.16179482231841832</v>
      </c>
      <c r="I224" s="204">
        <v>56.426628474334827</v>
      </c>
      <c r="J224" s="204" t="s">
        <v>819</v>
      </c>
      <c r="K224" s="205">
        <v>-6.202155883204126E-2</v>
      </c>
      <c r="L224" s="205">
        <v>47.527283179233542</v>
      </c>
      <c r="M224" s="205" t="s">
        <v>819</v>
      </c>
    </row>
    <row r="225" spans="1:13" x14ac:dyDescent="0.25">
      <c r="A225">
        <v>224</v>
      </c>
      <c r="B225" t="s">
        <v>821</v>
      </c>
      <c r="C225" t="s">
        <v>830</v>
      </c>
      <c r="D225">
        <v>6</v>
      </c>
      <c r="E225" s="203">
        <v>0.61522240124341421</v>
      </c>
      <c r="F225" s="203">
        <v>73.079607207472719</v>
      </c>
      <c r="G225" s="203" t="s">
        <v>819</v>
      </c>
      <c r="H225" s="204">
        <v>0.46777943323662668</v>
      </c>
      <c r="I225" s="204">
        <v>68.002883510122231</v>
      </c>
      <c r="J225" s="204" t="s">
        <v>819</v>
      </c>
      <c r="K225" s="205">
        <v>-0.64275022981407648</v>
      </c>
      <c r="L225" s="205">
        <v>26.019309120900303</v>
      </c>
      <c r="M225" s="205" t="s">
        <v>819</v>
      </c>
    </row>
    <row r="226" spans="1:13" x14ac:dyDescent="0.25">
      <c r="A226">
        <v>225</v>
      </c>
      <c r="B226" t="s">
        <v>821</v>
      </c>
      <c r="C226" t="s">
        <v>831</v>
      </c>
      <c r="D226">
        <v>5</v>
      </c>
      <c r="E226" s="203">
        <v>0.50247743330772954</v>
      </c>
      <c r="F226" s="203">
        <v>69.233413875691326</v>
      </c>
      <c r="G226" s="203" t="s">
        <v>819</v>
      </c>
      <c r="H226" s="204">
        <v>-0.86297997845882879</v>
      </c>
      <c r="I226" s="204">
        <v>19.407423758012268</v>
      </c>
      <c r="J226" s="204" t="s">
        <v>819</v>
      </c>
      <c r="K226" s="205">
        <v>0.6485873164653021</v>
      </c>
      <c r="L226" s="205">
        <v>74.169742206916794</v>
      </c>
      <c r="M226" s="205" t="s">
        <v>819</v>
      </c>
    </row>
    <row r="227" spans="1:13" x14ac:dyDescent="0.25">
      <c r="A227">
        <v>226</v>
      </c>
      <c r="B227" t="s">
        <v>823</v>
      </c>
      <c r="C227" t="s">
        <v>831</v>
      </c>
      <c r="D227">
        <v>6</v>
      </c>
      <c r="E227" s="203">
        <v>7.6927593022313973E-2</v>
      </c>
      <c r="F227" s="203">
        <v>53.065942673674236</v>
      </c>
      <c r="G227" s="203" t="s">
        <v>819</v>
      </c>
      <c r="H227" s="204">
        <v>-0.58255870213208572</v>
      </c>
      <c r="I227" s="204">
        <v>28.009520665689834</v>
      </c>
      <c r="J227" s="204" t="s">
        <v>819</v>
      </c>
      <c r="K227" s="205">
        <v>-0.27151484809074455</v>
      </c>
      <c r="L227" s="205">
        <v>39.299754067635192</v>
      </c>
      <c r="M227" s="205" t="s">
        <v>819</v>
      </c>
    </row>
    <row r="228" spans="1:13" x14ac:dyDescent="0.25">
      <c r="A228">
        <v>227</v>
      </c>
      <c r="B228" t="s">
        <v>823</v>
      </c>
      <c r="C228" t="s">
        <v>831</v>
      </c>
      <c r="D228">
        <v>6</v>
      </c>
      <c r="E228" s="203">
        <v>0.85377781288916599</v>
      </c>
      <c r="F228" s="203">
        <v>80.338594494470598</v>
      </c>
      <c r="G228" s="203" t="s">
        <v>819</v>
      </c>
      <c r="H228" s="204">
        <v>1.8908834842679973</v>
      </c>
      <c r="I228" s="204">
        <v>97.068005021083422</v>
      </c>
      <c r="J228" s="204" t="s">
        <v>817</v>
      </c>
      <c r="K228" s="205">
        <v>-1.5515767375382301</v>
      </c>
      <c r="L228" s="205">
        <v>6.038176642050324</v>
      </c>
      <c r="M228" s="205" t="s">
        <v>825</v>
      </c>
    </row>
    <row r="229" spans="1:13" x14ac:dyDescent="0.25">
      <c r="A229">
        <v>228</v>
      </c>
      <c r="B229" t="s">
        <v>823</v>
      </c>
      <c r="C229" t="s">
        <v>830</v>
      </c>
      <c r="D229">
        <v>6</v>
      </c>
      <c r="E229" s="203">
        <v>-0.8645805307860901</v>
      </c>
      <c r="F229" s="203">
        <v>19.363453113734135</v>
      </c>
      <c r="G229" s="203" t="s">
        <v>819</v>
      </c>
      <c r="H229" s="204">
        <v>-1.5880862706434249</v>
      </c>
      <c r="I229" s="204">
        <v>5.6133416216224408</v>
      </c>
      <c r="J229" s="204" t="s">
        <v>819</v>
      </c>
      <c r="K229" s="205">
        <v>2.3221530512388999</v>
      </c>
      <c r="L229" s="205">
        <v>98.988765202599751</v>
      </c>
      <c r="M229" s="205" t="s">
        <v>820</v>
      </c>
    </row>
    <row r="230" spans="1:13" x14ac:dyDescent="0.25">
      <c r="A230">
        <v>229</v>
      </c>
      <c r="B230" t="s">
        <v>823</v>
      </c>
      <c r="C230" t="s">
        <v>830</v>
      </c>
      <c r="D230">
        <v>6</v>
      </c>
      <c r="E230" s="203">
        <v>-8.9409150730916709E-2</v>
      </c>
      <c r="F230" s="203">
        <v>46.437837568375599</v>
      </c>
      <c r="G230" s="203" t="s">
        <v>819</v>
      </c>
      <c r="H230" s="204">
        <v>-1.810943477259453</v>
      </c>
      <c r="I230" s="204">
        <v>3.5074800784873039</v>
      </c>
      <c r="J230" s="204" t="s">
        <v>824</v>
      </c>
      <c r="K230" s="205">
        <v>4.3394351764013841</v>
      </c>
      <c r="L230" s="205">
        <v>99.999285753022022</v>
      </c>
      <c r="M230" s="205" t="s">
        <v>820</v>
      </c>
    </row>
    <row r="231" spans="1:13" x14ac:dyDescent="0.25">
      <c r="A231">
        <v>230</v>
      </c>
      <c r="B231" t="s">
        <v>823</v>
      </c>
      <c r="C231" t="s">
        <v>830</v>
      </c>
      <c r="D231">
        <v>6</v>
      </c>
      <c r="E231" s="203">
        <v>2.5462903340959037E-2</v>
      </c>
      <c r="F231" s="203">
        <v>51.015713113397169</v>
      </c>
      <c r="G231" s="203" t="s">
        <v>819</v>
      </c>
      <c r="H231" s="204">
        <v>-1.4287489485117075</v>
      </c>
      <c r="I231" s="204">
        <v>7.6538201758508766</v>
      </c>
      <c r="J231" s="204" t="s">
        <v>819</v>
      </c>
      <c r="K231" s="205">
        <v>-0.59213042113651093</v>
      </c>
      <c r="L231" s="205">
        <v>27.688162864166777</v>
      </c>
      <c r="M231" s="205" t="s">
        <v>819</v>
      </c>
    </row>
    <row r="232" spans="1:13" x14ac:dyDescent="0.25">
      <c r="A232">
        <v>231</v>
      </c>
      <c r="B232" t="s">
        <v>823</v>
      </c>
      <c r="C232" t="s">
        <v>831</v>
      </c>
      <c r="D232">
        <v>6</v>
      </c>
      <c r="E232" s="203">
        <v>-1.5680572579246085E-2</v>
      </c>
      <c r="F232" s="203">
        <v>49.374461296441815</v>
      </c>
      <c r="G232" s="203" t="s">
        <v>819</v>
      </c>
      <c r="H232" s="204">
        <v>-1.5359760902487016</v>
      </c>
      <c r="I232" s="204">
        <v>6.2272122271055457</v>
      </c>
      <c r="J232" s="204" t="s">
        <v>819</v>
      </c>
      <c r="K232" s="205">
        <v>0.59055735984838353</v>
      </c>
      <c r="L232" s="205">
        <v>72.259147889874924</v>
      </c>
      <c r="M232" s="205" t="s">
        <v>819</v>
      </c>
    </row>
    <row r="233" spans="1:13" x14ac:dyDescent="0.25">
      <c r="A233">
        <v>232</v>
      </c>
      <c r="B233" t="s">
        <v>823</v>
      </c>
      <c r="C233" t="s">
        <v>831</v>
      </c>
      <c r="D233">
        <v>5</v>
      </c>
      <c r="E233" s="203">
        <v>-0.12617502285587384</v>
      </c>
      <c r="F233" s="203">
        <v>44.979669110364831</v>
      </c>
      <c r="G233" s="203" t="s">
        <v>819</v>
      </c>
      <c r="H233" s="204">
        <v>-0.35724898376481951</v>
      </c>
      <c r="I233" s="204">
        <v>36.045270915972331</v>
      </c>
      <c r="J233" s="204" t="s">
        <v>819</v>
      </c>
      <c r="K233" s="205">
        <v>1.492635781721446</v>
      </c>
      <c r="L233" s="205">
        <v>93.223372415688274</v>
      </c>
      <c r="M233" s="205" t="s">
        <v>820</v>
      </c>
    </row>
    <row r="234" spans="1:13" x14ac:dyDescent="0.25">
      <c r="A234">
        <v>233</v>
      </c>
      <c r="B234" t="s">
        <v>823</v>
      </c>
      <c r="C234" t="s">
        <v>831</v>
      </c>
      <c r="D234">
        <v>5</v>
      </c>
      <c r="E234" s="203">
        <v>0.4640079326134175</v>
      </c>
      <c r="F234" s="203">
        <v>67.867896886073268</v>
      </c>
      <c r="G234" s="203" t="s">
        <v>819</v>
      </c>
      <c r="H234" s="204">
        <v>-0.85507855327440718</v>
      </c>
      <c r="I234" s="204">
        <v>19.625383086221067</v>
      </c>
      <c r="J234" s="204" t="s">
        <v>819</v>
      </c>
      <c r="K234" s="205">
        <v>0.62261590989129134</v>
      </c>
      <c r="L234" s="205">
        <v>73.323152320027688</v>
      </c>
      <c r="M234" s="205" t="s">
        <v>819</v>
      </c>
    </row>
    <row r="235" spans="1:13" x14ac:dyDescent="0.25">
      <c r="A235">
        <v>234</v>
      </c>
      <c r="B235" t="s">
        <v>823</v>
      </c>
      <c r="C235" t="s">
        <v>830</v>
      </c>
      <c r="D235">
        <v>5</v>
      </c>
      <c r="E235" s="203">
        <v>-9.2904188652212061E-2</v>
      </c>
      <c r="F235" s="203">
        <v>46.298983903956625</v>
      </c>
      <c r="G235" s="203" t="s">
        <v>819</v>
      </c>
      <c r="H235" s="204">
        <v>-1.5394588488953105</v>
      </c>
      <c r="I235" s="204">
        <v>6.1846158362228474</v>
      </c>
      <c r="J235" s="204" t="s">
        <v>819</v>
      </c>
      <c r="K235" s="205">
        <v>0.88250942930472298</v>
      </c>
      <c r="L235" s="205">
        <v>81.124930854620004</v>
      </c>
      <c r="M235" s="205" t="s">
        <v>819</v>
      </c>
    </row>
    <row r="236" spans="1:13" x14ac:dyDescent="0.25">
      <c r="A236">
        <v>235</v>
      </c>
      <c r="B236" t="s">
        <v>823</v>
      </c>
      <c r="C236" t="s">
        <v>831</v>
      </c>
      <c r="D236">
        <v>5</v>
      </c>
      <c r="E236" s="203">
        <v>1.1552358383617705</v>
      </c>
      <c r="F236" s="203">
        <v>87.60030687958178</v>
      </c>
      <c r="G236" s="203" t="s">
        <v>819</v>
      </c>
      <c r="H236" s="204">
        <v>-0.79431684312053141</v>
      </c>
      <c r="I236" s="204">
        <v>21.350550052477839</v>
      </c>
      <c r="J236" s="204" t="s">
        <v>819</v>
      </c>
      <c r="K236" s="205">
        <v>0.64200472285934973</v>
      </c>
      <c r="L236" s="205">
        <v>73.956494175421227</v>
      </c>
      <c r="M236" s="205" t="s">
        <v>819</v>
      </c>
    </row>
    <row r="237" spans="1:13" x14ac:dyDescent="0.25">
      <c r="A237">
        <v>236</v>
      </c>
      <c r="B237" t="s">
        <v>823</v>
      </c>
      <c r="C237" t="s">
        <v>830</v>
      </c>
      <c r="D237">
        <v>6</v>
      </c>
      <c r="E237" s="203">
        <v>-0.8645805307860901</v>
      </c>
      <c r="F237" s="203">
        <v>19.363453113734135</v>
      </c>
      <c r="G237" s="203" t="s">
        <v>819</v>
      </c>
      <c r="H237" s="204">
        <v>-1.5296358873514977</v>
      </c>
      <c r="I237" s="204">
        <v>6.3053440614684844</v>
      </c>
      <c r="J237" s="204" t="s">
        <v>819</v>
      </c>
      <c r="K237" s="205">
        <v>0.34452390736795324</v>
      </c>
      <c r="L237" s="205">
        <v>63.477384010574752</v>
      </c>
      <c r="M237" s="205" t="s">
        <v>819</v>
      </c>
    </row>
    <row r="238" spans="1:13" x14ac:dyDescent="0.25">
      <c r="A238">
        <v>237</v>
      </c>
      <c r="B238" t="s">
        <v>823</v>
      </c>
      <c r="C238" t="s">
        <v>830</v>
      </c>
      <c r="D238">
        <v>6</v>
      </c>
      <c r="E238" s="203">
        <v>0.61888622007340455</v>
      </c>
      <c r="F238" s="203">
        <v>73.200434150012967</v>
      </c>
      <c r="G238" s="203" t="s">
        <v>819</v>
      </c>
      <c r="H238" s="204">
        <v>-0.87711557703452447</v>
      </c>
      <c r="I238" s="204">
        <v>19.021193235796293</v>
      </c>
      <c r="J238" s="204" t="s">
        <v>819</v>
      </c>
      <c r="K238" s="205">
        <v>1.6901484908677959</v>
      </c>
      <c r="L238" s="205">
        <v>95.4500225056956</v>
      </c>
      <c r="M238" s="205" t="s">
        <v>820</v>
      </c>
    </row>
    <row r="239" spans="1:13" x14ac:dyDescent="0.25">
      <c r="A239">
        <v>238</v>
      </c>
      <c r="B239" t="s">
        <v>823</v>
      </c>
      <c r="C239" t="s">
        <v>830</v>
      </c>
      <c r="D239">
        <v>6</v>
      </c>
      <c r="E239" s="203">
        <v>-0.95387953284974436</v>
      </c>
      <c r="F239" s="203">
        <v>17.007231238764128</v>
      </c>
      <c r="G239" s="203" t="s">
        <v>819</v>
      </c>
      <c r="H239" s="204">
        <v>-1.4713108800584991</v>
      </c>
      <c r="I239" s="204">
        <v>7.0603531133077126</v>
      </c>
      <c r="J239" s="204" t="s">
        <v>819</v>
      </c>
      <c r="K239" s="205">
        <v>2.0875931982587415</v>
      </c>
      <c r="L239" s="205">
        <v>98.158272695884236</v>
      </c>
      <c r="M239" s="205" t="s">
        <v>820</v>
      </c>
    </row>
    <row r="240" spans="1:13" x14ac:dyDescent="0.25">
      <c r="A240">
        <v>239</v>
      </c>
      <c r="B240" t="s">
        <v>823</v>
      </c>
      <c r="C240" t="s">
        <v>831</v>
      </c>
      <c r="D240">
        <v>6</v>
      </c>
      <c r="E240" s="203">
        <v>-0.41495574673538188</v>
      </c>
      <c r="F240" s="203">
        <v>33.908714955400143</v>
      </c>
      <c r="G240" s="203" t="s">
        <v>819</v>
      </c>
      <c r="H240" s="204">
        <v>-1.823700644263857</v>
      </c>
      <c r="I240" s="204">
        <v>3.4098670705639202</v>
      </c>
      <c r="J240" s="204" t="s">
        <v>824</v>
      </c>
      <c r="K240" s="205">
        <v>-0.47439222794983377</v>
      </c>
      <c r="L240" s="205">
        <v>31.761011714375609</v>
      </c>
      <c r="M240" s="205" t="s">
        <v>819</v>
      </c>
    </row>
    <row r="241" spans="1:13" x14ac:dyDescent="0.25">
      <c r="A241">
        <v>240</v>
      </c>
      <c r="B241" t="s">
        <v>823</v>
      </c>
      <c r="C241" t="s">
        <v>831</v>
      </c>
      <c r="D241">
        <v>6</v>
      </c>
      <c r="E241" s="203">
        <v>-0.54555495821280986</v>
      </c>
      <c r="F241" s="203">
        <v>29.268594645056485</v>
      </c>
      <c r="G241" s="203" t="s">
        <v>819</v>
      </c>
      <c r="H241" s="204">
        <v>-0.6412329106916631</v>
      </c>
      <c r="I241" s="204">
        <v>26.068568512934881</v>
      </c>
      <c r="J241" s="204" t="s">
        <v>819</v>
      </c>
      <c r="K241" s="205">
        <v>2.3440815477604797</v>
      </c>
      <c r="L241" s="205">
        <v>99.046299975549729</v>
      </c>
      <c r="M241" s="205" t="s">
        <v>820</v>
      </c>
    </row>
    <row r="242" spans="1:13" x14ac:dyDescent="0.25">
      <c r="A242">
        <v>241</v>
      </c>
      <c r="B242" t="s">
        <v>823</v>
      </c>
      <c r="C242" t="s">
        <v>830</v>
      </c>
      <c r="D242">
        <v>6</v>
      </c>
      <c r="E242" s="203">
        <v>0.61339786493946635</v>
      </c>
      <c r="F242" s="203">
        <v>73.0193351278904</v>
      </c>
      <c r="G242" s="203" t="s">
        <v>819</v>
      </c>
      <c r="H242" s="204">
        <v>-1.58856985547086</v>
      </c>
      <c r="I242" s="204">
        <v>5.6078769167621338</v>
      </c>
      <c r="J242" s="204" t="s">
        <v>819</v>
      </c>
      <c r="K242" s="205">
        <v>2.6178895586603099</v>
      </c>
      <c r="L242" s="205">
        <v>99.557622823585817</v>
      </c>
      <c r="M242" s="205" t="s">
        <v>820</v>
      </c>
    </row>
    <row r="243" spans="1:13" x14ac:dyDescent="0.25">
      <c r="A243">
        <v>242</v>
      </c>
      <c r="B243" t="s">
        <v>823</v>
      </c>
      <c r="C243" t="s">
        <v>830</v>
      </c>
      <c r="D243">
        <v>6</v>
      </c>
      <c r="E243" s="203">
        <v>-2.5208274307548595</v>
      </c>
      <c r="F243" s="203">
        <v>0.58539627332319788</v>
      </c>
      <c r="G243" s="203" t="s">
        <v>818</v>
      </c>
      <c r="H243" s="204">
        <v>-2.1965308952989084</v>
      </c>
      <c r="I243" s="204">
        <v>1.4026983157248973</v>
      </c>
      <c r="J243" s="204" t="s">
        <v>824</v>
      </c>
      <c r="K243" s="205">
        <v>1.0131066152609067</v>
      </c>
      <c r="L243" s="205">
        <v>84.449538058021005</v>
      </c>
      <c r="M243" s="205" t="s">
        <v>819</v>
      </c>
    </row>
    <row r="244" spans="1:13" x14ac:dyDescent="0.25">
      <c r="A244">
        <v>243</v>
      </c>
      <c r="B244" t="s">
        <v>823</v>
      </c>
      <c r="C244" t="s">
        <v>830</v>
      </c>
      <c r="D244">
        <v>5</v>
      </c>
      <c r="E244" s="203">
        <v>-0.19615046250424198</v>
      </c>
      <c r="F244" s="203">
        <v>42.224619998627603</v>
      </c>
      <c r="G244" s="203" t="s">
        <v>819</v>
      </c>
      <c r="H244" s="204">
        <v>-1.6892160355265684</v>
      </c>
      <c r="I244" s="204">
        <v>4.5589018543779245</v>
      </c>
      <c r="J244" s="204" t="s">
        <v>824</v>
      </c>
      <c r="K244" s="205">
        <v>2.4681112457832022</v>
      </c>
      <c r="L244" s="205">
        <v>99.320859500228877</v>
      </c>
      <c r="M244" s="205" t="s">
        <v>820</v>
      </c>
    </row>
    <row r="245" spans="1:13" x14ac:dyDescent="0.25">
      <c r="A245">
        <v>244</v>
      </c>
      <c r="B245" t="s">
        <v>823</v>
      </c>
      <c r="C245" t="s">
        <v>831</v>
      </c>
      <c r="D245">
        <v>6</v>
      </c>
      <c r="E245" s="203">
        <v>-1.1516014491664313</v>
      </c>
      <c r="F245" s="203">
        <v>12.474244281325797</v>
      </c>
      <c r="G245" s="203" t="s">
        <v>819</v>
      </c>
      <c r="H245" s="204">
        <v>-1.5785796533550576</v>
      </c>
      <c r="I245" s="204">
        <v>5.7216252318618652</v>
      </c>
      <c r="J245" s="204" t="s">
        <v>819</v>
      </c>
      <c r="K245" s="205">
        <v>-0.23650726911139458</v>
      </c>
      <c r="L245" s="205">
        <v>40.651953366309876</v>
      </c>
      <c r="M245" s="205" t="s">
        <v>819</v>
      </c>
    </row>
    <row r="246" spans="1:13" x14ac:dyDescent="0.25">
      <c r="A246">
        <v>245</v>
      </c>
      <c r="B246" t="s">
        <v>823</v>
      </c>
      <c r="C246" t="s">
        <v>830</v>
      </c>
      <c r="D246">
        <v>6</v>
      </c>
      <c r="E246" s="203">
        <v>0.212939402931688</v>
      </c>
      <c r="F246" s="203">
        <v>58.431288599212735</v>
      </c>
      <c r="G246" s="203" t="s">
        <v>819</v>
      </c>
      <c r="H246" s="204">
        <v>-0.48695253376379172</v>
      </c>
      <c r="I246" s="204">
        <v>31.314598443946405</v>
      </c>
      <c r="J246" s="204" t="s">
        <v>819</v>
      </c>
      <c r="K246" s="205">
        <v>-2.9019318637102446E-2</v>
      </c>
      <c r="L246" s="205">
        <v>48.842459151882892</v>
      </c>
      <c r="M246" s="205" t="s">
        <v>819</v>
      </c>
    </row>
    <row r="247" spans="1:13" x14ac:dyDescent="0.25">
      <c r="A247">
        <v>246</v>
      </c>
      <c r="B247" t="s">
        <v>823</v>
      </c>
      <c r="C247" t="s">
        <v>830</v>
      </c>
      <c r="D247">
        <v>6</v>
      </c>
      <c r="E247" s="203">
        <v>1.9841477757223556</v>
      </c>
      <c r="F247" s="203">
        <v>97.638031576916319</v>
      </c>
      <c r="G247" s="203" t="s">
        <v>816</v>
      </c>
      <c r="H247" s="204">
        <v>-1.3536858103695399</v>
      </c>
      <c r="I247" s="204">
        <v>8.7918318520048011</v>
      </c>
      <c r="J247" s="204" t="s">
        <v>819</v>
      </c>
      <c r="K247" s="205">
        <v>1.6395659971001701</v>
      </c>
      <c r="L247" s="205">
        <v>94.945228104945571</v>
      </c>
      <c r="M247" s="205" t="s">
        <v>820</v>
      </c>
    </row>
    <row r="248" spans="1:13" x14ac:dyDescent="0.25">
      <c r="A248">
        <v>247</v>
      </c>
      <c r="B248" t="s">
        <v>823</v>
      </c>
      <c r="C248" t="s">
        <v>831</v>
      </c>
      <c r="D248">
        <v>6</v>
      </c>
      <c r="E248" s="203">
        <v>-0.61028419087743091</v>
      </c>
      <c r="F248" s="203">
        <v>27.083678375208336</v>
      </c>
      <c r="G248" s="203" t="s">
        <v>819</v>
      </c>
      <c r="H248" s="204">
        <v>-2.5017874902020218</v>
      </c>
      <c r="I248" s="204">
        <v>0.61784035791575598</v>
      </c>
      <c r="J248" s="204" t="s">
        <v>824</v>
      </c>
      <c r="K248" s="205">
        <v>0.77356388309896384</v>
      </c>
      <c r="L248" s="205">
        <v>78.040563144043603</v>
      </c>
      <c r="M248" s="205" t="s">
        <v>819</v>
      </c>
    </row>
    <row r="249" spans="1:13" x14ac:dyDescent="0.25">
      <c r="A249">
        <v>248</v>
      </c>
      <c r="B249" t="s">
        <v>823</v>
      </c>
      <c r="C249" t="s">
        <v>831</v>
      </c>
      <c r="D249">
        <v>6</v>
      </c>
      <c r="E249" s="203">
        <v>1.630628032756013</v>
      </c>
      <c r="F249" s="203">
        <v>94.851558480253857</v>
      </c>
      <c r="G249" s="203" t="s">
        <v>819</v>
      </c>
      <c r="H249" s="204">
        <v>-1.0149952497906631</v>
      </c>
      <c r="I249" s="204">
        <v>15.505404592688807</v>
      </c>
      <c r="J249" s="204" t="s">
        <v>819</v>
      </c>
      <c r="K249" s="205">
        <v>-0.25119283841084294</v>
      </c>
      <c r="L249" s="205">
        <v>40.083251060961636</v>
      </c>
      <c r="M249" s="205" t="s">
        <v>819</v>
      </c>
    </row>
    <row r="250" spans="1:13" x14ac:dyDescent="0.25">
      <c r="A250">
        <v>249</v>
      </c>
      <c r="B250" t="s">
        <v>823</v>
      </c>
      <c r="C250" t="s">
        <v>830</v>
      </c>
      <c r="D250">
        <v>6</v>
      </c>
      <c r="E250" s="203">
        <v>-1.1700810988310337</v>
      </c>
      <c r="F250" s="203">
        <v>12.098416701208818</v>
      </c>
      <c r="G250" s="203" t="s">
        <v>819</v>
      </c>
      <c r="H250" s="204">
        <v>-9.0025042409134226E-2</v>
      </c>
      <c r="I250" s="204">
        <v>46.413365732983813</v>
      </c>
      <c r="J250" s="204" t="s">
        <v>819</v>
      </c>
      <c r="K250" s="205">
        <v>0.78805223676097624</v>
      </c>
      <c r="L250" s="205">
        <v>78.466692416401287</v>
      </c>
      <c r="M250" s="205" t="s">
        <v>819</v>
      </c>
    </row>
    <row r="251" spans="1:13" x14ac:dyDescent="0.25">
      <c r="A251">
        <v>250</v>
      </c>
      <c r="B251" t="s">
        <v>823</v>
      </c>
      <c r="C251" t="s">
        <v>831</v>
      </c>
      <c r="D251">
        <v>6</v>
      </c>
      <c r="E251" s="203">
        <v>0.56689319401605742</v>
      </c>
      <c r="F251" s="203">
        <v>71.460662576089177</v>
      </c>
      <c r="G251" s="203" t="s">
        <v>819</v>
      </c>
      <c r="H251" s="204">
        <v>-0.7196514427286389</v>
      </c>
      <c r="I251" s="204">
        <v>23.586981503808541</v>
      </c>
      <c r="J251" s="204" t="s">
        <v>819</v>
      </c>
      <c r="K251" s="205">
        <v>0.67473749067938538</v>
      </c>
      <c r="L251" s="205">
        <v>75.007871954375531</v>
      </c>
      <c r="M251" s="205" t="s">
        <v>819</v>
      </c>
    </row>
    <row r="252" spans="1:13" x14ac:dyDescent="0.25">
      <c r="A252">
        <v>251</v>
      </c>
      <c r="B252" t="s">
        <v>823</v>
      </c>
      <c r="C252" t="s">
        <v>830</v>
      </c>
      <c r="D252">
        <v>6</v>
      </c>
      <c r="E252" s="203">
        <v>0.71056037611537526</v>
      </c>
      <c r="F252" s="203">
        <v>76.132164771867878</v>
      </c>
      <c r="G252" s="203" t="s">
        <v>819</v>
      </c>
      <c r="H252" s="204">
        <v>-0.77962024952508646</v>
      </c>
      <c r="I252" s="204">
        <v>21.780721661183492</v>
      </c>
      <c r="J252" s="204" t="s">
        <v>819</v>
      </c>
      <c r="K252" s="205">
        <v>0.7208317628503178</v>
      </c>
      <c r="L252" s="205">
        <v>76.449348477541974</v>
      </c>
      <c r="M252" s="205" t="s">
        <v>819</v>
      </c>
    </row>
    <row r="253" spans="1:13" x14ac:dyDescent="0.25">
      <c r="A253">
        <v>252</v>
      </c>
      <c r="B253" t="s">
        <v>823</v>
      </c>
      <c r="C253" t="s">
        <v>831</v>
      </c>
      <c r="D253">
        <v>6</v>
      </c>
      <c r="E253" s="203">
        <v>0.29132588192748249</v>
      </c>
      <c r="F253" s="203">
        <v>61.45989527143287</v>
      </c>
      <c r="G253" s="203" t="s">
        <v>819</v>
      </c>
      <c r="H253" s="204">
        <v>-1.2946529744569908</v>
      </c>
      <c r="I253" s="204">
        <v>9.7719984531577424</v>
      </c>
      <c r="J253" s="204" t="s">
        <v>819</v>
      </c>
      <c r="K253" s="205">
        <v>1.560884476650868</v>
      </c>
      <c r="L253" s="205">
        <v>94.072449469457851</v>
      </c>
      <c r="M253" s="205" t="s">
        <v>820</v>
      </c>
    </row>
    <row r="254" spans="1:13" x14ac:dyDescent="0.25">
      <c r="A254">
        <v>253</v>
      </c>
      <c r="B254" t="s">
        <v>823</v>
      </c>
      <c r="C254" t="s">
        <v>831</v>
      </c>
      <c r="D254">
        <v>5</v>
      </c>
      <c r="E254" s="203">
        <v>0.56214821705856122</v>
      </c>
      <c r="F254" s="203">
        <v>71.299248046176842</v>
      </c>
      <c r="G254" s="203" t="s">
        <v>819</v>
      </c>
      <c r="H254" s="204">
        <v>-0.99060846443420458</v>
      </c>
      <c r="I254" s="204">
        <v>16.093840146221279</v>
      </c>
      <c r="J254" s="204" t="s">
        <v>819</v>
      </c>
      <c r="K254" s="205">
        <v>2.5492082317435907</v>
      </c>
      <c r="L254" s="205">
        <v>99.460160938769036</v>
      </c>
      <c r="M254" s="205" t="s">
        <v>820</v>
      </c>
    </row>
    <row r="255" spans="1:13" x14ac:dyDescent="0.25">
      <c r="A255">
        <v>254</v>
      </c>
      <c r="B255" t="s">
        <v>823</v>
      </c>
      <c r="C255" t="s">
        <v>830</v>
      </c>
      <c r="D255">
        <v>5</v>
      </c>
      <c r="E255" s="203">
        <v>0.84456377394689619</v>
      </c>
      <c r="F255" s="203">
        <v>80.082277883765414</v>
      </c>
      <c r="G255" s="203" t="s">
        <v>819</v>
      </c>
      <c r="H255" s="204">
        <v>0.7964232090296004</v>
      </c>
      <c r="I255" s="204">
        <v>78.710695362571968</v>
      </c>
      <c r="J255" s="204" t="s">
        <v>819</v>
      </c>
      <c r="K255" s="205">
        <v>0.78717343896007597</v>
      </c>
      <c r="L255" s="205">
        <v>78.440982822944051</v>
      </c>
      <c r="M255" s="205" t="s">
        <v>819</v>
      </c>
    </row>
    <row r="256" spans="1:13" x14ac:dyDescent="0.25">
      <c r="A256">
        <v>255</v>
      </c>
      <c r="B256" t="s">
        <v>823</v>
      </c>
      <c r="C256" t="s">
        <v>831</v>
      </c>
      <c r="D256">
        <v>6</v>
      </c>
      <c r="E256" s="203">
        <v>0.17742992716514014</v>
      </c>
      <c r="F256" s="203">
        <v>57.041464912427372</v>
      </c>
      <c r="G256" s="203" t="s">
        <v>819</v>
      </c>
      <c r="H256" s="204">
        <v>-1.684449787570395</v>
      </c>
      <c r="I256" s="204">
        <v>4.6047387875448509</v>
      </c>
      <c r="J256" s="204" t="s">
        <v>824</v>
      </c>
      <c r="K256" s="205">
        <v>-0.50017408082294723</v>
      </c>
      <c r="L256" s="205">
        <v>30.847625357166329</v>
      </c>
      <c r="M256" s="205" t="s">
        <v>819</v>
      </c>
    </row>
    <row r="257" spans="1:13" x14ac:dyDescent="0.25">
      <c r="A257">
        <v>256</v>
      </c>
      <c r="B257" t="s">
        <v>823</v>
      </c>
      <c r="C257" t="s">
        <v>831</v>
      </c>
      <c r="D257">
        <v>6</v>
      </c>
      <c r="E257" s="203">
        <v>-0.10689348990141691</v>
      </c>
      <c r="F257" s="203">
        <v>45.743673895312568</v>
      </c>
      <c r="G257" s="203" t="s">
        <v>819</v>
      </c>
      <c r="H257" s="204">
        <v>-1.05532998205599</v>
      </c>
      <c r="I257" s="204">
        <v>14.563721667478951</v>
      </c>
      <c r="J257" s="204" t="s">
        <v>819</v>
      </c>
      <c r="K257" s="205">
        <v>1.1228277033860308</v>
      </c>
      <c r="L257" s="205">
        <v>86.924466144909758</v>
      </c>
      <c r="M257" s="205" t="s">
        <v>820</v>
      </c>
    </row>
    <row r="258" spans="1:13" x14ac:dyDescent="0.25">
      <c r="A258">
        <v>257</v>
      </c>
      <c r="B258" t="s">
        <v>823</v>
      </c>
      <c r="C258" t="s">
        <v>830</v>
      </c>
      <c r="D258">
        <v>6</v>
      </c>
      <c r="E258" s="203">
        <v>-1.2586464062583185</v>
      </c>
      <c r="F258" s="203">
        <v>10.407903864451699</v>
      </c>
      <c r="G258" s="203" t="s">
        <v>819</v>
      </c>
      <c r="H258" s="204">
        <v>-1.6560883705780167</v>
      </c>
      <c r="I258" s="204">
        <v>4.8851962042845045</v>
      </c>
      <c r="J258" s="204" t="s">
        <v>824</v>
      </c>
      <c r="K258" s="205">
        <v>-1.3755346351060278</v>
      </c>
      <c r="L258" s="205">
        <v>8.448287781050988</v>
      </c>
      <c r="M258" s="205" t="s">
        <v>825</v>
      </c>
    </row>
    <row r="259" spans="1:13" x14ac:dyDescent="0.25">
      <c r="A259">
        <v>258</v>
      </c>
      <c r="B259" t="s">
        <v>823</v>
      </c>
      <c r="C259" t="s">
        <v>831</v>
      </c>
      <c r="D259">
        <v>6</v>
      </c>
      <c r="E259" s="203">
        <v>0.19318415336292494</v>
      </c>
      <c r="F259" s="203">
        <v>57.659262562120929</v>
      </c>
      <c r="G259" s="203" t="s">
        <v>819</v>
      </c>
      <c r="H259" s="204">
        <v>-1.7372627455491434</v>
      </c>
      <c r="I259" s="204">
        <v>4.1170402073573076</v>
      </c>
      <c r="J259" s="204" t="s">
        <v>824</v>
      </c>
      <c r="K259" s="205">
        <v>0.65400497537659119</v>
      </c>
      <c r="L259" s="205">
        <v>74.344569991395176</v>
      </c>
      <c r="M259" s="205" t="s">
        <v>819</v>
      </c>
    </row>
    <row r="260" spans="1:13" x14ac:dyDescent="0.25">
      <c r="A260">
        <v>259</v>
      </c>
      <c r="B260" t="s">
        <v>823</v>
      </c>
      <c r="C260" t="s">
        <v>831</v>
      </c>
      <c r="D260">
        <v>5</v>
      </c>
      <c r="E260" s="203">
        <v>-0.53052210128022403</v>
      </c>
      <c r="F260" s="203">
        <v>29.78749947816538</v>
      </c>
      <c r="G260" s="203" t="s">
        <v>819</v>
      </c>
      <c r="H260" s="204">
        <v>0.62408025191826766</v>
      </c>
      <c r="I260" s="204">
        <v>73.371255880487567</v>
      </c>
      <c r="J260" s="204" t="s">
        <v>819</v>
      </c>
      <c r="K260" s="205">
        <v>-0.26947844625418482</v>
      </c>
      <c r="L260" s="205">
        <v>39.378076317116644</v>
      </c>
      <c r="M260" s="205" t="s">
        <v>819</v>
      </c>
    </row>
    <row r="261" spans="1:13" x14ac:dyDescent="0.25">
      <c r="A261">
        <v>260</v>
      </c>
      <c r="B261" t="s">
        <v>823</v>
      </c>
      <c r="C261" t="s">
        <v>830</v>
      </c>
      <c r="D261">
        <v>6</v>
      </c>
      <c r="E261" s="203">
        <v>-0.36627407113532234</v>
      </c>
      <c r="F261" s="203">
        <v>35.708028776585778</v>
      </c>
      <c r="G261" s="203" t="s">
        <v>819</v>
      </c>
      <c r="H261" s="204">
        <v>-1.2644465681754677</v>
      </c>
      <c r="I261" s="204">
        <v>10.303489365346859</v>
      </c>
      <c r="J261" s="204" t="s">
        <v>819</v>
      </c>
      <c r="K261" s="205">
        <v>2.2526607619954038</v>
      </c>
      <c r="L261" s="205">
        <v>98.785972661483328</v>
      </c>
      <c r="M261" s="205" t="s">
        <v>820</v>
      </c>
    </row>
    <row r="262" spans="1:13" x14ac:dyDescent="0.25">
      <c r="A262">
        <v>261</v>
      </c>
      <c r="B262" t="s">
        <v>823</v>
      </c>
      <c r="C262" t="s">
        <v>831</v>
      </c>
      <c r="D262">
        <v>6</v>
      </c>
      <c r="E262" s="203">
        <v>0.27706301118125604</v>
      </c>
      <c r="F262" s="203">
        <v>60.913413840554199</v>
      </c>
      <c r="G262" s="203" t="s">
        <v>819</v>
      </c>
      <c r="H262" s="204">
        <v>-1.9517409968195727</v>
      </c>
      <c r="I262" s="204">
        <v>2.5484481300882185</v>
      </c>
      <c r="J262" s="204" t="s">
        <v>824</v>
      </c>
      <c r="K262" s="205">
        <v>0.22547884817071959</v>
      </c>
      <c r="L262" s="205">
        <v>58.919661077849341</v>
      </c>
      <c r="M262" s="205" t="s">
        <v>819</v>
      </c>
    </row>
    <row r="263" spans="1:13" x14ac:dyDescent="0.25">
      <c r="A263">
        <v>262</v>
      </c>
      <c r="B263" t="s">
        <v>823</v>
      </c>
      <c r="C263" t="s">
        <v>830</v>
      </c>
      <c r="D263">
        <v>6</v>
      </c>
      <c r="E263" s="203">
        <v>-0.75801104561160371</v>
      </c>
      <c r="F263" s="203">
        <v>22.422218513677358</v>
      </c>
      <c r="G263" s="203" t="s">
        <v>819</v>
      </c>
      <c r="H263" s="204">
        <v>-0.1990421446739479</v>
      </c>
      <c r="I263" s="204">
        <v>42.111488871069405</v>
      </c>
      <c r="J263" s="204" t="s">
        <v>819</v>
      </c>
      <c r="K263" s="205">
        <v>1.1192276362120066</v>
      </c>
      <c r="L263" s="205">
        <v>86.84784808807197</v>
      </c>
      <c r="M263" s="205" t="s">
        <v>820</v>
      </c>
    </row>
    <row r="264" spans="1:13" x14ac:dyDescent="0.25">
      <c r="A264">
        <v>263</v>
      </c>
      <c r="B264" t="s">
        <v>823</v>
      </c>
      <c r="C264" t="s">
        <v>831</v>
      </c>
      <c r="D264">
        <v>5</v>
      </c>
      <c r="E264" s="203">
        <v>-0.33161609450149321</v>
      </c>
      <c r="F264" s="203">
        <v>37.008958250973713</v>
      </c>
      <c r="G264" s="203" t="s">
        <v>819</v>
      </c>
      <c r="H264" s="204">
        <v>-1.1510182455369857</v>
      </c>
      <c r="I264" s="204">
        <v>12.486236471272349</v>
      </c>
      <c r="J264" s="204" t="s">
        <v>819</v>
      </c>
      <c r="K264" s="205">
        <v>-0.12416917212206098</v>
      </c>
      <c r="L264" s="205">
        <v>45.059066519539527</v>
      </c>
      <c r="M264" s="205" t="s">
        <v>819</v>
      </c>
    </row>
    <row r="265" spans="1:13" x14ac:dyDescent="0.25">
      <c r="A265">
        <v>264</v>
      </c>
      <c r="B265" t="s">
        <v>823</v>
      </c>
      <c r="C265" t="s">
        <v>830</v>
      </c>
      <c r="D265">
        <v>6</v>
      </c>
      <c r="E265" s="203">
        <v>-1.2797823836950899</v>
      </c>
      <c r="F265" s="203">
        <v>10.031084055229632</v>
      </c>
      <c r="G265" s="203" t="s">
        <v>819</v>
      </c>
      <c r="H265" s="204">
        <v>-1.7514641743215669</v>
      </c>
      <c r="I265" s="204">
        <v>3.9932993577604403</v>
      </c>
      <c r="J265" s="204" t="s">
        <v>824</v>
      </c>
      <c r="K265" s="205">
        <v>0.73154659356563911</v>
      </c>
      <c r="L265" s="205">
        <v>76.777732216526346</v>
      </c>
      <c r="M265" s="205" t="s">
        <v>819</v>
      </c>
    </row>
    <row r="266" spans="1:13" x14ac:dyDescent="0.25">
      <c r="A266">
        <v>265</v>
      </c>
      <c r="B266" t="s">
        <v>823</v>
      </c>
      <c r="C266" t="s">
        <v>831</v>
      </c>
      <c r="D266">
        <v>7</v>
      </c>
      <c r="E266" s="203">
        <v>1.7590863988474952</v>
      </c>
      <c r="F266" s="203">
        <v>96.071858263968807</v>
      </c>
      <c r="G266" s="203" t="s">
        <v>816</v>
      </c>
      <c r="H266" s="204">
        <v>1.3526390574554881</v>
      </c>
      <c r="I266" s="204">
        <v>91.191451580148382</v>
      </c>
      <c r="J266" s="204" t="s">
        <v>819</v>
      </c>
      <c r="K266" s="205">
        <v>-1.1438575089614904</v>
      </c>
      <c r="L266" s="205">
        <v>12.634136762308781</v>
      </c>
      <c r="M266" s="205" t="s">
        <v>825</v>
      </c>
    </row>
    <row r="267" spans="1:13" x14ac:dyDescent="0.25">
      <c r="A267">
        <v>266</v>
      </c>
      <c r="B267" t="s">
        <v>823</v>
      </c>
      <c r="C267" t="s">
        <v>830</v>
      </c>
      <c r="D267">
        <v>6</v>
      </c>
      <c r="E267" s="203">
        <v>2.1622048610085467</v>
      </c>
      <c r="F267" s="203">
        <v>98.469880548371393</v>
      </c>
      <c r="G267" s="203" t="s">
        <v>816</v>
      </c>
      <c r="H267" s="204">
        <v>-1.098947752137807</v>
      </c>
      <c r="I267" s="204">
        <v>13.589542810912555</v>
      </c>
      <c r="J267" s="204" t="s">
        <v>819</v>
      </c>
      <c r="K267" s="205">
        <v>5.5578323524055664</v>
      </c>
      <c r="L267" s="205">
        <v>99.999998634272274</v>
      </c>
      <c r="M267" s="205" t="s">
        <v>820</v>
      </c>
    </row>
    <row r="268" spans="1:13" x14ac:dyDescent="0.25">
      <c r="A268">
        <v>267</v>
      </c>
      <c r="B268" t="s">
        <v>823</v>
      </c>
      <c r="C268" t="s">
        <v>831</v>
      </c>
      <c r="D268">
        <v>6</v>
      </c>
      <c r="E268" s="203">
        <v>-1.6383840902634794</v>
      </c>
      <c r="F268" s="203">
        <v>5.0670797940563279</v>
      </c>
      <c r="G268" s="203" t="s">
        <v>819</v>
      </c>
      <c r="H268" s="204">
        <v>-1.2632771714609095</v>
      </c>
      <c r="I268" s="204">
        <v>10.324479368017665</v>
      </c>
      <c r="J268" s="204" t="s">
        <v>819</v>
      </c>
      <c r="K268" s="205">
        <v>0.74944213919387404</v>
      </c>
      <c r="L268" s="205">
        <v>77.320461971257117</v>
      </c>
      <c r="M268" s="205" t="s">
        <v>819</v>
      </c>
    </row>
    <row r="269" spans="1:13" x14ac:dyDescent="0.25">
      <c r="A269">
        <v>268</v>
      </c>
      <c r="B269" t="s">
        <v>823</v>
      </c>
      <c r="C269" t="s">
        <v>831</v>
      </c>
      <c r="D269">
        <v>7</v>
      </c>
      <c r="E269" s="203">
        <v>6.61972484897453E-2</v>
      </c>
      <c r="F269" s="203">
        <v>52.638960632064745</v>
      </c>
      <c r="G269" s="203" t="s">
        <v>819</v>
      </c>
      <c r="H269" s="204">
        <v>-0.2587521264673508</v>
      </c>
      <c r="I269" s="204">
        <v>39.791324882575729</v>
      </c>
      <c r="J269" s="204" t="s">
        <v>819</v>
      </c>
      <c r="K269" s="205">
        <v>0.16939400789845213</v>
      </c>
      <c r="L269" s="205">
        <v>56.725663179812258</v>
      </c>
      <c r="M269" s="205" t="s">
        <v>819</v>
      </c>
    </row>
    <row r="270" spans="1:13" x14ac:dyDescent="0.25">
      <c r="A270">
        <v>269</v>
      </c>
      <c r="B270" t="s">
        <v>823</v>
      </c>
      <c r="C270" t="s">
        <v>831</v>
      </c>
      <c r="D270">
        <v>7</v>
      </c>
      <c r="E270" s="203">
        <v>-0.66488463128092945</v>
      </c>
      <c r="F270" s="203">
        <v>25.306214318074844</v>
      </c>
      <c r="G270" s="203" t="s">
        <v>819</v>
      </c>
      <c r="H270" s="204">
        <v>-0.64514797825414649</v>
      </c>
      <c r="I270" s="204">
        <v>25.941564727696907</v>
      </c>
      <c r="J270" s="204" t="s">
        <v>819</v>
      </c>
      <c r="K270" s="205">
        <v>0.78191280108269556</v>
      </c>
      <c r="L270" s="205">
        <v>78.286708930558333</v>
      </c>
      <c r="M270" s="205" t="s">
        <v>819</v>
      </c>
    </row>
    <row r="271" spans="1:13" x14ac:dyDescent="0.25">
      <c r="A271">
        <v>270</v>
      </c>
      <c r="B271" t="s">
        <v>823</v>
      </c>
      <c r="C271" t="s">
        <v>831</v>
      </c>
      <c r="D271">
        <v>7</v>
      </c>
      <c r="E271" s="203">
        <v>-0.23370490872529148</v>
      </c>
      <c r="F271" s="203">
        <v>40.760703833311425</v>
      </c>
      <c r="G271" s="203" t="s">
        <v>819</v>
      </c>
      <c r="H271" s="204">
        <v>-4.0451399848090439</v>
      </c>
      <c r="I271" s="204">
        <v>2.6145934203358132E-3</v>
      </c>
      <c r="J271" s="204" t="s">
        <v>824</v>
      </c>
      <c r="K271" s="205">
        <v>3.246706926429634</v>
      </c>
      <c r="L271" s="205">
        <v>99.941625728138135</v>
      </c>
      <c r="M271" s="205" t="s">
        <v>820</v>
      </c>
    </row>
    <row r="272" spans="1:13" x14ac:dyDescent="0.25">
      <c r="A272">
        <v>271</v>
      </c>
      <c r="B272" t="s">
        <v>823</v>
      </c>
      <c r="C272" t="s">
        <v>831</v>
      </c>
      <c r="D272">
        <v>7</v>
      </c>
      <c r="E272" s="203">
        <v>1.3065776966316867</v>
      </c>
      <c r="F272" s="203">
        <v>90.432191226418297</v>
      </c>
      <c r="G272" s="203" t="s">
        <v>819</v>
      </c>
      <c r="H272" s="204">
        <v>-1.526879421093482</v>
      </c>
      <c r="I272" s="204">
        <v>6.339549883514958</v>
      </c>
      <c r="J272" s="204" t="s">
        <v>819</v>
      </c>
      <c r="K272" s="205">
        <v>-0.12825267497479337</v>
      </c>
      <c r="L272" s="205">
        <v>44.897450781070027</v>
      </c>
      <c r="M272" s="205" t="s">
        <v>819</v>
      </c>
    </row>
    <row r="273" spans="1:13" x14ac:dyDescent="0.25">
      <c r="A273">
        <v>272</v>
      </c>
      <c r="B273" t="s">
        <v>823</v>
      </c>
      <c r="C273" t="s">
        <v>831</v>
      </c>
      <c r="D273">
        <v>7</v>
      </c>
      <c r="E273" s="203">
        <v>-0.77961686557016974</v>
      </c>
      <c r="F273" s="203">
        <v>21.780821282306878</v>
      </c>
      <c r="G273" s="203" t="s">
        <v>819</v>
      </c>
      <c r="H273" s="204">
        <v>-2.6453847299302566</v>
      </c>
      <c r="I273" s="204">
        <v>0.40799041466387981</v>
      </c>
      <c r="J273" s="204" t="s">
        <v>824</v>
      </c>
      <c r="K273" s="205">
        <v>1.2574044992593816</v>
      </c>
      <c r="L273" s="205">
        <v>89.569639957428933</v>
      </c>
      <c r="M273" s="205" t="s">
        <v>820</v>
      </c>
    </row>
    <row r="274" spans="1:13" x14ac:dyDescent="0.25">
      <c r="A274">
        <v>273</v>
      </c>
      <c r="B274" t="s">
        <v>823</v>
      </c>
      <c r="C274" t="s">
        <v>831</v>
      </c>
      <c r="D274">
        <v>7</v>
      </c>
      <c r="E274" s="203">
        <v>0.40581392263037702</v>
      </c>
      <c r="F274" s="203">
        <v>65.756033596982675</v>
      </c>
      <c r="G274" s="203" t="s">
        <v>819</v>
      </c>
      <c r="H274" s="204">
        <v>-0.55139177290538077</v>
      </c>
      <c r="I274" s="204">
        <v>29.068256961088125</v>
      </c>
      <c r="J274" s="204" t="s">
        <v>819</v>
      </c>
      <c r="K274" s="205">
        <v>0.39197618423579378</v>
      </c>
      <c r="L274" s="205">
        <v>65.246209459357132</v>
      </c>
      <c r="M274" s="205" t="s">
        <v>819</v>
      </c>
    </row>
    <row r="275" spans="1:13" x14ac:dyDescent="0.25">
      <c r="A275">
        <v>274</v>
      </c>
      <c r="B275" t="s">
        <v>823</v>
      </c>
      <c r="C275" t="s">
        <v>830</v>
      </c>
      <c r="D275">
        <v>7</v>
      </c>
      <c r="E275" s="203">
        <v>-0.79107504517717742</v>
      </c>
      <c r="F275" s="203">
        <v>21.445010023415193</v>
      </c>
      <c r="G275" s="203" t="s">
        <v>819</v>
      </c>
      <c r="H275" s="204">
        <v>-0.64349802644643883</v>
      </c>
      <c r="I275" s="204">
        <v>25.995049746953789</v>
      </c>
      <c r="J275" s="204" t="s">
        <v>819</v>
      </c>
      <c r="K275" s="205">
        <v>-1.7282034213898232</v>
      </c>
      <c r="L275" s="205">
        <v>4.1975880278951303</v>
      </c>
      <c r="M275" s="205" t="s">
        <v>818</v>
      </c>
    </row>
    <row r="276" spans="1:13" x14ac:dyDescent="0.25">
      <c r="A276">
        <v>275</v>
      </c>
      <c r="B276" t="s">
        <v>823</v>
      </c>
      <c r="C276" t="s">
        <v>830</v>
      </c>
      <c r="D276">
        <v>7</v>
      </c>
      <c r="E276" s="203">
        <v>-0.51720860410298564</v>
      </c>
      <c r="F276" s="203">
        <v>30.250527320234756</v>
      </c>
      <c r="G276" s="203" t="s">
        <v>819</v>
      </c>
      <c r="H276" s="204">
        <v>-0.7336420060491492</v>
      </c>
      <c r="I276" s="204">
        <v>23.158347624567888</v>
      </c>
      <c r="J276" s="204" t="s">
        <v>819</v>
      </c>
      <c r="K276" s="205">
        <v>-0.11487585928721458</v>
      </c>
      <c r="L276" s="205">
        <v>45.427175994873537</v>
      </c>
      <c r="M276" s="205" t="s">
        <v>819</v>
      </c>
    </row>
    <row r="277" spans="1:13" x14ac:dyDescent="0.25">
      <c r="A277">
        <v>276</v>
      </c>
      <c r="B277" t="s">
        <v>823</v>
      </c>
      <c r="C277" t="s">
        <v>830</v>
      </c>
      <c r="D277">
        <v>7</v>
      </c>
      <c r="E277" s="203">
        <v>-0.31330802490340465</v>
      </c>
      <c r="F277" s="203">
        <v>37.702332692771677</v>
      </c>
      <c r="G277" s="203" t="s">
        <v>819</v>
      </c>
      <c r="H277" s="204">
        <v>-0.47660106212495235</v>
      </c>
      <c r="I277" s="204">
        <v>31.682311347311444</v>
      </c>
      <c r="J277" s="204" t="s">
        <v>819</v>
      </c>
      <c r="K277" s="205">
        <v>0.17755125650682246</v>
      </c>
      <c r="L277" s="205">
        <v>57.046229607768787</v>
      </c>
      <c r="M277" s="205" t="s">
        <v>819</v>
      </c>
    </row>
    <row r="278" spans="1:13" x14ac:dyDescent="0.25">
      <c r="A278">
        <v>277</v>
      </c>
      <c r="B278" t="s">
        <v>823</v>
      </c>
      <c r="C278" t="s">
        <v>830</v>
      </c>
      <c r="D278">
        <v>7</v>
      </c>
      <c r="E278" s="203">
        <v>0.99603894484217037</v>
      </c>
      <c r="F278" s="203">
        <v>84.038438843186242</v>
      </c>
      <c r="G278" s="203" t="s">
        <v>819</v>
      </c>
      <c r="H278" s="204">
        <v>-0.91883308691979271</v>
      </c>
      <c r="I278" s="204">
        <v>17.909144166967998</v>
      </c>
      <c r="J278" s="204" t="s">
        <v>819</v>
      </c>
      <c r="K278" s="205">
        <v>0.40007829605829592</v>
      </c>
      <c r="L278" s="205">
        <v>65.545057525915396</v>
      </c>
      <c r="M278" s="205" t="s">
        <v>819</v>
      </c>
    </row>
    <row r="279" spans="1:13" x14ac:dyDescent="0.25">
      <c r="A279">
        <v>278</v>
      </c>
      <c r="B279" t="s">
        <v>823</v>
      </c>
      <c r="C279" t="s">
        <v>830</v>
      </c>
      <c r="D279">
        <v>7</v>
      </c>
      <c r="E279" s="203">
        <v>-0.70639896334762187</v>
      </c>
      <c r="F279" s="203">
        <v>23.997003268664525</v>
      </c>
      <c r="G279" s="203" t="s">
        <v>819</v>
      </c>
      <c r="H279" s="204">
        <v>-2.3005776085062344</v>
      </c>
      <c r="I279" s="204">
        <v>1.0707758948231161</v>
      </c>
      <c r="J279" s="204" t="s">
        <v>824</v>
      </c>
      <c r="K279" s="205">
        <v>1.0669076252109804</v>
      </c>
      <c r="L279" s="205">
        <v>85.699322438864414</v>
      </c>
      <c r="M279" s="205" t="s">
        <v>820</v>
      </c>
    </row>
    <row r="280" spans="1:13" x14ac:dyDescent="0.25">
      <c r="A280">
        <v>279</v>
      </c>
      <c r="B280" t="s">
        <v>823</v>
      </c>
      <c r="C280" t="s">
        <v>830</v>
      </c>
      <c r="D280">
        <v>6</v>
      </c>
      <c r="E280" s="203">
        <v>-1.6813417565690345</v>
      </c>
      <c r="F280" s="203">
        <v>4.6348275784594835</v>
      </c>
      <c r="G280" s="203" t="s">
        <v>818</v>
      </c>
      <c r="H280" s="204">
        <v>-1.6560883705780167</v>
      </c>
      <c r="I280" s="204">
        <v>4.8851962042845045</v>
      </c>
      <c r="J280" s="204" t="s">
        <v>824</v>
      </c>
      <c r="K280" s="205">
        <v>0.65565198578079653</v>
      </c>
      <c r="L280" s="205">
        <v>74.397596565546451</v>
      </c>
      <c r="M280" s="205" t="s">
        <v>819</v>
      </c>
    </row>
    <row r="281" spans="1:13" x14ac:dyDescent="0.25">
      <c r="A281">
        <v>280</v>
      </c>
      <c r="B281" t="s">
        <v>823</v>
      </c>
      <c r="C281" t="s">
        <v>831</v>
      </c>
      <c r="D281">
        <v>8</v>
      </c>
      <c r="E281" s="203">
        <v>-0.16602346048835437</v>
      </c>
      <c r="F281" s="203">
        <v>43.406924379261994</v>
      </c>
      <c r="G281" s="203" t="s">
        <v>819</v>
      </c>
      <c r="H281" s="204">
        <v>-0.68963087565141745</v>
      </c>
      <c r="I281" s="204">
        <v>24.521317283405736</v>
      </c>
      <c r="J281" s="204" t="s">
        <v>819</v>
      </c>
      <c r="K281" s="205">
        <v>1.8285444058844078</v>
      </c>
      <c r="L281" s="205">
        <v>96.626605621213045</v>
      </c>
      <c r="M281" s="205" t="s">
        <v>820</v>
      </c>
    </row>
    <row r="282" spans="1:13" x14ac:dyDescent="0.25">
      <c r="A282">
        <v>281</v>
      </c>
      <c r="B282" t="s">
        <v>823</v>
      </c>
      <c r="C282" t="s">
        <v>831</v>
      </c>
      <c r="D282">
        <v>8</v>
      </c>
      <c r="E282" s="203">
        <v>-1.3133065112379985</v>
      </c>
      <c r="F282" s="203">
        <v>9.4539842679487318</v>
      </c>
      <c r="G282" s="203" t="s">
        <v>819</v>
      </c>
      <c r="H282" s="204">
        <v>-0.88265402572048923</v>
      </c>
      <c r="I282" s="204">
        <v>18.871161450548712</v>
      </c>
      <c r="J282" s="204" t="s">
        <v>819</v>
      </c>
      <c r="K282" s="205">
        <v>-0.93232864514641411</v>
      </c>
      <c r="L282" s="205">
        <v>17.558335415779798</v>
      </c>
      <c r="M282" s="205" t="s">
        <v>819</v>
      </c>
    </row>
    <row r="283" spans="1:13" x14ac:dyDescent="0.25">
      <c r="A283">
        <v>282</v>
      </c>
      <c r="B283" t="s">
        <v>823</v>
      </c>
      <c r="C283" t="s">
        <v>830</v>
      </c>
      <c r="D283">
        <v>7</v>
      </c>
      <c r="E283" s="203">
        <v>-2.3916320452694682</v>
      </c>
      <c r="F283" s="203">
        <v>0.83868245304184763</v>
      </c>
      <c r="G283" s="203" t="s">
        <v>818</v>
      </c>
      <c r="H283" s="204">
        <v>-2.2423058176079675</v>
      </c>
      <c r="I283" s="204">
        <v>1.2470807012294169</v>
      </c>
      <c r="J283" s="204" t="s">
        <v>824</v>
      </c>
      <c r="K283" s="205">
        <v>1.4009148853229625</v>
      </c>
      <c r="L283" s="205">
        <v>91.938023651842457</v>
      </c>
      <c r="M283" s="205" t="s">
        <v>820</v>
      </c>
    </row>
    <row r="284" spans="1:13" x14ac:dyDescent="0.25">
      <c r="A284">
        <v>283</v>
      </c>
      <c r="B284" t="s">
        <v>823</v>
      </c>
      <c r="C284" t="s">
        <v>831</v>
      </c>
      <c r="D284">
        <v>8</v>
      </c>
      <c r="E284" s="203">
        <v>-2.0979924910418788</v>
      </c>
      <c r="F284" s="203">
        <v>1.7952904348930629</v>
      </c>
      <c r="G284" s="203" t="s">
        <v>818</v>
      </c>
      <c r="H284" s="204">
        <v>-1.2548319975218831</v>
      </c>
      <c r="I284" s="204">
        <v>10.476987712922796</v>
      </c>
      <c r="J284" s="204" t="s">
        <v>819</v>
      </c>
      <c r="K284" s="205">
        <v>-0.3464136819283119</v>
      </c>
      <c r="L284" s="205">
        <v>36.451592211635209</v>
      </c>
      <c r="M284" s="205" t="s">
        <v>819</v>
      </c>
    </row>
    <row r="285" spans="1:13" x14ac:dyDescent="0.25">
      <c r="A285">
        <v>284</v>
      </c>
      <c r="B285" t="s">
        <v>823</v>
      </c>
      <c r="C285" t="s">
        <v>830</v>
      </c>
      <c r="D285">
        <v>8</v>
      </c>
      <c r="E285" s="203">
        <v>-1.4957079713051564</v>
      </c>
      <c r="F285" s="203">
        <v>6.7364886069583241</v>
      </c>
      <c r="G285" s="203" t="s">
        <v>819</v>
      </c>
      <c r="H285" s="204">
        <v>-1.2949353193842263</v>
      </c>
      <c r="I285" s="204">
        <v>9.7671271577250511</v>
      </c>
      <c r="J285" s="204" t="s">
        <v>819</v>
      </c>
      <c r="K285" s="205">
        <v>3.3079326909996751E-2</v>
      </c>
      <c r="L285" s="205">
        <v>51.319433576864171</v>
      </c>
      <c r="M285" s="205" t="s">
        <v>819</v>
      </c>
    </row>
    <row r="286" spans="1:13" x14ac:dyDescent="0.25">
      <c r="A286">
        <v>285</v>
      </c>
      <c r="B286" t="s">
        <v>823</v>
      </c>
      <c r="C286" t="s">
        <v>831</v>
      </c>
      <c r="D286">
        <v>7</v>
      </c>
      <c r="E286" s="203">
        <v>-0.27631471798675322</v>
      </c>
      <c r="F286" s="203">
        <v>39.115317624362845</v>
      </c>
      <c r="G286" s="203" t="s">
        <v>819</v>
      </c>
      <c r="H286" s="204">
        <v>-1.2273641282371863</v>
      </c>
      <c r="I286" s="204">
        <v>10.984288130982886</v>
      </c>
      <c r="J286" s="204" t="s">
        <v>819</v>
      </c>
      <c r="K286" s="205">
        <v>1.1811515024576846</v>
      </c>
      <c r="L286" s="205">
        <v>88.122872836176739</v>
      </c>
      <c r="M286" s="205" t="s">
        <v>820</v>
      </c>
    </row>
    <row r="287" spans="1:13" x14ac:dyDescent="0.25">
      <c r="A287">
        <v>286</v>
      </c>
      <c r="B287" t="s">
        <v>823</v>
      </c>
      <c r="C287" t="s">
        <v>831</v>
      </c>
      <c r="D287">
        <v>8</v>
      </c>
      <c r="E287" s="203">
        <v>-1.0710449366256951</v>
      </c>
      <c r="F287" s="203">
        <v>14.207461245193739</v>
      </c>
      <c r="G287" s="203" t="s">
        <v>819</v>
      </c>
      <c r="H287" s="204">
        <v>-1.9343090272812833</v>
      </c>
      <c r="I287" s="204">
        <v>2.6537571993343856</v>
      </c>
      <c r="J287" s="204" t="s">
        <v>824</v>
      </c>
      <c r="K287" s="205">
        <v>-0.40746045798792169</v>
      </c>
      <c r="L287" s="205">
        <v>34.183491530214042</v>
      </c>
      <c r="M287" s="205" t="s">
        <v>819</v>
      </c>
    </row>
    <row r="288" spans="1:13" x14ac:dyDescent="0.25">
      <c r="A288">
        <v>287</v>
      </c>
      <c r="B288" t="s">
        <v>823</v>
      </c>
      <c r="C288" t="s">
        <v>831</v>
      </c>
      <c r="D288">
        <v>8</v>
      </c>
      <c r="E288" s="203">
        <v>0.42161047149011194</v>
      </c>
      <c r="F288" s="203">
        <v>66.334531911918731</v>
      </c>
      <c r="G288" s="203" t="s">
        <v>819</v>
      </c>
      <c r="H288" s="204">
        <v>-1.5629810082253919</v>
      </c>
      <c r="I288" s="204">
        <v>5.9028530973571964</v>
      </c>
      <c r="J288" s="204" t="s">
        <v>819</v>
      </c>
      <c r="K288" s="205">
        <v>3.0510651745886563</v>
      </c>
      <c r="L288" s="205">
        <v>99.885984464524029</v>
      </c>
      <c r="M288" s="205" t="s">
        <v>820</v>
      </c>
    </row>
    <row r="289" spans="1:13" x14ac:dyDescent="0.25">
      <c r="A289">
        <v>288</v>
      </c>
      <c r="B289" t="s">
        <v>823</v>
      </c>
      <c r="C289" t="s">
        <v>830</v>
      </c>
      <c r="D289">
        <v>8</v>
      </c>
      <c r="E289" s="203">
        <v>1.2006945297436887E-2</v>
      </c>
      <c r="F289" s="203">
        <v>50.478996304511583</v>
      </c>
      <c r="G289" s="203" t="s">
        <v>819</v>
      </c>
      <c r="H289" s="204">
        <v>0.15434658209953905</v>
      </c>
      <c r="I289" s="204">
        <v>56.133176493295565</v>
      </c>
      <c r="J289" s="204" t="s">
        <v>819</v>
      </c>
      <c r="K289" s="205">
        <v>2.0330710318869082E-2</v>
      </c>
      <c r="L289" s="205">
        <v>50.811022122280001</v>
      </c>
      <c r="M289" s="205" t="s">
        <v>819</v>
      </c>
    </row>
    <row r="290" spans="1:13" x14ac:dyDescent="0.25">
      <c r="A290">
        <v>289</v>
      </c>
      <c r="B290" t="s">
        <v>823</v>
      </c>
      <c r="C290" t="s">
        <v>830</v>
      </c>
      <c r="D290">
        <v>8</v>
      </c>
      <c r="E290" s="203">
        <v>-1.9150253999603546</v>
      </c>
      <c r="F290" s="203">
        <v>2.7744632216557048</v>
      </c>
      <c r="G290" s="203" t="s">
        <v>818</v>
      </c>
      <c r="H290" s="204">
        <v>-0.13939629451240709</v>
      </c>
      <c r="I290" s="204">
        <v>44.456850016236231</v>
      </c>
      <c r="J290" s="204" t="s">
        <v>819</v>
      </c>
      <c r="K290" s="205">
        <v>-1.522572559259018</v>
      </c>
      <c r="L290" s="205">
        <v>6.3932839685279328</v>
      </c>
      <c r="M290" s="205" t="s">
        <v>825</v>
      </c>
    </row>
    <row r="291" spans="1:13" x14ac:dyDescent="0.25">
      <c r="A291">
        <v>290</v>
      </c>
      <c r="B291" t="s">
        <v>823</v>
      </c>
      <c r="C291" t="s">
        <v>831</v>
      </c>
      <c r="D291">
        <v>8</v>
      </c>
      <c r="E291" s="203">
        <v>0.59298304796961854</v>
      </c>
      <c r="F291" s="203">
        <v>72.34037513742382</v>
      </c>
      <c r="G291" s="203" t="s">
        <v>819</v>
      </c>
      <c r="H291" s="204">
        <v>-0.13951170204580543</v>
      </c>
      <c r="I291" s="204">
        <v>44.452290473701652</v>
      </c>
      <c r="J291" s="204" t="s">
        <v>819</v>
      </c>
      <c r="K291" s="205">
        <v>-0.23986095416631842</v>
      </c>
      <c r="L291" s="205">
        <v>40.521902567672903</v>
      </c>
      <c r="M291" s="205" t="s">
        <v>819</v>
      </c>
    </row>
    <row r="292" spans="1:13" x14ac:dyDescent="0.25">
      <c r="A292">
        <v>291</v>
      </c>
      <c r="B292" t="s">
        <v>823</v>
      </c>
      <c r="C292" t="s">
        <v>830</v>
      </c>
      <c r="D292">
        <v>8</v>
      </c>
      <c r="E292" s="203">
        <v>3.220501028983698E-2</v>
      </c>
      <c r="F292" s="203">
        <v>51.284571969014571</v>
      </c>
      <c r="G292" s="203" t="s">
        <v>819</v>
      </c>
      <c r="H292" s="204">
        <v>-3.5125790171084151E-2</v>
      </c>
      <c r="I292" s="204">
        <v>48.598971825775806</v>
      </c>
      <c r="J292" s="204" t="s">
        <v>819</v>
      </c>
      <c r="K292" s="205">
        <v>1.4337857759675872</v>
      </c>
      <c r="L292" s="205">
        <v>92.418329734370104</v>
      </c>
      <c r="M292" s="205" t="s">
        <v>820</v>
      </c>
    </row>
    <row r="293" spans="1:13" x14ac:dyDescent="0.25">
      <c r="A293">
        <v>292</v>
      </c>
      <c r="B293" t="s">
        <v>823</v>
      </c>
      <c r="C293" t="s">
        <v>830</v>
      </c>
      <c r="D293">
        <v>8</v>
      </c>
      <c r="E293" s="203">
        <v>3.220501028983698E-2</v>
      </c>
      <c r="F293" s="203">
        <v>51.284571969014571</v>
      </c>
      <c r="G293" s="203" t="s">
        <v>819</v>
      </c>
      <c r="H293" s="204">
        <v>-1.1031729138973292</v>
      </c>
      <c r="I293" s="204">
        <v>13.497604076161249</v>
      </c>
      <c r="J293" s="204" t="s">
        <v>819</v>
      </c>
      <c r="K293" s="205">
        <v>0.87177256212324372</v>
      </c>
      <c r="L293" s="205">
        <v>80.83337671039213</v>
      </c>
      <c r="M293" s="205" t="s">
        <v>819</v>
      </c>
    </row>
    <row r="294" spans="1:13" x14ac:dyDescent="0.25">
      <c r="A294">
        <v>293</v>
      </c>
      <c r="B294" t="s">
        <v>823</v>
      </c>
      <c r="C294" t="s">
        <v>831</v>
      </c>
      <c r="D294">
        <v>8</v>
      </c>
      <c r="E294" s="203">
        <v>0.33607478291570914</v>
      </c>
      <c r="F294" s="203">
        <v>63.159276305231174</v>
      </c>
      <c r="G294" s="203" t="s">
        <v>819</v>
      </c>
      <c r="H294" s="204">
        <v>-1.6090734369609043</v>
      </c>
      <c r="I294" s="204">
        <v>5.3800142380494007</v>
      </c>
      <c r="J294" s="204" t="s">
        <v>819</v>
      </c>
      <c r="K294" s="205">
        <v>2.4277220269033468</v>
      </c>
      <c r="L294" s="205">
        <v>99.240300818193461</v>
      </c>
      <c r="M294" s="205" t="s">
        <v>820</v>
      </c>
    </row>
    <row r="295" spans="1:13" x14ac:dyDescent="0.25">
      <c r="A295">
        <v>294</v>
      </c>
      <c r="B295" t="s">
        <v>823</v>
      </c>
      <c r="C295" t="s">
        <v>831</v>
      </c>
      <c r="D295">
        <v>8</v>
      </c>
      <c r="E295" s="203">
        <v>-0.58098018780060001</v>
      </c>
      <c r="F295" s="203">
        <v>28.062690321212703</v>
      </c>
      <c r="G295" s="203" t="s">
        <v>819</v>
      </c>
      <c r="H295" s="204">
        <v>-0.99350853339432521</v>
      </c>
      <c r="I295" s="204">
        <v>16.023109699233189</v>
      </c>
      <c r="J295" s="204" t="s">
        <v>819</v>
      </c>
      <c r="K295" s="205">
        <v>0.94693548580433129</v>
      </c>
      <c r="L295" s="205">
        <v>82.816417290968388</v>
      </c>
      <c r="M295" s="205" t="s">
        <v>819</v>
      </c>
    </row>
    <row r="296" spans="1:13" x14ac:dyDescent="0.25">
      <c r="A296">
        <v>295</v>
      </c>
      <c r="B296" t="s">
        <v>823</v>
      </c>
      <c r="C296" t="s">
        <v>831</v>
      </c>
      <c r="D296">
        <v>8</v>
      </c>
      <c r="E296" s="203">
        <v>0.67718792797972793</v>
      </c>
      <c r="F296" s="203">
        <v>75.085663691838775</v>
      </c>
      <c r="G296" s="203" t="s">
        <v>819</v>
      </c>
      <c r="H296" s="204">
        <v>-2.0810083814800646</v>
      </c>
      <c r="I296" s="204">
        <v>1.8716569447293556</v>
      </c>
      <c r="J296" s="204" t="s">
        <v>824</v>
      </c>
      <c r="K296" s="205">
        <v>-0.61594869432957333</v>
      </c>
      <c r="L296" s="205">
        <v>26.896419096986811</v>
      </c>
      <c r="M296" s="205" t="s">
        <v>819</v>
      </c>
    </row>
    <row r="297" spans="1:13" x14ac:dyDescent="0.25">
      <c r="A297">
        <v>296</v>
      </c>
      <c r="B297" t="s">
        <v>823</v>
      </c>
      <c r="C297" t="s">
        <v>830</v>
      </c>
      <c r="D297">
        <v>8</v>
      </c>
      <c r="E297" s="203">
        <v>-0.30166698612300724</v>
      </c>
      <c r="F297" s="203">
        <v>38.145296885554686</v>
      </c>
      <c r="G297" s="203" t="s">
        <v>819</v>
      </c>
      <c r="H297" s="204">
        <v>-0.40640878181368839</v>
      </c>
      <c r="I297" s="204">
        <v>34.222113410770085</v>
      </c>
      <c r="J297" s="204" t="s">
        <v>819</v>
      </c>
      <c r="K297" s="205">
        <v>0.82086893775008252</v>
      </c>
      <c r="L297" s="205">
        <v>79.413953701684932</v>
      </c>
      <c r="M297" s="205" t="s">
        <v>819</v>
      </c>
    </row>
    <row r="298" spans="1:13" x14ac:dyDescent="0.25">
      <c r="A298">
        <v>297</v>
      </c>
      <c r="B298" t="s">
        <v>823</v>
      </c>
      <c r="C298" t="s">
        <v>831</v>
      </c>
      <c r="D298">
        <v>8</v>
      </c>
      <c r="E298" s="203">
        <v>-0.84371915114966745</v>
      </c>
      <c r="F298" s="203">
        <v>19.941318160798076</v>
      </c>
      <c r="G298" s="203" t="s">
        <v>819</v>
      </c>
      <c r="H298" s="204">
        <v>-0.43989233784572818</v>
      </c>
      <c r="I298" s="204">
        <v>33.000754280557274</v>
      </c>
      <c r="J298" s="204" t="s">
        <v>819</v>
      </c>
      <c r="K298" s="205">
        <v>-0.95047162900631144</v>
      </c>
      <c r="L298" s="205">
        <v>17.093633153145895</v>
      </c>
      <c r="M298" s="205" t="s">
        <v>819</v>
      </c>
    </row>
    <row r="299" spans="1:13" x14ac:dyDescent="0.25">
      <c r="A299">
        <v>298</v>
      </c>
      <c r="B299" t="s">
        <v>823</v>
      </c>
      <c r="C299" t="s">
        <v>831</v>
      </c>
      <c r="D299">
        <v>8</v>
      </c>
      <c r="E299" s="203">
        <v>0.66977728703659012</v>
      </c>
      <c r="F299" s="203">
        <v>74.850011271610484</v>
      </c>
      <c r="G299" s="203" t="s">
        <v>819</v>
      </c>
      <c r="H299" s="204">
        <v>-0.25843846036675949</v>
      </c>
      <c r="I299" s="204">
        <v>39.803426869567289</v>
      </c>
      <c r="J299" s="204" t="s">
        <v>819</v>
      </c>
      <c r="K299" s="205">
        <v>-0.4718614873970764</v>
      </c>
      <c r="L299" s="205">
        <v>31.851282953171218</v>
      </c>
      <c r="M299" s="205" t="s">
        <v>819</v>
      </c>
    </row>
    <row r="300" spans="1:13" x14ac:dyDescent="0.25">
      <c r="A300">
        <v>299</v>
      </c>
      <c r="B300" t="s">
        <v>823</v>
      </c>
      <c r="C300" t="s">
        <v>831</v>
      </c>
      <c r="D300">
        <v>8</v>
      </c>
      <c r="E300" s="203">
        <v>8.4356169373759393E-2</v>
      </c>
      <c r="F300" s="203">
        <v>53.3613372602344</v>
      </c>
      <c r="G300" s="203" t="s">
        <v>819</v>
      </c>
      <c r="H300" s="204">
        <v>-1.3687621564938435</v>
      </c>
      <c r="I300" s="204">
        <v>8.5536816923383956</v>
      </c>
      <c r="J300" s="204" t="s">
        <v>819</v>
      </c>
      <c r="K300" s="205">
        <v>0.58393434584930914</v>
      </c>
      <c r="L300" s="205">
        <v>72.036775777001978</v>
      </c>
      <c r="M300" s="205" t="s">
        <v>819</v>
      </c>
    </row>
    <row r="301" spans="1:13" x14ac:dyDescent="0.25">
      <c r="A301">
        <v>300</v>
      </c>
      <c r="B301" t="s">
        <v>823</v>
      </c>
      <c r="C301" t="s">
        <v>830</v>
      </c>
      <c r="D301">
        <v>8</v>
      </c>
      <c r="E301" s="203">
        <v>-1.6045333056949733</v>
      </c>
      <c r="F301" s="203">
        <v>5.429827457475648</v>
      </c>
      <c r="G301" s="203" t="s">
        <v>819</v>
      </c>
      <c r="H301" s="204">
        <v>-0.90875896776351162</v>
      </c>
      <c r="I301" s="204">
        <v>18.17386850234746</v>
      </c>
      <c r="J301" s="204" t="s">
        <v>819</v>
      </c>
      <c r="K301" s="205">
        <v>-1.2592470460689176</v>
      </c>
      <c r="L301" s="205">
        <v>10.397055672876462</v>
      </c>
      <c r="M301" s="205" t="s">
        <v>825</v>
      </c>
    </row>
    <row r="302" spans="1:13" x14ac:dyDescent="0.25">
      <c r="A302">
        <v>301</v>
      </c>
      <c r="B302" t="s">
        <v>823</v>
      </c>
      <c r="C302" t="s">
        <v>830</v>
      </c>
      <c r="D302">
        <v>7</v>
      </c>
      <c r="E302" s="203">
        <v>-6.5141728859479109E-2</v>
      </c>
      <c r="F302" s="203">
        <v>47.403057807193534</v>
      </c>
      <c r="G302" s="203" t="s">
        <v>819</v>
      </c>
      <c r="H302" s="204">
        <v>-0.59597362035337287</v>
      </c>
      <c r="I302" s="204">
        <v>27.559642482751105</v>
      </c>
      <c r="J302" s="204" t="s">
        <v>819</v>
      </c>
      <c r="K302" s="205">
        <v>0.97663720212365124</v>
      </c>
      <c r="L302" s="205">
        <v>83.56256027049686</v>
      </c>
      <c r="M302" s="205" t="s">
        <v>819</v>
      </c>
    </row>
    <row r="303" spans="1:13" x14ac:dyDescent="0.25">
      <c r="A303">
        <v>302</v>
      </c>
      <c r="B303" t="s">
        <v>823</v>
      </c>
      <c r="C303" t="s">
        <v>830</v>
      </c>
      <c r="D303">
        <v>7</v>
      </c>
      <c r="E303" s="203">
        <v>7.2281137860061281E-2</v>
      </c>
      <c r="F303" s="203">
        <v>52.881091238243492</v>
      </c>
      <c r="G303" s="203" t="s">
        <v>819</v>
      </c>
      <c r="H303" s="204">
        <v>-1.3284113585817752</v>
      </c>
      <c r="I303" s="204">
        <v>9.2021124555012737</v>
      </c>
      <c r="J303" s="204" t="s">
        <v>819</v>
      </c>
      <c r="K303" s="205">
        <v>0.85436199457241113</v>
      </c>
      <c r="L303" s="205">
        <v>80.354777646544306</v>
      </c>
      <c r="M303" s="205" t="s">
        <v>819</v>
      </c>
    </row>
    <row r="304" spans="1:13" x14ac:dyDescent="0.25">
      <c r="A304">
        <v>303</v>
      </c>
      <c r="B304" t="s">
        <v>823</v>
      </c>
      <c r="C304" t="s">
        <v>830</v>
      </c>
      <c r="D304">
        <v>6</v>
      </c>
      <c r="E304" s="203">
        <v>0.42385206973847728</v>
      </c>
      <c r="F304" s="203">
        <v>66.416314939265675</v>
      </c>
      <c r="G304" s="203" t="s">
        <v>819</v>
      </c>
      <c r="H304" s="204">
        <v>0.50545699537019351</v>
      </c>
      <c r="I304" s="204">
        <v>69.338105197802818</v>
      </c>
      <c r="J304" s="204" t="s">
        <v>819</v>
      </c>
      <c r="K304" s="205">
        <v>0.33547573501428801</v>
      </c>
      <c r="L304" s="205">
        <v>63.136687703922497</v>
      </c>
      <c r="M304" s="205" t="s">
        <v>819</v>
      </c>
    </row>
    <row r="305" spans="1:13" x14ac:dyDescent="0.25">
      <c r="A305">
        <v>304</v>
      </c>
      <c r="B305" t="s">
        <v>823</v>
      </c>
      <c r="C305" t="s">
        <v>830</v>
      </c>
      <c r="D305">
        <v>6</v>
      </c>
      <c r="E305" s="203">
        <v>-0.23982833424249264</v>
      </c>
      <c r="F305" s="203">
        <v>40.523167017248106</v>
      </c>
      <c r="G305" s="203" t="s">
        <v>819</v>
      </c>
      <c r="H305" s="204">
        <v>-1.1239650859487014</v>
      </c>
      <c r="I305" s="204">
        <v>13.051391891309095</v>
      </c>
      <c r="J305" s="204" t="s">
        <v>819</v>
      </c>
      <c r="K305" s="205">
        <v>2.057867950685988</v>
      </c>
      <c r="L305" s="205">
        <v>98.019859449147958</v>
      </c>
      <c r="M305" s="205" t="s">
        <v>820</v>
      </c>
    </row>
    <row r="306" spans="1:13" x14ac:dyDescent="0.25">
      <c r="A306">
        <v>305</v>
      </c>
      <c r="B306" t="s">
        <v>823</v>
      </c>
      <c r="C306" t="s">
        <v>831</v>
      </c>
      <c r="D306">
        <v>7</v>
      </c>
      <c r="E306" s="203">
        <v>1.564148812738331</v>
      </c>
      <c r="F306" s="203">
        <v>94.110868754957878</v>
      </c>
      <c r="G306" s="203" t="s">
        <v>819</v>
      </c>
      <c r="H306" s="204">
        <v>-1.5062503521426041</v>
      </c>
      <c r="I306" s="204">
        <v>6.6001458977757528</v>
      </c>
      <c r="J306" s="204" t="s">
        <v>819</v>
      </c>
      <c r="K306" s="205">
        <v>2.7949559483125781</v>
      </c>
      <c r="L306" s="205">
        <v>99.740466061777724</v>
      </c>
      <c r="M306" s="205" t="s">
        <v>820</v>
      </c>
    </row>
    <row r="307" spans="1:13" x14ac:dyDescent="0.25">
      <c r="A307">
        <v>306</v>
      </c>
      <c r="B307" t="s">
        <v>823</v>
      </c>
      <c r="C307" t="s">
        <v>831</v>
      </c>
      <c r="D307">
        <v>7</v>
      </c>
      <c r="E307" s="203">
        <v>-1.4287477893612748</v>
      </c>
      <c r="F307" s="203">
        <v>7.6538368399733461</v>
      </c>
      <c r="G307" s="203" t="s">
        <v>819</v>
      </c>
      <c r="H307" s="204">
        <v>-1.0784942512943891</v>
      </c>
      <c r="I307" s="204">
        <v>14.04066229288255</v>
      </c>
      <c r="J307" s="204" t="s">
        <v>819</v>
      </c>
      <c r="K307" s="205">
        <v>0.86032255718773021</v>
      </c>
      <c r="L307" s="205">
        <v>80.519436906371865</v>
      </c>
      <c r="M307" s="205" t="s">
        <v>819</v>
      </c>
    </row>
    <row r="308" spans="1:13" x14ac:dyDescent="0.25">
      <c r="A308">
        <v>307</v>
      </c>
      <c r="B308" t="s">
        <v>823</v>
      </c>
      <c r="C308" t="s">
        <v>831</v>
      </c>
      <c r="D308">
        <v>6</v>
      </c>
      <c r="E308" s="203">
        <v>-0.34465060142624099</v>
      </c>
      <c r="F308" s="203">
        <v>36.517852972022347</v>
      </c>
      <c r="G308" s="203" t="s">
        <v>819</v>
      </c>
      <c r="H308" s="204">
        <v>-1.3537745906753984</v>
      </c>
      <c r="I308" s="204">
        <v>8.7904151261252839</v>
      </c>
      <c r="J308" s="204" t="s">
        <v>819</v>
      </c>
      <c r="K308" s="205">
        <v>8.5274509209912946E-2</v>
      </c>
      <c r="L308" s="205">
        <v>53.397842179723497</v>
      </c>
      <c r="M308" s="205" t="s">
        <v>819</v>
      </c>
    </row>
    <row r="309" spans="1:13" x14ac:dyDescent="0.25">
      <c r="A309">
        <v>308</v>
      </c>
      <c r="B309" t="s">
        <v>823</v>
      </c>
      <c r="C309" t="s">
        <v>831</v>
      </c>
      <c r="D309">
        <v>7</v>
      </c>
      <c r="E309" s="203">
        <v>-0.74681185984923282</v>
      </c>
      <c r="F309" s="203">
        <v>22.758856781345909</v>
      </c>
      <c r="G309" s="203" t="s">
        <v>819</v>
      </c>
      <c r="H309" s="204">
        <v>-2.137347450586748</v>
      </c>
      <c r="I309" s="204">
        <v>1.6284871065690674</v>
      </c>
      <c r="J309" s="204" t="s">
        <v>824</v>
      </c>
      <c r="K309" s="205">
        <v>2.5642002996967124</v>
      </c>
      <c r="L309" s="205">
        <v>99.48293076868903</v>
      </c>
      <c r="M309" s="205" t="s">
        <v>820</v>
      </c>
    </row>
    <row r="310" spans="1:13" x14ac:dyDescent="0.25">
      <c r="A310">
        <v>309</v>
      </c>
      <c r="B310" t="s">
        <v>823</v>
      </c>
      <c r="C310" t="s">
        <v>831</v>
      </c>
      <c r="D310">
        <v>7</v>
      </c>
      <c r="E310" s="203">
        <v>-0.58247154436659376</v>
      </c>
      <c r="F310" s="203">
        <v>28.012455157564411</v>
      </c>
      <c r="G310" s="203" t="s">
        <v>819</v>
      </c>
      <c r="H310" s="204">
        <v>-1.8935303808310331</v>
      </c>
      <c r="I310" s="204">
        <v>2.9143685976793465</v>
      </c>
      <c r="J310" s="204" t="s">
        <v>824</v>
      </c>
      <c r="K310" s="205">
        <v>0.28655496791912788</v>
      </c>
      <c r="L310" s="205">
        <v>61.27734503531633</v>
      </c>
      <c r="M310" s="205" t="s">
        <v>819</v>
      </c>
    </row>
    <row r="311" spans="1:13" x14ac:dyDescent="0.25">
      <c r="A311">
        <v>310</v>
      </c>
      <c r="B311" t="s">
        <v>823</v>
      </c>
      <c r="C311" t="s">
        <v>830</v>
      </c>
      <c r="D311">
        <v>7</v>
      </c>
      <c r="E311" s="203">
        <v>-0.62496322156117412</v>
      </c>
      <c r="F311" s="203">
        <v>26.599759843552071</v>
      </c>
      <c r="G311" s="203" t="s">
        <v>819</v>
      </c>
      <c r="H311" s="204">
        <v>-1.6011525987573034</v>
      </c>
      <c r="I311" s="204">
        <v>5.4671562324416483</v>
      </c>
      <c r="J311" s="204" t="s">
        <v>819</v>
      </c>
      <c r="K311" s="205">
        <v>5.1618504342533969E-2</v>
      </c>
      <c r="L311" s="205">
        <v>52.058366266910404</v>
      </c>
      <c r="M311" s="205" t="s">
        <v>819</v>
      </c>
    </row>
    <row r="312" spans="1:13" x14ac:dyDescent="0.25">
      <c r="A312">
        <v>311</v>
      </c>
      <c r="B312" t="s">
        <v>823</v>
      </c>
      <c r="C312" t="s">
        <v>830</v>
      </c>
      <c r="D312">
        <v>6</v>
      </c>
      <c r="E312" s="203">
        <v>0.51810219721473039</v>
      </c>
      <c r="F312" s="203">
        <v>69.780651634261034</v>
      </c>
      <c r="G312" s="203" t="s">
        <v>819</v>
      </c>
      <c r="H312" s="204">
        <v>-0.77962024952508646</v>
      </c>
      <c r="I312" s="204">
        <v>21.780721661183492</v>
      </c>
      <c r="J312" s="204" t="s">
        <v>819</v>
      </c>
      <c r="K312" s="205">
        <v>2.838118184170829</v>
      </c>
      <c r="L312" s="205">
        <v>99.773098117842139</v>
      </c>
      <c r="M312" s="205" t="s">
        <v>820</v>
      </c>
    </row>
    <row r="313" spans="1:13" x14ac:dyDescent="0.25">
      <c r="A313">
        <v>312</v>
      </c>
      <c r="B313" t="s">
        <v>823</v>
      </c>
      <c r="C313" t="s">
        <v>831</v>
      </c>
      <c r="D313">
        <v>6</v>
      </c>
      <c r="E313" s="203">
        <v>-2.6359146453575364</v>
      </c>
      <c r="F313" s="203">
        <v>0.41955417875598627</v>
      </c>
      <c r="G313" s="203" t="s">
        <v>818</v>
      </c>
      <c r="H313" s="204">
        <v>0.17921892315666321</v>
      </c>
      <c r="I313" s="204">
        <v>57.11170971264815</v>
      </c>
      <c r="J313" s="204" t="s">
        <v>819</v>
      </c>
      <c r="K313" s="205">
        <v>-0.21568779489198964</v>
      </c>
      <c r="L313" s="205">
        <v>41.461555778459271</v>
      </c>
      <c r="M313" s="205" t="s">
        <v>819</v>
      </c>
    </row>
    <row r="314" spans="1:13" x14ac:dyDescent="0.25">
      <c r="A314">
        <v>313</v>
      </c>
      <c r="B314" t="s">
        <v>823</v>
      </c>
      <c r="C314" t="s">
        <v>831</v>
      </c>
      <c r="D314">
        <v>7</v>
      </c>
      <c r="E314" s="203">
        <v>1.564148812738331</v>
      </c>
      <c r="F314" s="203">
        <v>94.110868754957878</v>
      </c>
      <c r="G314" s="203" t="s">
        <v>819</v>
      </c>
      <c r="H314" s="204">
        <v>-0.50452567228027023</v>
      </c>
      <c r="I314" s="204">
        <v>30.694601323155112</v>
      </c>
      <c r="J314" s="204" t="s">
        <v>819</v>
      </c>
      <c r="K314" s="205">
        <v>1.0975521583816386</v>
      </c>
      <c r="L314" s="205">
        <v>86.379995337175473</v>
      </c>
      <c r="M314" s="205" t="s">
        <v>820</v>
      </c>
    </row>
    <row r="315" spans="1:13" x14ac:dyDescent="0.25">
      <c r="A315">
        <v>314</v>
      </c>
      <c r="B315" t="s">
        <v>823</v>
      </c>
      <c r="C315" t="s">
        <v>831</v>
      </c>
      <c r="D315">
        <v>7</v>
      </c>
      <c r="E315" s="203">
        <v>-0.55517436829932187</v>
      </c>
      <c r="F315" s="203">
        <v>28.938769953683675</v>
      </c>
      <c r="G315" s="203" t="s">
        <v>819</v>
      </c>
      <c r="H315" s="204">
        <v>-2.3734794490320406</v>
      </c>
      <c r="I315" s="204">
        <v>0.88106868151052087</v>
      </c>
      <c r="J315" s="204" t="s">
        <v>824</v>
      </c>
      <c r="K315" s="205">
        <v>2.4536041115797897</v>
      </c>
      <c r="L315" s="205">
        <v>99.292837041905429</v>
      </c>
      <c r="M315" s="205" t="s">
        <v>820</v>
      </c>
    </row>
    <row r="316" spans="1:13" x14ac:dyDescent="0.25">
      <c r="A316">
        <v>315</v>
      </c>
      <c r="B316" t="s">
        <v>823</v>
      </c>
      <c r="C316" t="s">
        <v>831</v>
      </c>
      <c r="D316">
        <v>7</v>
      </c>
      <c r="E316" s="203">
        <v>2.0468565890862207</v>
      </c>
      <c r="F316" s="203">
        <v>97.966391625281545</v>
      </c>
      <c r="G316" s="203" t="s">
        <v>816</v>
      </c>
      <c r="H316" s="204">
        <v>-1.2083788178027466</v>
      </c>
      <c r="I316" s="204">
        <v>11.345079184732208</v>
      </c>
      <c r="J316" s="204" t="s">
        <v>819</v>
      </c>
      <c r="K316" s="205">
        <v>1.5603653607096559</v>
      </c>
      <c r="L316" s="205">
        <v>94.066321713710337</v>
      </c>
      <c r="M316" s="205" t="s">
        <v>820</v>
      </c>
    </row>
    <row r="317" spans="1:13" x14ac:dyDescent="0.25">
      <c r="A317">
        <v>316</v>
      </c>
      <c r="B317" t="s">
        <v>823</v>
      </c>
      <c r="C317" t="s">
        <v>831</v>
      </c>
      <c r="D317">
        <v>6</v>
      </c>
      <c r="E317" s="203">
        <v>0.67336483463434915</v>
      </c>
      <c r="F317" s="203">
        <v>74.964239261456484</v>
      </c>
      <c r="G317" s="203" t="s">
        <v>819</v>
      </c>
      <c r="H317" s="204">
        <v>-8.3948597728730701E-2</v>
      </c>
      <c r="I317" s="204">
        <v>46.654865024873736</v>
      </c>
      <c r="J317" s="204" t="s">
        <v>819</v>
      </c>
      <c r="K317" s="205">
        <v>1.6083636545629599E-2</v>
      </c>
      <c r="L317" s="205">
        <v>50.641616601356674</v>
      </c>
      <c r="M317" s="205" t="s">
        <v>819</v>
      </c>
    </row>
    <row r="318" spans="1:13" x14ac:dyDescent="0.25">
      <c r="A318">
        <v>317</v>
      </c>
      <c r="B318" t="s">
        <v>823</v>
      </c>
      <c r="C318" t="s">
        <v>831</v>
      </c>
      <c r="D318">
        <v>7</v>
      </c>
      <c r="E318" s="203">
        <v>2.0353705655043459</v>
      </c>
      <c r="F318" s="203">
        <v>97.909319963934635</v>
      </c>
      <c r="G318" s="203" t="s">
        <v>816</v>
      </c>
      <c r="H318" s="204">
        <v>0.36407348162629055</v>
      </c>
      <c r="I318" s="204">
        <v>64.209843074619485</v>
      </c>
      <c r="J318" s="204" t="s">
        <v>819</v>
      </c>
      <c r="K318" s="205">
        <v>2.9863273406310602E-2</v>
      </c>
      <c r="L318" s="205">
        <v>51.191195182357298</v>
      </c>
      <c r="M318" s="205" t="s">
        <v>819</v>
      </c>
    </row>
    <row r="319" spans="1:13" x14ac:dyDescent="0.25">
      <c r="A319">
        <v>318</v>
      </c>
      <c r="B319" t="s">
        <v>823</v>
      </c>
      <c r="C319" t="s">
        <v>830</v>
      </c>
      <c r="D319">
        <v>7</v>
      </c>
      <c r="E319" s="203">
        <v>-1.1425634765452815</v>
      </c>
      <c r="F319" s="203">
        <v>12.660993851236407</v>
      </c>
      <c r="G319" s="203" t="s">
        <v>819</v>
      </c>
      <c r="H319" s="204">
        <v>-0.77613743824663461</v>
      </c>
      <c r="I319" s="204">
        <v>21.88339202569292</v>
      </c>
      <c r="J319" s="204" t="s">
        <v>819</v>
      </c>
      <c r="K319" s="205">
        <v>0.35798053615115666</v>
      </c>
      <c r="L319" s="205">
        <v>63.98210602336313</v>
      </c>
      <c r="M319" s="205" t="s">
        <v>819</v>
      </c>
    </row>
    <row r="320" spans="1:13" x14ac:dyDescent="0.25">
      <c r="A320">
        <v>319</v>
      </c>
      <c r="B320" t="s">
        <v>823</v>
      </c>
      <c r="C320" t="s">
        <v>830</v>
      </c>
      <c r="D320">
        <v>6</v>
      </c>
      <c r="E320" s="203">
        <v>0.42385206973847728</v>
      </c>
      <c r="F320" s="203">
        <v>66.416314939265675</v>
      </c>
      <c r="G320" s="203" t="s">
        <v>819</v>
      </c>
      <c r="H320" s="204">
        <v>-0.77962024952508646</v>
      </c>
      <c r="I320" s="204">
        <v>21.780721661183492</v>
      </c>
      <c r="J320" s="204" t="s">
        <v>819</v>
      </c>
      <c r="K320" s="205">
        <v>0.67839148383062808</v>
      </c>
      <c r="L320" s="205">
        <v>75.123824634978135</v>
      </c>
      <c r="M320" s="205" t="s">
        <v>819</v>
      </c>
    </row>
    <row r="321" spans="1:13" x14ac:dyDescent="0.25">
      <c r="A321">
        <v>320</v>
      </c>
      <c r="B321" t="s">
        <v>823</v>
      </c>
      <c r="C321" t="s">
        <v>830</v>
      </c>
      <c r="D321">
        <v>7</v>
      </c>
      <c r="E321" s="203">
        <v>-0.85250312339965584</v>
      </c>
      <c r="F321" s="203">
        <v>19.696745309378297</v>
      </c>
      <c r="G321" s="203" t="s">
        <v>819</v>
      </c>
      <c r="H321" s="204">
        <v>0.56092598398245996</v>
      </c>
      <c r="I321" s="204">
        <v>71.257600217759887</v>
      </c>
      <c r="J321" s="204" t="s">
        <v>819</v>
      </c>
      <c r="K321" s="205">
        <v>-0.88134459028451351</v>
      </c>
      <c r="L321" s="205">
        <v>18.906566920502662</v>
      </c>
      <c r="M321" s="205" t="s">
        <v>819</v>
      </c>
    </row>
    <row r="322" spans="1:13" x14ac:dyDescent="0.25">
      <c r="A322">
        <v>321</v>
      </c>
      <c r="B322" t="s">
        <v>823</v>
      </c>
      <c r="C322" t="s">
        <v>830</v>
      </c>
      <c r="D322">
        <v>7</v>
      </c>
      <c r="E322" s="203">
        <v>0.71741060173254012</v>
      </c>
      <c r="F322" s="203">
        <v>76.343961004076704</v>
      </c>
      <c r="G322" s="203" t="s">
        <v>819</v>
      </c>
      <c r="H322" s="204">
        <v>-1.6256487054302686</v>
      </c>
      <c r="I322" s="204">
        <v>5.2012203881254448</v>
      </c>
      <c r="J322" s="204" t="s">
        <v>819</v>
      </c>
      <c r="K322" s="205">
        <v>2.0491326953762692</v>
      </c>
      <c r="L322" s="205">
        <v>97.977542941423152</v>
      </c>
      <c r="M322" s="205" t="s">
        <v>820</v>
      </c>
    </row>
    <row r="323" spans="1:13" x14ac:dyDescent="0.25">
      <c r="A323">
        <v>322</v>
      </c>
      <c r="B323" t="s">
        <v>823</v>
      </c>
      <c r="C323" t="s">
        <v>830</v>
      </c>
      <c r="D323">
        <v>7</v>
      </c>
      <c r="E323" s="203">
        <v>-0.18125124095433801</v>
      </c>
      <c r="F323" s="203">
        <v>42.808518806493105</v>
      </c>
      <c r="G323" s="203" t="s">
        <v>819</v>
      </c>
      <c r="H323" s="204">
        <v>-1.6002569752093097</v>
      </c>
      <c r="I323" s="204">
        <v>5.4770793654197512</v>
      </c>
      <c r="J323" s="204" t="s">
        <v>819</v>
      </c>
      <c r="K323" s="205">
        <v>-0.94798076488538952</v>
      </c>
      <c r="L323" s="205">
        <v>17.156962328403015</v>
      </c>
      <c r="M323" s="205" t="s">
        <v>819</v>
      </c>
    </row>
    <row r="324" spans="1:13" x14ac:dyDescent="0.25">
      <c r="A324">
        <v>323</v>
      </c>
      <c r="B324" t="s">
        <v>823</v>
      </c>
      <c r="C324" t="s">
        <v>830</v>
      </c>
      <c r="D324">
        <v>7</v>
      </c>
      <c r="E324" s="203">
        <v>-1.1677015815795611</v>
      </c>
      <c r="F324" s="203">
        <v>12.146357931326019</v>
      </c>
      <c r="G324" s="203" t="s">
        <v>819</v>
      </c>
      <c r="H324" s="204">
        <v>-1.7452436849849895</v>
      </c>
      <c r="I324" s="204">
        <v>4.0471229997195977</v>
      </c>
      <c r="J324" s="204" t="s">
        <v>824</v>
      </c>
      <c r="K324" s="205">
        <v>-0.43225534373682856</v>
      </c>
      <c r="L324" s="205">
        <v>33.27779197333944</v>
      </c>
      <c r="M324" s="205" t="s">
        <v>819</v>
      </c>
    </row>
    <row r="325" spans="1:13" x14ac:dyDescent="0.25">
      <c r="A325">
        <v>324</v>
      </c>
      <c r="B325" t="s">
        <v>823</v>
      </c>
      <c r="C325" t="s">
        <v>830</v>
      </c>
      <c r="D325">
        <v>6</v>
      </c>
      <c r="E325" s="203">
        <v>0.71753264286939189</v>
      </c>
      <c r="F325" s="203">
        <v>76.347724889512008</v>
      </c>
      <c r="G325" s="203" t="s">
        <v>819</v>
      </c>
      <c r="H325" s="204">
        <v>-1.2334782503873891</v>
      </c>
      <c r="I325" s="204">
        <v>10.869869319235935</v>
      </c>
      <c r="J325" s="204" t="s">
        <v>819</v>
      </c>
      <c r="K325" s="205">
        <v>0.70491071517428372</v>
      </c>
      <c r="L325" s="205">
        <v>75.956709926115522</v>
      </c>
      <c r="M325" s="205" t="s">
        <v>819</v>
      </c>
    </row>
    <row r="326" spans="1:13" x14ac:dyDescent="0.25">
      <c r="A326">
        <v>325</v>
      </c>
      <c r="B326" t="s">
        <v>823</v>
      </c>
      <c r="C326" t="s">
        <v>830</v>
      </c>
      <c r="D326">
        <v>6</v>
      </c>
      <c r="E326" s="203">
        <v>-0.23982833424249264</v>
      </c>
      <c r="F326" s="203">
        <v>40.523167017248106</v>
      </c>
      <c r="G326" s="203" t="s">
        <v>819</v>
      </c>
      <c r="H326" s="204">
        <v>-0.31640576377336022</v>
      </c>
      <c r="I326" s="204">
        <v>37.584727133249544</v>
      </c>
      <c r="J326" s="204" t="s">
        <v>819</v>
      </c>
      <c r="K326" s="205">
        <v>0.16157661085412248</v>
      </c>
      <c r="L326" s="205">
        <v>56.418036145160769</v>
      </c>
      <c r="M326" s="205" t="s">
        <v>819</v>
      </c>
    </row>
    <row r="327" spans="1:13" x14ac:dyDescent="0.25">
      <c r="A327">
        <v>326</v>
      </c>
      <c r="B327" t="s">
        <v>823</v>
      </c>
      <c r="C327" t="s">
        <v>830</v>
      </c>
      <c r="D327">
        <v>7</v>
      </c>
      <c r="E327" s="203">
        <v>-0.12625845779689318</v>
      </c>
      <c r="F327" s="203">
        <v>44.976366945676958</v>
      </c>
      <c r="G327" s="203" t="s">
        <v>819</v>
      </c>
      <c r="H327" s="204">
        <v>-0.99685437745038152</v>
      </c>
      <c r="I327" s="204">
        <v>15.941759963992505</v>
      </c>
      <c r="J327" s="204" t="s">
        <v>819</v>
      </c>
      <c r="K327" s="205">
        <v>0.57785650411810219</v>
      </c>
      <c r="L327" s="205">
        <v>71.831949838058435</v>
      </c>
      <c r="M327" s="205" t="s">
        <v>819</v>
      </c>
    </row>
    <row r="328" spans="1:13" x14ac:dyDescent="0.25">
      <c r="A328">
        <v>327</v>
      </c>
      <c r="B328" t="s">
        <v>823</v>
      </c>
      <c r="C328" t="s">
        <v>831</v>
      </c>
      <c r="D328">
        <v>7</v>
      </c>
      <c r="E328" s="203">
        <v>-1.8928467703625289</v>
      </c>
      <c r="F328" s="203">
        <v>2.9189124864264415</v>
      </c>
      <c r="G328" s="203" t="s">
        <v>818</v>
      </c>
      <c r="H328" s="204">
        <v>-1.89836580239955</v>
      </c>
      <c r="I328" s="204">
        <v>2.8823955619677371</v>
      </c>
      <c r="J328" s="204" t="s">
        <v>824</v>
      </c>
      <c r="K328" s="205">
        <v>0.66063823105428854</v>
      </c>
      <c r="L328" s="205">
        <v>74.557782743348511</v>
      </c>
      <c r="M328" s="205" t="s">
        <v>819</v>
      </c>
    </row>
    <row r="329" spans="1:13" x14ac:dyDescent="0.25">
      <c r="A329">
        <v>328</v>
      </c>
      <c r="B329" t="s">
        <v>823</v>
      </c>
      <c r="C329" t="s">
        <v>831</v>
      </c>
      <c r="D329">
        <v>7</v>
      </c>
      <c r="E329" s="203">
        <v>-1.4603036529601865</v>
      </c>
      <c r="F329" s="203">
        <v>7.2103319275707651</v>
      </c>
      <c r="G329" s="203" t="s">
        <v>819</v>
      </c>
      <c r="H329" s="204">
        <v>-1.0298485283894496</v>
      </c>
      <c r="I329" s="204">
        <v>15.154055803356069</v>
      </c>
      <c r="J329" s="204" t="s">
        <v>819</v>
      </c>
      <c r="K329" s="205">
        <v>-2.217184367531646</v>
      </c>
      <c r="L329" s="205">
        <v>1.3305247691867137</v>
      </c>
      <c r="M329" s="205" t="s">
        <v>818</v>
      </c>
    </row>
    <row r="330" spans="1:13" x14ac:dyDescent="0.25">
      <c r="A330">
        <v>329</v>
      </c>
      <c r="B330" t="s">
        <v>823</v>
      </c>
      <c r="C330" t="s">
        <v>831</v>
      </c>
      <c r="D330">
        <v>6</v>
      </c>
      <c r="E330" s="203">
        <v>-0.34465060142624099</v>
      </c>
      <c r="F330" s="203">
        <v>36.517852972022347</v>
      </c>
      <c r="G330" s="203" t="s">
        <v>819</v>
      </c>
      <c r="H330" s="204">
        <v>-1.7710487085968503</v>
      </c>
      <c r="I330" s="204">
        <v>3.8276301118862195</v>
      </c>
      <c r="J330" s="204" t="s">
        <v>824</v>
      </c>
      <c r="K330" s="205">
        <v>0.57076774918265927</v>
      </c>
      <c r="L330" s="205">
        <v>71.592145638118438</v>
      </c>
      <c r="M330" s="205" t="s">
        <v>819</v>
      </c>
    </row>
    <row r="331" spans="1:13" x14ac:dyDescent="0.25">
      <c r="A331">
        <v>330</v>
      </c>
      <c r="B331" t="s">
        <v>823</v>
      </c>
      <c r="C331" t="s">
        <v>831</v>
      </c>
      <c r="D331">
        <v>7</v>
      </c>
      <c r="E331" s="203">
        <v>0.4005176729795133</v>
      </c>
      <c r="F331" s="203">
        <v>65.561236536577169</v>
      </c>
      <c r="G331" s="203" t="s">
        <v>819</v>
      </c>
      <c r="H331" s="204">
        <v>-0.90853638241886403</v>
      </c>
      <c r="I331" s="204">
        <v>18.179745033655408</v>
      </c>
      <c r="J331" s="204" t="s">
        <v>819</v>
      </c>
      <c r="K331" s="205">
        <v>-1.3481373171431046</v>
      </c>
      <c r="L331" s="205">
        <v>8.8807110466918342</v>
      </c>
      <c r="M331" s="205" t="s">
        <v>825</v>
      </c>
    </row>
    <row r="332" spans="1:13" x14ac:dyDescent="0.25">
      <c r="A332">
        <v>331</v>
      </c>
      <c r="B332" t="s">
        <v>823</v>
      </c>
      <c r="C332" t="s">
        <v>831</v>
      </c>
      <c r="D332">
        <v>6</v>
      </c>
      <c r="E332" s="203">
        <v>-0.79742604536204686</v>
      </c>
      <c r="F332" s="203">
        <v>21.260181891250703</v>
      </c>
      <c r="G332" s="203" t="s">
        <v>819</v>
      </c>
      <c r="H332" s="204">
        <v>0.45363106822109717</v>
      </c>
      <c r="I332" s="204">
        <v>67.495280589704151</v>
      </c>
      <c r="J332" s="204" t="s">
        <v>819</v>
      </c>
      <c r="K332" s="205">
        <v>-1.5543074615602859</v>
      </c>
      <c r="L332" s="205">
        <v>6.005554727347258</v>
      </c>
      <c r="M332" s="205" t="s">
        <v>825</v>
      </c>
    </row>
    <row r="333" spans="1:13" x14ac:dyDescent="0.25">
      <c r="A333">
        <v>332</v>
      </c>
      <c r="B333" t="s">
        <v>823</v>
      </c>
      <c r="C333" t="s">
        <v>831</v>
      </c>
      <c r="D333">
        <v>6</v>
      </c>
      <c r="E333" s="203">
        <v>0.1218182546357016</v>
      </c>
      <c r="F333" s="203">
        <v>54.847852174308699</v>
      </c>
      <c r="G333" s="203" t="s">
        <v>819</v>
      </c>
      <c r="H333" s="204">
        <v>-1.381177684977311</v>
      </c>
      <c r="I333" s="204">
        <v>8.3612167119447527</v>
      </c>
      <c r="J333" s="204" t="s">
        <v>819</v>
      </c>
      <c r="K333" s="205">
        <v>7.0644535396096525E-2</v>
      </c>
      <c r="L333" s="205">
        <v>52.815966759383628</v>
      </c>
      <c r="M333" s="205" t="s">
        <v>819</v>
      </c>
    </row>
    <row r="334" spans="1:13" x14ac:dyDescent="0.25">
      <c r="A334">
        <v>333</v>
      </c>
      <c r="B334" t="s">
        <v>823</v>
      </c>
      <c r="C334" t="s">
        <v>831</v>
      </c>
      <c r="D334">
        <v>7</v>
      </c>
      <c r="E334" s="203">
        <v>-0.49949532341071279</v>
      </c>
      <c r="F334" s="203">
        <v>30.871524026627057</v>
      </c>
      <c r="G334" s="203" t="s">
        <v>819</v>
      </c>
      <c r="H334" s="204">
        <v>-2.4449393038232463</v>
      </c>
      <c r="I334" s="204">
        <v>0.72438260645559827</v>
      </c>
      <c r="J334" s="204" t="s">
        <v>824</v>
      </c>
      <c r="K334" s="205">
        <v>1.4899422384832786</v>
      </c>
      <c r="L334" s="205">
        <v>93.188028789057938</v>
      </c>
      <c r="M334" s="205" t="s">
        <v>820</v>
      </c>
    </row>
    <row r="335" spans="1:13" x14ac:dyDescent="0.25">
      <c r="A335">
        <v>334</v>
      </c>
      <c r="B335" t="s">
        <v>823</v>
      </c>
      <c r="C335" t="s">
        <v>830</v>
      </c>
      <c r="D335">
        <v>7</v>
      </c>
      <c r="E335" s="203">
        <v>0.36446706782026667</v>
      </c>
      <c r="F335" s="203">
        <v>64.224536939328985</v>
      </c>
      <c r="G335" s="203" t="s">
        <v>819</v>
      </c>
      <c r="H335" s="204">
        <v>-0.99214720593328909</v>
      </c>
      <c r="I335" s="204">
        <v>16.05628608531562</v>
      </c>
      <c r="J335" s="204" t="s">
        <v>819</v>
      </c>
      <c r="K335" s="205">
        <v>-0.73581343108121045</v>
      </c>
      <c r="L335" s="205">
        <v>23.092212314161987</v>
      </c>
      <c r="M335" s="205" t="s">
        <v>819</v>
      </c>
    </row>
    <row r="336" spans="1:13" x14ac:dyDescent="0.25">
      <c r="A336">
        <v>335</v>
      </c>
      <c r="B336" t="s">
        <v>823</v>
      </c>
      <c r="C336" t="s">
        <v>830</v>
      </c>
      <c r="D336">
        <v>7</v>
      </c>
      <c r="E336" s="203">
        <v>-0.2267335866530461</v>
      </c>
      <c r="F336" s="203">
        <v>41.031545439582182</v>
      </c>
      <c r="G336" s="203" t="s">
        <v>819</v>
      </c>
      <c r="H336" s="204">
        <v>0.26662184885344892</v>
      </c>
      <c r="I336" s="204">
        <v>60.511983426667527</v>
      </c>
      <c r="J336" s="204" t="s">
        <v>819</v>
      </c>
      <c r="K336" s="205">
        <v>-0.40136474366771846</v>
      </c>
      <c r="L336" s="205">
        <v>34.407580136116898</v>
      </c>
      <c r="M336" s="205" t="s">
        <v>819</v>
      </c>
    </row>
    <row r="337" spans="1:13" x14ac:dyDescent="0.25">
      <c r="A337">
        <v>336</v>
      </c>
      <c r="B337" t="s">
        <v>823</v>
      </c>
      <c r="C337" t="s">
        <v>830</v>
      </c>
      <c r="D337">
        <v>6</v>
      </c>
      <c r="E337" s="203">
        <v>0.33101029058095705</v>
      </c>
      <c r="F337" s="203">
        <v>62.968164372110472</v>
      </c>
      <c r="G337" s="203" t="s">
        <v>819</v>
      </c>
      <c r="H337" s="204">
        <v>-0.56986739212235282</v>
      </c>
      <c r="I337" s="204">
        <v>28.438382130125095</v>
      </c>
      <c r="J337" s="204" t="s">
        <v>819</v>
      </c>
      <c r="K337" s="205">
        <v>-0.81758435161156984</v>
      </c>
      <c r="L337" s="205">
        <v>20.679728293415952</v>
      </c>
      <c r="M337" s="205" t="s">
        <v>819</v>
      </c>
    </row>
    <row r="338" spans="1:13" x14ac:dyDescent="0.25">
      <c r="A338">
        <v>337</v>
      </c>
      <c r="B338" t="s">
        <v>823</v>
      </c>
      <c r="C338" t="s">
        <v>830</v>
      </c>
      <c r="D338">
        <v>7</v>
      </c>
      <c r="E338" s="203">
        <v>-0.74924978202010695</v>
      </c>
      <c r="F338" s="203">
        <v>22.685333464171674</v>
      </c>
      <c r="G338" s="203" t="s">
        <v>819</v>
      </c>
      <c r="H338" s="204">
        <v>-1.4332142682597524</v>
      </c>
      <c r="I338" s="204">
        <v>7.5898306657461401</v>
      </c>
      <c r="J338" s="204" t="s">
        <v>819</v>
      </c>
      <c r="K338" s="205">
        <v>2.4248706187671605</v>
      </c>
      <c r="L338" s="205">
        <v>99.234307834860644</v>
      </c>
      <c r="M338" s="205" t="s">
        <v>820</v>
      </c>
    </row>
    <row r="339" spans="1:13" x14ac:dyDescent="0.25">
      <c r="A339">
        <v>338</v>
      </c>
      <c r="B339" t="s">
        <v>823</v>
      </c>
      <c r="C339" t="s">
        <v>831</v>
      </c>
      <c r="D339">
        <v>6</v>
      </c>
      <c r="E339" s="203">
        <v>-0.71428874109402618</v>
      </c>
      <c r="F339" s="203">
        <v>23.752432639489314</v>
      </c>
      <c r="G339" s="203" t="s">
        <v>819</v>
      </c>
      <c r="H339" s="204">
        <v>-1.5966231632149328</v>
      </c>
      <c r="I339" s="204">
        <v>5.5174866230992849</v>
      </c>
      <c r="J339" s="204" t="s">
        <v>819</v>
      </c>
      <c r="K339" s="205">
        <v>0.22774208618163191</v>
      </c>
      <c r="L339" s="205">
        <v>59.00766239961861</v>
      </c>
      <c r="M339" s="205" t="s">
        <v>819</v>
      </c>
    </row>
    <row r="340" spans="1:13" x14ac:dyDescent="0.25">
      <c r="A340">
        <v>339</v>
      </c>
      <c r="B340" t="s">
        <v>823</v>
      </c>
      <c r="C340" t="s">
        <v>831</v>
      </c>
      <c r="D340">
        <v>6</v>
      </c>
      <c r="E340" s="203">
        <v>-0.79742604536204686</v>
      </c>
      <c r="F340" s="203">
        <v>21.260181891250703</v>
      </c>
      <c r="G340" s="203" t="s">
        <v>819</v>
      </c>
      <c r="H340" s="204">
        <v>-2.3968322140694061</v>
      </c>
      <c r="I340" s="204">
        <v>0.82687472393489725</v>
      </c>
      <c r="J340" s="204" t="s">
        <v>824</v>
      </c>
      <c r="K340" s="205">
        <v>3.1421023334792504</v>
      </c>
      <c r="L340" s="205">
        <v>99.916130300773148</v>
      </c>
      <c r="M340" s="205" t="s">
        <v>820</v>
      </c>
    </row>
    <row r="341" spans="1:13" x14ac:dyDescent="0.25">
      <c r="A341">
        <v>340</v>
      </c>
      <c r="B341" t="s">
        <v>823</v>
      </c>
      <c r="C341" t="s">
        <v>830</v>
      </c>
      <c r="D341">
        <v>7</v>
      </c>
      <c r="E341" s="203">
        <v>0.80898937773565893</v>
      </c>
      <c r="F341" s="203">
        <v>79.07393718699754</v>
      </c>
      <c r="G341" s="203" t="s">
        <v>819</v>
      </c>
      <c r="H341" s="204">
        <v>-1.0967461971309826</v>
      </c>
      <c r="I341" s="204">
        <v>13.637617779417353</v>
      </c>
      <c r="J341" s="204" t="s">
        <v>819</v>
      </c>
      <c r="K341" s="205">
        <v>-0.67046186091667082</v>
      </c>
      <c r="L341" s="205">
        <v>25.128170564841746</v>
      </c>
      <c r="M341" s="205" t="s">
        <v>819</v>
      </c>
    </row>
    <row r="342" spans="1:13" x14ac:dyDescent="0.25">
      <c r="A342">
        <v>341</v>
      </c>
      <c r="B342" t="s">
        <v>823</v>
      </c>
      <c r="C342" t="s">
        <v>831</v>
      </c>
      <c r="D342">
        <v>6</v>
      </c>
      <c r="E342" s="203">
        <v>1.6883591667465629</v>
      </c>
      <c r="F342" s="203">
        <v>95.432884807435101</v>
      </c>
      <c r="G342" s="203" t="s">
        <v>816</v>
      </c>
      <c r="H342" s="204">
        <v>-1.5387940636864426</v>
      </c>
      <c r="I342" s="204">
        <v>6.1927289786532187</v>
      </c>
      <c r="J342" s="204" t="s">
        <v>819</v>
      </c>
      <c r="K342" s="205">
        <v>3.972463598179758</v>
      </c>
      <c r="L342" s="205">
        <v>99.99644334454166</v>
      </c>
      <c r="M342" s="205" t="s">
        <v>820</v>
      </c>
    </row>
    <row r="343" spans="1:13" x14ac:dyDescent="0.25">
      <c r="A343">
        <v>342</v>
      </c>
      <c r="B343" t="s">
        <v>823</v>
      </c>
      <c r="C343" t="s">
        <v>830</v>
      </c>
      <c r="D343">
        <v>6</v>
      </c>
      <c r="E343" s="203">
        <v>-0.43010787585030746</v>
      </c>
      <c r="F343" s="203">
        <v>33.355858559162158</v>
      </c>
      <c r="G343" s="203" t="s">
        <v>819</v>
      </c>
      <c r="H343" s="204">
        <v>-0.1763591010728148</v>
      </c>
      <c r="I343" s="204">
        <v>43.000591680899511</v>
      </c>
      <c r="J343" s="204" t="s">
        <v>819</v>
      </c>
      <c r="K343" s="205">
        <v>0.9588694544462355</v>
      </c>
      <c r="L343" s="205">
        <v>83.118774276218957</v>
      </c>
      <c r="M343" s="205" t="s">
        <v>819</v>
      </c>
    </row>
    <row r="344" spans="1:13" x14ac:dyDescent="0.25">
      <c r="A344">
        <v>343</v>
      </c>
      <c r="B344" t="s">
        <v>823</v>
      </c>
      <c r="C344" t="s">
        <v>830</v>
      </c>
      <c r="D344">
        <v>7</v>
      </c>
      <c r="E344" s="203">
        <v>-1.4356054275424708</v>
      </c>
      <c r="F344" s="203">
        <v>7.5557324723698267</v>
      </c>
      <c r="G344" s="203" t="s">
        <v>819</v>
      </c>
      <c r="H344" s="204">
        <v>-1.7522105940360444</v>
      </c>
      <c r="I344" s="204">
        <v>3.9868801328916623</v>
      </c>
      <c r="J344" s="204" t="s">
        <v>824</v>
      </c>
      <c r="K344" s="205">
        <v>0.58710178108892142</v>
      </c>
      <c r="L344" s="205">
        <v>72.143232427475596</v>
      </c>
      <c r="M344" s="205" t="s">
        <v>819</v>
      </c>
    </row>
    <row r="345" spans="1:13" x14ac:dyDescent="0.25">
      <c r="A345">
        <v>344</v>
      </c>
      <c r="B345" t="s">
        <v>823</v>
      </c>
      <c r="C345" t="s">
        <v>830</v>
      </c>
      <c r="D345">
        <v>7</v>
      </c>
      <c r="E345" s="203">
        <v>0.62193981062914749</v>
      </c>
      <c r="F345" s="203">
        <v>73.300927684163568</v>
      </c>
      <c r="G345" s="203" t="s">
        <v>819</v>
      </c>
      <c r="H345" s="204">
        <v>-1.2786419093095494</v>
      </c>
      <c r="I345" s="204">
        <v>10.05115923335743</v>
      </c>
      <c r="J345" s="204" t="s">
        <v>819</v>
      </c>
      <c r="K345" s="205">
        <v>3.302349498123982</v>
      </c>
      <c r="L345" s="205">
        <v>99.952060737731557</v>
      </c>
      <c r="M345" s="205" t="s">
        <v>820</v>
      </c>
    </row>
    <row r="346" spans="1:13" x14ac:dyDescent="0.25">
      <c r="A346">
        <v>345</v>
      </c>
      <c r="B346" t="s">
        <v>823</v>
      </c>
      <c r="C346" t="s">
        <v>830</v>
      </c>
      <c r="D346">
        <v>7</v>
      </c>
      <c r="E346" s="203">
        <v>0.62193981062914749</v>
      </c>
      <c r="F346" s="203">
        <v>73.300927684163568</v>
      </c>
      <c r="G346" s="203" t="s">
        <v>819</v>
      </c>
      <c r="H346" s="204">
        <v>-1.385152720115099</v>
      </c>
      <c r="I346" s="204">
        <v>8.3002887111040931</v>
      </c>
      <c r="J346" s="204" t="s">
        <v>819</v>
      </c>
      <c r="K346" s="205">
        <v>0.87112091394190361</v>
      </c>
      <c r="L346" s="205">
        <v>80.815593202977425</v>
      </c>
      <c r="M346" s="205" t="s">
        <v>819</v>
      </c>
    </row>
    <row r="347" spans="1:13" x14ac:dyDescent="0.25">
      <c r="A347">
        <v>346</v>
      </c>
      <c r="B347" t="s">
        <v>823</v>
      </c>
      <c r="C347" t="s">
        <v>831</v>
      </c>
      <c r="D347">
        <v>7</v>
      </c>
      <c r="E347" s="203">
        <v>-1.1469263443865076</v>
      </c>
      <c r="F347" s="203">
        <v>12.570603181891752</v>
      </c>
      <c r="G347" s="203" t="s">
        <v>819</v>
      </c>
      <c r="H347" s="204">
        <v>0.38480082906457097</v>
      </c>
      <c r="I347" s="204">
        <v>64.980750758373091</v>
      </c>
      <c r="J347" s="204" t="s">
        <v>819</v>
      </c>
      <c r="K347" s="205">
        <v>-0.34867341906320665</v>
      </c>
      <c r="L347" s="205">
        <v>36.36672509491595</v>
      </c>
      <c r="M347" s="205" t="s">
        <v>819</v>
      </c>
    </row>
    <row r="348" spans="1:13" x14ac:dyDescent="0.25">
      <c r="A348">
        <v>347</v>
      </c>
      <c r="B348" t="s">
        <v>823</v>
      </c>
      <c r="C348" t="s">
        <v>830</v>
      </c>
      <c r="D348">
        <v>7</v>
      </c>
      <c r="E348" s="203">
        <v>-1.0351853586641016</v>
      </c>
      <c r="F348" s="203">
        <v>15.029117754276161</v>
      </c>
      <c r="G348" s="203" t="s">
        <v>819</v>
      </c>
      <c r="H348" s="204">
        <v>-0.42285659037804618</v>
      </c>
      <c r="I348" s="204">
        <v>33.619994810214997</v>
      </c>
      <c r="J348" s="204" t="s">
        <v>819</v>
      </c>
      <c r="K348" s="205">
        <v>-1.3229954074419426</v>
      </c>
      <c r="L348" s="205">
        <v>9.2918452552575079</v>
      </c>
      <c r="M348" s="205" t="s">
        <v>825</v>
      </c>
    </row>
    <row r="349" spans="1:13" x14ac:dyDescent="0.25">
      <c r="A349">
        <v>348</v>
      </c>
      <c r="B349" t="s">
        <v>823</v>
      </c>
      <c r="C349" t="s">
        <v>831</v>
      </c>
      <c r="D349">
        <v>7</v>
      </c>
      <c r="E349" s="203">
        <v>0.15666482597304815</v>
      </c>
      <c r="F349" s="203">
        <v>56.224549524384692</v>
      </c>
      <c r="G349" s="203" t="s">
        <v>819</v>
      </c>
      <c r="H349" s="204">
        <v>-1.8598235547289328</v>
      </c>
      <c r="I349" s="204">
        <v>3.1455246837001973</v>
      </c>
      <c r="J349" s="204" t="s">
        <v>824</v>
      </c>
      <c r="K349" s="205">
        <v>2.2211397512387685</v>
      </c>
      <c r="L349" s="205">
        <v>98.68292513124311</v>
      </c>
      <c r="M349" s="205" t="s">
        <v>820</v>
      </c>
    </row>
    <row r="350" spans="1:13" x14ac:dyDescent="0.25">
      <c r="A350">
        <v>349</v>
      </c>
      <c r="B350" t="s">
        <v>823</v>
      </c>
      <c r="C350" t="s">
        <v>830</v>
      </c>
      <c r="D350">
        <v>7</v>
      </c>
      <c r="E350" s="203">
        <v>-1.2433953940120481</v>
      </c>
      <c r="F350" s="203">
        <v>10.686108338135039</v>
      </c>
      <c r="G350" s="203" t="s">
        <v>819</v>
      </c>
      <c r="H350" s="204">
        <v>-0.6234534338277079</v>
      </c>
      <c r="I350" s="204">
        <v>26.649329686498735</v>
      </c>
      <c r="J350" s="204" t="s">
        <v>819</v>
      </c>
      <c r="K350" s="205">
        <v>1.4110953073650165</v>
      </c>
      <c r="L350" s="205">
        <v>92.089174324866477</v>
      </c>
      <c r="M350" s="205" t="s">
        <v>820</v>
      </c>
    </row>
    <row r="351" spans="1:13" x14ac:dyDescent="0.25">
      <c r="A351">
        <v>350</v>
      </c>
      <c r="B351" t="s">
        <v>823</v>
      </c>
      <c r="C351" t="s">
        <v>830</v>
      </c>
      <c r="D351">
        <v>8</v>
      </c>
      <c r="E351" s="203">
        <v>3.220501028983698E-2</v>
      </c>
      <c r="F351" s="203">
        <v>51.284571969014571</v>
      </c>
      <c r="G351" s="203" t="s">
        <v>819</v>
      </c>
      <c r="H351" s="204">
        <v>0.36151941530740339</v>
      </c>
      <c r="I351" s="204">
        <v>64.114440314587</v>
      </c>
      <c r="J351" s="204" t="s">
        <v>819</v>
      </c>
      <c r="K351" s="205">
        <v>1.0701602855654235</v>
      </c>
      <c r="L351" s="205">
        <v>85.772641640963101</v>
      </c>
      <c r="M351" s="205" t="s">
        <v>820</v>
      </c>
    </row>
    <row r="352" spans="1:13" x14ac:dyDescent="0.25">
      <c r="A352">
        <v>351</v>
      </c>
      <c r="B352" t="s">
        <v>823</v>
      </c>
      <c r="C352" t="s">
        <v>830</v>
      </c>
      <c r="D352">
        <v>8</v>
      </c>
      <c r="E352" s="203">
        <v>0.71127744655428016</v>
      </c>
      <c r="F352" s="203">
        <v>76.154383767694796</v>
      </c>
      <c r="G352" s="203" t="s">
        <v>819</v>
      </c>
      <c r="H352" s="204">
        <v>-0.2839785073191427</v>
      </c>
      <c r="I352" s="204">
        <v>38.821342577926721</v>
      </c>
      <c r="J352" s="204" t="s">
        <v>819</v>
      </c>
      <c r="K352" s="205">
        <v>2.7779086040166043</v>
      </c>
      <c r="L352" s="205">
        <v>99.726449977126592</v>
      </c>
      <c r="M352" s="205" t="s">
        <v>820</v>
      </c>
    </row>
    <row r="353" spans="1:13" x14ac:dyDescent="0.25">
      <c r="A353">
        <v>352</v>
      </c>
      <c r="B353" t="s">
        <v>823</v>
      </c>
      <c r="C353" t="s">
        <v>831</v>
      </c>
      <c r="D353">
        <v>8</v>
      </c>
      <c r="E353" s="203">
        <v>-0.58098018780060001</v>
      </c>
      <c r="F353" s="203">
        <v>28.062690321212703</v>
      </c>
      <c r="G353" s="203" t="s">
        <v>819</v>
      </c>
      <c r="H353" s="204">
        <v>-1.6566929398120429</v>
      </c>
      <c r="I353" s="204">
        <v>4.8790785569900326</v>
      </c>
      <c r="J353" s="204" t="s">
        <v>824</v>
      </c>
      <c r="K353" s="205">
        <v>0.63234087140535844</v>
      </c>
      <c r="L353" s="205">
        <v>73.641791903099246</v>
      </c>
      <c r="M353" s="205" t="s">
        <v>819</v>
      </c>
    </row>
    <row r="354" spans="1:13" x14ac:dyDescent="0.25">
      <c r="A354">
        <v>353</v>
      </c>
      <c r="B354" t="s">
        <v>823</v>
      </c>
      <c r="C354" t="s">
        <v>830</v>
      </c>
      <c r="D354">
        <v>8</v>
      </c>
      <c r="E354" s="203">
        <v>-1.1507622027809281</v>
      </c>
      <c r="F354" s="203">
        <v>12.491503922813383</v>
      </c>
      <c r="G354" s="203" t="s">
        <v>819</v>
      </c>
      <c r="H354" s="204">
        <v>-0.85030378801783268</v>
      </c>
      <c r="I354" s="204">
        <v>19.757810554864257</v>
      </c>
      <c r="J354" s="204" t="s">
        <v>819</v>
      </c>
      <c r="K354" s="205">
        <v>-1.354558965155594E-2</v>
      </c>
      <c r="L354" s="205">
        <v>49.459625682469884</v>
      </c>
      <c r="M354" s="205" t="s">
        <v>819</v>
      </c>
    </row>
    <row r="355" spans="1:13" x14ac:dyDescent="0.25">
      <c r="A355">
        <v>354</v>
      </c>
      <c r="B355" t="s">
        <v>823</v>
      </c>
      <c r="C355" t="s">
        <v>830</v>
      </c>
      <c r="D355">
        <v>8</v>
      </c>
      <c r="E355" s="203">
        <v>-0.10515339267014054</v>
      </c>
      <c r="F355" s="203">
        <v>45.812704643738513</v>
      </c>
      <c r="G355" s="203" t="s">
        <v>819</v>
      </c>
      <c r="H355" s="204">
        <v>-1.5922706935501181</v>
      </c>
      <c r="I355" s="204">
        <v>5.5661947449578797</v>
      </c>
      <c r="J355" s="204" t="s">
        <v>819</v>
      </c>
      <c r="K355" s="205">
        <v>-0.12265106862445628</v>
      </c>
      <c r="L355" s="205">
        <v>45.119170639214929</v>
      </c>
      <c r="M355" s="205" t="s">
        <v>819</v>
      </c>
    </row>
    <row r="356" spans="1:13" x14ac:dyDescent="0.25">
      <c r="A356">
        <v>355</v>
      </c>
      <c r="B356" t="s">
        <v>823</v>
      </c>
      <c r="C356" t="s">
        <v>830</v>
      </c>
      <c r="D356">
        <v>8</v>
      </c>
      <c r="E356" s="203">
        <v>-1.1507622027809281</v>
      </c>
      <c r="F356" s="203">
        <v>12.491503922813383</v>
      </c>
      <c r="G356" s="203" t="s">
        <v>819</v>
      </c>
      <c r="H356" s="204">
        <v>-1.4071748733362246</v>
      </c>
      <c r="I356" s="204">
        <v>7.9687770214492426</v>
      </c>
      <c r="J356" s="204" t="s">
        <v>819</v>
      </c>
      <c r="K356" s="205">
        <v>-0.43116348027614232</v>
      </c>
      <c r="L356" s="205">
        <v>33.317475292918488</v>
      </c>
      <c r="M356" s="205" t="s">
        <v>819</v>
      </c>
    </row>
    <row r="357" spans="1:13" x14ac:dyDescent="0.25">
      <c r="A357">
        <v>356</v>
      </c>
      <c r="B357" t="s">
        <v>823</v>
      </c>
      <c r="C357" t="s">
        <v>830</v>
      </c>
      <c r="D357">
        <v>8</v>
      </c>
      <c r="E357" s="203">
        <v>-8.0785204169758363E-3</v>
      </c>
      <c r="F357" s="203">
        <v>49.677717169758807</v>
      </c>
      <c r="G357" s="203" t="s">
        <v>819</v>
      </c>
      <c r="H357" s="204">
        <v>-1.4080466585012346</v>
      </c>
      <c r="I357" s="204">
        <v>7.9558627192624689</v>
      </c>
      <c r="J357" s="204" t="s">
        <v>819</v>
      </c>
      <c r="K357" s="205">
        <v>2.2195989819568474</v>
      </c>
      <c r="L357" s="205">
        <v>98.677699927427412</v>
      </c>
      <c r="M357" s="205" t="s">
        <v>820</v>
      </c>
    </row>
    <row r="358" spans="1:13" x14ac:dyDescent="0.25">
      <c r="A358">
        <v>357</v>
      </c>
      <c r="B358" t="s">
        <v>823</v>
      </c>
      <c r="C358" t="s">
        <v>830</v>
      </c>
      <c r="D358">
        <v>8</v>
      </c>
      <c r="E358" s="203">
        <v>-0.74579951630025032</v>
      </c>
      <c r="F358" s="203">
        <v>22.789426610046533</v>
      </c>
      <c r="G358" s="203" t="s">
        <v>819</v>
      </c>
      <c r="H358" s="204">
        <v>-1.4777710734899836</v>
      </c>
      <c r="I358" s="204">
        <v>6.9734531674744709</v>
      </c>
      <c r="J358" s="204" t="s">
        <v>819</v>
      </c>
      <c r="K358" s="205">
        <v>-0.4973007639227795</v>
      </c>
      <c r="L358" s="205">
        <v>30.948848656700566</v>
      </c>
      <c r="M358" s="205" t="s">
        <v>819</v>
      </c>
    </row>
    <row r="359" spans="1:13" x14ac:dyDescent="0.25">
      <c r="A359">
        <v>358</v>
      </c>
      <c r="B359" t="s">
        <v>823</v>
      </c>
      <c r="C359" t="s">
        <v>831</v>
      </c>
      <c r="D359">
        <v>7</v>
      </c>
      <c r="E359" s="203">
        <v>-0.89301575006078837</v>
      </c>
      <c r="F359" s="203">
        <v>18.59243691215368</v>
      </c>
      <c r="G359" s="203" t="s">
        <v>819</v>
      </c>
      <c r="H359" s="204">
        <v>0.33930509652015151</v>
      </c>
      <c r="I359" s="204">
        <v>63.28100481601264</v>
      </c>
      <c r="J359" s="204" t="s">
        <v>819</v>
      </c>
      <c r="K359" s="205">
        <v>-0.49331833530051966</v>
      </c>
      <c r="L359" s="205">
        <v>31.089383748165851</v>
      </c>
      <c r="M359" s="205" t="s">
        <v>819</v>
      </c>
    </row>
    <row r="360" spans="1:13" x14ac:dyDescent="0.25">
      <c r="A360">
        <v>359</v>
      </c>
      <c r="B360" t="s">
        <v>823</v>
      </c>
      <c r="C360" t="s">
        <v>830</v>
      </c>
      <c r="D360">
        <v>7</v>
      </c>
      <c r="E360" s="203">
        <v>-0.34374024090075989</v>
      </c>
      <c r="F360" s="203">
        <v>36.552082265171343</v>
      </c>
      <c r="G360" s="203" t="s">
        <v>819</v>
      </c>
      <c r="H360" s="204">
        <v>-5.8898565479825263E-2</v>
      </c>
      <c r="I360" s="204">
        <v>47.65164503255798</v>
      </c>
      <c r="J360" s="204" t="s">
        <v>819</v>
      </c>
      <c r="K360" s="205">
        <v>1.1195551912308359</v>
      </c>
      <c r="L360" s="205">
        <v>86.854832032376393</v>
      </c>
      <c r="M360" s="205" t="s">
        <v>820</v>
      </c>
    </row>
    <row r="361" spans="1:13" x14ac:dyDescent="0.25">
      <c r="A361">
        <v>360</v>
      </c>
      <c r="B361" t="s">
        <v>823</v>
      </c>
      <c r="C361" t="s">
        <v>831</v>
      </c>
      <c r="D361">
        <v>8</v>
      </c>
      <c r="E361" s="203">
        <v>-2.0240996963775419</v>
      </c>
      <c r="F361" s="203">
        <v>2.1479947431373159</v>
      </c>
      <c r="G361" s="203" t="s">
        <v>818</v>
      </c>
      <c r="H361" s="204">
        <v>-1.1353780200860497</v>
      </c>
      <c r="I361" s="204">
        <v>12.810848251304105</v>
      </c>
      <c r="J361" s="204" t="s">
        <v>819</v>
      </c>
      <c r="K361" s="205">
        <v>0.82108393738040253</v>
      </c>
      <c r="L361" s="205">
        <v>79.420077065119315</v>
      </c>
      <c r="M361" s="205" t="s">
        <v>819</v>
      </c>
    </row>
    <row r="362" spans="1:13" x14ac:dyDescent="0.25">
      <c r="A362">
        <v>361</v>
      </c>
      <c r="B362" t="s">
        <v>823</v>
      </c>
      <c r="C362" t="s">
        <v>830</v>
      </c>
      <c r="D362">
        <v>8</v>
      </c>
      <c r="E362" s="203">
        <v>0.6612753854212744</v>
      </c>
      <c r="F362" s="203">
        <v>74.578213805017782</v>
      </c>
      <c r="G362" s="203" t="s">
        <v>819</v>
      </c>
      <c r="H362" s="204">
        <v>-0.43733248626695914</v>
      </c>
      <c r="I362" s="204">
        <v>33.093511940776104</v>
      </c>
      <c r="J362" s="204" t="s">
        <v>819</v>
      </c>
      <c r="K362" s="205">
        <v>0.33389381661542267</v>
      </c>
      <c r="L362" s="205">
        <v>63.077015703983406</v>
      </c>
      <c r="M362" s="205" t="s">
        <v>819</v>
      </c>
    </row>
    <row r="363" spans="1:13" x14ac:dyDescent="0.25">
      <c r="A363">
        <v>362</v>
      </c>
      <c r="B363" t="s">
        <v>823</v>
      </c>
      <c r="C363" t="s">
        <v>831</v>
      </c>
      <c r="D363">
        <v>8</v>
      </c>
      <c r="E363" s="203">
        <v>-0.17895604500987727</v>
      </c>
      <c r="F363" s="203">
        <v>42.898610772940835</v>
      </c>
      <c r="G363" s="203" t="s">
        <v>819</v>
      </c>
      <c r="H363" s="204">
        <v>-2.2503322025326953</v>
      </c>
      <c r="I363" s="204">
        <v>1.221393260211395</v>
      </c>
      <c r="J363" s="204" t="s">
        <v>824</v>
      </c>
      <c r="K363" s="205">
        <v>1.67521509936761</v>
      </c>
      <c r="L363" s="205">
        <v>95.305398197232222</v>
      </c>
      <c r="M363" s="205" t="s">
        <v>820</v>
      </c>
    </row>
    <row r="364" spans="1:13" x14ac:dyDescent="0.25">
      <c r="A364">
        <v>363</v>
      </c>
      <c r="B364" t="s">
        <v>823</v>
      </c>
      <c r="C364" t="s">
        <v>830</v>
      </c>
      <c r="D364">
        <v>8</v>
      </c>
      <c r="E364" s="203">
        <v>1.0232644435598164</v>
      </c>
      <c r="F364" s="203">
        <v>84.690858477926156</v>
      </c>
      <c r="G364" s="203" t="s">
        <v>819</v>
      </c>
      <c r="H364" s="204">
        <v>-0.5440796369664278</v>
      </c>
      <c r="I364" s="204">
        <v>29.31933362271668</v>
      </c>
      <c r="J364" s="204" t="s">
        <v>819</v>
      </c>
      <c r="K364" s="205">
        <v>3.1355992170285485</v>
      </c>
      <c r="L364" s="205">
        <v>99.914248297702343</v>
      </c>
      <c r="M364" s="205" t="s">
        <v>820</v>
      </c>
    </row>
    <row r="365" spans="1:13" x14ac:dyDescent="0.25">
      <c r="A365">
        <v>364</v>
      </c>
      <c r="B365" t="s">
        <v>823</v>
      </c>
      <c r="C365" t="s">
        <v>831</v>
      </c>
      <c r="D365">
        <v>8</v>
      </c>
      <c r="E365" s="203">
        <v>-9.0649702744721908E-2</v>
      </c>
      <c r="F365" s="203">
        <v>46.388546869803029</v>
      </c>
      <c r="G365" s="203" t="s">
        <v>819</v>
      </c>
      <c r="H365" s="204">
        <v>-1.10301115143285</v>
      </c>
      <c r="I365" s="204">
        <v>13.501116124179614</v>
      </c>
      <c r="J365" s="204" t="s">
        <v>819</v>
      </c>
      <c r="K365" s="205">
        <v>0.33373514059284837</v>
      </c>
      <c r="L365" s="205">
        <v>63.071028498042068</v>
      </c>
      <c r="M365" s="205" t="s">
        <v>819</v>
      </c>
    </row>
    <row r="366" spans="1:13" x14ac:dyDescent="0.25">
      <c r="A366">
        <v>365</v>
      </c>
      <c r="B366" t="s">
        <v>823</v>
      </c>
      <c r="C366" t="s">
        <v>831</v>
      </c>
      <c r="D366">
        <v>8</v>
      </c>
      <c r="E366" s="203">
        <v>1.276615798683959</v>
      </c>
      <c r="F366" s="203">
        <v>89.913103928984398</v>
      </c>
      <c r="G366" s="203" t="s">
        <v>819</v>
      </c>
      <c r="H366" s="204">
        <v>-0.59983138383362089</v>
      </c>
      <c r="I366" s="204">
        <v>27.430930764719974</v>
      </c>
      <c r="J366" s="204" t="s">
        <v>819</v>
      </c>
      <c r="K366" s="205">
        <v>1.896292044823163</v>
      </c>
      <c r="L366" s="205">
        <v>97.103928118821585</v>
      </c>
      <c r="M366" s="205" t="s">
        <v>820</v>
      </c>
    </row>
    <row r="367" spans="1:13" x14ac:dyDescent="0.25">
      <c r="A367">
        <v>366</v>
      </c>
      <c r="B367" t="s">
        <v>823</v>
      </c>
      <c r="C367" t="s">
        <v>831</v>
      </c>
      <c r="D367">
        <v>8</v>
      </c>
      <c r="E367" s="203">
        <v>-0.94519064113764739</v>
      </c>
      <c r="F367" s="203">
        <v>17.228077828794184</v>
      </c>
      <c r="G367" s="203" t="s">
        <v>819</v>
      </c>
      <c r="H367" s="204">
        <v>-1.0899752229645032</v>
      </c>
      <c r="I367" s="204">
        <v>13.786202926679058</v>
      </c>
      <c r="J367" s="204" t="s">
        <v>819</v>
      </c>
      <c r="K367" s="205">
        <v>0.27791164376650451</v>
      </c>
      <c r="L367" s="205">
        <v>60.94599072818361</v>
      </c>
      <c r="M367" s="205" t="s">
        <v>819</v>
      </c>
    </row>
    <row r="368" spans="1:13" x14ac:dyDescent="0.25">
      <c r="A368">
        <v>367</v>
      </c>
      <c r="B368" t="s">
        <v>823</v>
      </c>
      <c r="C368" t="s">
        <v>830</v>
      </c>
      <c r="D368">
        <v>8</v>
      </c>
      <c r="E368" s="203">
        <v>-0.65389652214146177</v>
      </c>
      <c r="F368" s="203">
        <v>25.658923737614899</v>
      </c>
      <c r="G368" s="203" t="s">
        <v>819</v>
      </c>
      <c r="H368" s="204">
        <v>-0.86721005143803109</v>
      </c>
      <c r="I368" s="204">
        <v>19.291346496324902</v>
      </c>
      <c r="J368" s="204" t="s">
        <v>819</v>
      </c>
      <c r="K368" s="205">
        <v>0.31811127049229276</v>
      </c>
      <c r="L368" s="205">
        <v>62.479973262804123</v>
      </c>
      <c r="M368" s="205" t="s">
        <v>819</v>
      </c>
    </row>
    <row r="369" spans="1:13" x14ac:dyDescent="0.25">
      <c r="A369">
        <v>368</v>
      </c>
      <c r="B369" t="s">
        <v>823</v>
      </c>
      <c r="C369" t="s">
        <v>831</v>
      </c>
      <c r="D369">
        <v>8</v>
      </c>
      <c r="E369" s="203">
        <v>2.0528442093343191</v>
      </c>
      <c r="F369" s="203">
        <v>97.995615533590254</v>
      </c>
      <c r="G369" s="203" t="s">
        <v>816</v>
      </c>
      <c r="H369" s="204">
        <v>-1.0903858429707807</v>
      </c>
      <c r="I369" s="204">
        <v>13.777160769193941</v>
      </c>
      <c r="J369" s="204" t="s">
        <v>819</v>
      </c>
      <c r="K369" s="205">
        <v>2.567558275914767</v>
      </c>
      <c r="L369" s="205">
        <v>99.487912136393916</v>
      </c>
      <c r="M369" s="205" t="s">
        <v>820</v>
      </c>
    </row>
    <row r="370" spans="1:13" x14ac:dyDescent="0.25">
      <c r="A370">
        <v>369</v>
      </c>
      <c r="B370" t="s">
        <v>823</v>
      </c>
      <c r="C370" t="s">
        <v>830</v>
      </c>
      <c r="D370">
        <v>8</v>
      </c>
      <c r="E370" s="203">
        <v>-0.65389652214146177</v>
      </c>
      <c r="F370" s="203">
        <v>25.658923737614899</v>
      </c>
      <c r="G370" s="203" t="s">
        <v>819</v>
      </c>
      <c r="H370" s="204">
        <v>4.127059534698501E-2</v>
      </c>
      <c r="I370" s="204">
        <v>51.645991269791857</v>
      </c>
      <c r="J370" s="204" t="s">
        <v>819</v>
      </c>
      <c r="K370" s="205">
        <v>-1.2538125939934819</v>
      </c>
      <c r="L370" s="205">
        <v>10.495506526157428</v>
      </c>
      <c r="M370" s="205" t="s">
        <v>825</v>
      </c>
    </row>
    <row r="371" spans="1:13" x14ac:dyDescent="0.25">
      <c r="A371">
        <v>370</v>
      </c>
      <c r="B371" t="s">
        <v>823</v>
      </c>
      <c r="C371" t="s">
        <v>831</v>
      </c>
      <c r="D371">
        <v>8</v>
      </c>
      <c r="E371" s="203">
        <v>0.84733137361670063</v>
      </c>
      <c r="F371" s="203">
        <v>80.159477795412869</v>
      </c>
      <c r="G371" s="203" t="s">
        <v>819</v>
      </c>
      <c r="H371" s="204">
        <v>-0.78387260022447136</v>
      </c>
      <c r="I371" s="204">
        <v>21.655743431555575</v>
      </c>
      <c r="J371" s="204" t="s">
        <v>819</v>
      </c>
      <c r="K371" s="205">
        <v>1.4107560533944519</v>
      </c>
      <c r="L371" s="205">
        <v>92.084172165245533</v>
      </c>
      <c r="M371" s="205" t="s">
        <v>820</v>
      </c>
    </row>
    <row r="372" spans="1:13" x14ac:dyDescent="0.25">
      <c r="A372">
        <v>371</v>
      </c>
      <c r="B372" t="s">
        <v>823</v>
      </c>
      <c r="C372" t="s">
        <v>831</v>
      </c>
      <c r="D372">
        <v>8</v>
      </c>
      <c r="E372" s="203">
        <v>-0.17352930020515261</v>
      </c>
      <c r="F372" s="203">
        <v>43.11176994956687</v>
      </c>
      <c r="G372" s="203" t="s">
        <v>819</v>
      </c>
      <c r="H372" s="204">
        <v>-1.6566929398120429</v>
      </c>
      <c r="I372" s="204">
        <v>4.8790785569900326</v>
      </c>
      <c r="J372" s="204" t="s">
        <v>824</v>
      </c>
      <c r="K372" s="205">
        <v>0.892131889082319</v>
      </c>
      <c r="L372" s="205">
        <v>81.383887791847442</v>
      </c>
      <c r="M372" s="205" t="s">
        <v>819</v>
      </c>
    </row>
    <row r="373" spans="1:13" x14ac:dyDescent="0.25">
      <c r="A373">
        <v>372</v>
      </c>
      <c r="B373" t="s">
        <v>823</v>
      </c>
      <c r="C373" t="s">
        <v>830</v>
      </c>
      <c r="D373">
        <v>8</v>
      </c>
      <c r="E373" s="203">
        <v>-1.1507622027809281</v>
      </c>
      <c r="F373" s="203">
        <v>12.491503922813383</v>
      </c>
      <c r="G373" s="203" t="s">
        <v>819</v>
      </c>
      <c r="H373" s="204">
        <v>-2.0324318947511872</v>
      </c>
      <c r="I373" s="204">
        <v>2.1054975970270706</v>
      </c>
      <c r="J373" s="204" t="s">
        <v>824</v>
      </c>
      <c r="K373" s="205">
        <v>0.52333658827332286</v>
      </c>
      <c r="L373" s="205">
        <v>69.962997818962663</v>
      </c>
      <c r="M373" s="205" t="s">
        <v>819</v>
      </c>
    </row>
    <row r="374" spans="1:13" x14ac:dyDescent="0.25">
      <c r="A374">
        <v>373</v>
      </c>
      <c r="B374" t="s">
        <v>823</v>
      </c>
      <c r="C374" t="s">
        <v>830</v>
      </c>
      <c r="D374">
        <v>7</v>
      </c>
      <c r="E374" s="203">
        <v>0.21082494305002958</v>
      </c>
      <c r="F374" s="203">
        <v>58.34880628872461</v>
      </c>
      <c r="G374" s="203" t="s">
        <v>819</v>
      </c>
      <c r="H374" s="204">
        <v>-0.91883308691979271</v>
      </c>
      <c r="I374" s="204">
        <v>17.909144166967998</v>
      </c>
      <c r="J374" s="204" t="s">
        <v>819</v>
      </c>
      <c r="K374" s="205">
        <v>2.3298466150231993</v>
      </c>
      <c r="L374" s="205">
        <v>99.009287029057958</v>
      </c>
      <c r="M374" s="205" t="s">
        <v>820</v>
      </c>
    </row>
    <row r="375" spans="1:13" x14ac:dyDescent="0.25">
      <c r="A375">
        <v>374</v>
      </c>
      <c r="B375" t="s">
        <v>823</v>
      </c>
      <c r="C375" t="s">
        <v>831</v>
      </c>
      <c r="D375">
        <v>8</v>
      </c>
      <c r="E375" s="203">
        <v>-7.2791023680143282E-3</v>
      </c>
      <c r="F375" s="203">
        <v>49.709608394621057</v>
      </c>
      <c r="G375" s="203" t="s">
        <v>819</v>
      </c>
      <c r="H375" s="204">
        <v>-2.2779504927103944</v>
      </c>
      <c r="I375" s="204">
        <v>1.136476370749812</v>
      </c>
      <c r="J375" s="204" t="s">
        <v>824</v>
      </c>
      <c r="K375" s="205">
        <v>2.8700756476445966</v>
      </c>
      <c r="L375" s="205">
        <v>99.794813195614367</v>
      </c>
      <c r="M375" s="205" t="s">
        <v>820</v>
      </c>
    </row>
    <row r="376" spans="1:13" x14ac:dyDescent="0.25">
      <c r="A376">
        <v>375</v>
      </c>
      <c r="B376" t="s">
        <v>823</v>
      </c>
      <c r="C376" t="s">
        <v>831</v>
      </c>
      <c r="D376">
        <v>8</v>
      </c>
      <c r="E376" s="203">
        <v>-0.52230993029359829</v>
      </c>
      <c r="F376" s="203">
        <v>30.072727812082334</v>
      </c>
      <c r="G376" s="203" t="s">
        <v>819</v>
      </c>
      <c r="H376" s="204">
        <v>-1.5024974281613379</v>
      </c>
      <c r="I376" s="204">
        <v>6.6484345822764066</v>
      </c>
      <c r="J376" s="204" t="s">
        <v>819</v>
      </c>
      <c r="K376" s="205">
        <v>-0.65896814821346561</v>
      </c>
      <c r="L376" s="205">
        <v>25.495811126504226</v>
      </c>
      <c r="M376" s="205" t="s">
        <v>819</v>
      </c>
    </row>
    <row r="377" spans="1:13" x14ac:dyDescent="0.25">
      <c r="A377">
        <v>376</v>
      </c>
      <c r="B377" t="s">
        <v>823</v>
      </c>
      <c r="C377" t="s">
        <v>830</v>
      </c>
      <c r="D377">
        <v>8</v>
      </c>
      <c r="E377" s="203">
        <v>1.2833659259600396</v>
      </c>
      <c r="F377" s="203">
        <v>90.031804714749512</v>
      </c>
      <c r="G377" s="203" t="s">
        <v>819</v>
      </c>
      <c r="H377" s="204">
        <v>0.29652297974256903</v>
      </c>
      <c r="I377" s="204">
        <v>61.65846398342898</v>
      </c>
      <c r="J377" s="204" t="s">
        <v>819</v>
      </c>
      <c r="K377" s="205">
        <v>-0.19497254598793337</v>
      </c>
      <c r="L377" s="205">
        <v>42.270722013698879</v>
      </c>
      <c r="M377" s="205" t="s">
        <v>819</v>
      </c>
    </row>
    <row r="378" spans="1:13" x14ac:dyDescent="0.25">
      <c r="A378">
        <v>377</v>
      </c>
      <c r="B378" t="s">
        <v>823</v>
      </c>
      <c r="C378" t="s">
        <v>830</v>
      </c>
      <c r="D378">
        <v>8</v>
      </c>
      <c r="E378" s="203">
        <v>0.13011627640528184</v>
      </c>
      <c r="F378" s="203">
        <v>55.176278355753048</v>
      </c>
      <c r="G378" s="203" t="s">
        <v>819</v>
      </c>
      <c r="H378" s="204">
        <v>-0.53321408922011848</v>
      </c>
      <c r="I378" s="204">
        <v>29.694269480555636</v>
      </c>
      <c r="J378" s="204" t="s">
        <v>819</v>
      </c>
      <c r="K378" s="205">
        <v>0.2821739314675174</v>
      </c>
      <c r="L378" s="205">
        <v>61.109492693229171</v>
      </c>
      <c r="M378" s="205" t="s">
        <v>819</v>
      </c>
    </row>
    <row r="379" spans="1:13" x14ac:dyDescent="0.25">
      <c r="A379">
        <v>378</v>
      </c>
      <c r="B379" t="s">
        <v>823</v>
      </c>
      <c r="C379" t="s">
        <v>830</v>
      </c>
      <c r="D379">
        <v>8</v>
      </c>
      <c r="E379" s="203">
        <v>-1.1092549779653615</v>
      </c>
      <c r="F379" s="203">
        <v>13.36601006976657</v>
      </c>
      <c r="G379" s="203" t="s">
        <v>819</v>
      </c>
      <c r="H379" s="204">
        <v>-45.330926481621709</v>
      </c>
      <c r="I379" s="204">
        <v>0</v>
      </c>
      <c r="J379" s="204" t="s">
        <v>824</v>
      </c>
      <c r="K379" s="205">
        <v>2.5488887155601132</v>
      </c>
      <c r="L379" s="205">
        <v>99.459666108139871</v>
      </c>
      <c r="M379" s="205" t="s">
        <v>820</v>
      </c>
    </row>
    <row r="380" spans="1:13" x14ac:dyDescent="0.25">
      <c r="A380">
        <v>379</v>
      </c>
      <c r="B380" t="s">
        <v>823</v>
      </c>
      <c r="C380" t="s">
        <v>831</v>
      </c>
      <c r="D380">
        <v>9</v>
      </c>
      <c r="E380" s="203">
        <v>-0.24482029883436127</v>
      </c>
      <c r="F380" s="203">
        <v>40.329778796247354</v>
      </c>
      <c r="G380" s="203" t="s">
        <v>819</v>
      </c>
      <c r="H380" s="204">
        <v>-0.93995573349505623</v>
      </c>
      <c r="I380" s="204">
        <v>17.36201336626506</v>
      </c>
      <c r="J380" s="204" t="s">
        <v>819</v>
      </c>
      <c r="K380" s="205">
        <v>1.9772229452215917</v>
      </c>
      <c r="L380" s="205">
        <v>97.599178245648602</v>
      </c>
      <c r="M380" s="205" t="s">
        <v>820</v>
      </c>
    </row>
    <row r="381" spans="1:13" x14ac:dyDescent="0.25">
      <c r="A381">
        <v>380</v>
      </c>
      <c r="B381" t="s">
        <v>823</v>
      </c>
      <c r="C381" t="s">
        <v>831</v>
      </c>
      <c r="D381">
        <v>9</v>
      </c>
      <c r="E381" s="203">
        <v>-0.24482029883436127</v>
      </c>
      <c r="F381" s="203">
        <v>40.329778796247354</v>
      </c>
      <c r="G381" s="203" t="s">
        <v>819</v>
      </c>
      <c r="H381" s="204">
        <v>-0.83662861015338752</v>
      </c>
      <c r="I381" s="204">
        <v>20.140067932244047</v>
      </c>
      <c r="J381" s="204" t="s">
        <v>819</v>
      </c>
      <c r="K381" s="205">
        <v>0.31554024906494055</v>
      </c>
      <c r="L381" s="205">
        <v>62.382425182627223</v>
      </c>
      <c r="M381" s="205" t="s">
        <v>819</v>
      </c>
    </row>
    <row r="382" spans="1:13" x14ac:dyDescent="0.25">
      <c r="A382">
        <v>381</v>
      </c>
      <c r="B382" t="s">
        <v>823</v>
      </c>
      <c r="C382" t="s">
        <v>831</v>
      </c>
      <c r="D382">
        <v>9</v>
      </c>
      <c r="E382" s="203">
        <v>-1.2110890746573957</v>
      </c>
      <c r="F382" s="203">
        <v>11.293063406764576</v>
      </c>
      <c r="G382" s="203" t="s">
        <v>819</v>
      </c>
      <c r="H382" s="204">
        <v>-2.3158087916841823</v>
      </c>
      <c r="I382" s="204">
        <v>1.0284355499245028</v>
      </c>
      <c r="J382" s="204" t="s">
        <v>824</v>
      </c>
      <c r="K382" s="205">
        <v>-0.44874180621830045</v>
      </c>
      <c r="L382" s="205">
        <v>32.680896138960641</v>
      </c>
      <c r="M382" s="205" t="s">
        <v>819</v>
      </c>
    </row>
    <row r="383" spans="1:13" x14ac:dyDescent="0.25">
      <c r="A383">
        <v>382</v>
      </c>
      <c r="B383" t="s">
        <v>823</v>
      </c>
      <c r="C383" t="s">
        <v>831</v>
      </c>
      <c r="D383">
        <v>9</v>
      </c>
      <c r="E383" s="203">
        <v>0.32147360733456298</v>
      </c>
      <c r="F383" s="203">
        <v>62.607424501381089</v>
      </c>
      <c r="G383" s="203" t="s">
        <v>819</v>
      </c>
      <c r="H383" s="204">
        <v>-0.99556735357076798</v>
      </c>
      <c r="I383" s="204">
        <v>15.973020175495495</v>
      </c>
      <c r="J383" s="204" t="s">
        <v>819</v>
      </c>
      <c r="K383" s="205">
        <v>0.29517867329723757</v>
      </c>
      <c r="L383" s="205">
        <v>61.607130360544858</v>
      </c>
      <c r="M383" s="205" t="s">
        <v>819</v>
      </c>
    </row>
    <row r="384" spans="1:13" x14ac:dyDescent="0.25">
      <c r="A384">
        <v>383</v>
      </c>
      <c r="B384" t="s">
        <v>823</v>
      </c>
      <c r="C384" t="s">
        <v>831</v>
      </c>
      <c r="D384">
        <v>9</v>
      </c>
      <c r="E384" s="203">
        <v>0.57368770025196025</v>
      </c>
      <c r="F384" s="203">
        <v>71.691042349729301</v>
      </c>
      <c r="G384" s="203" t="s">
        <v>819</v>
      </c>
      <c r="H384" s="204">
        <v>-2.1854298165739392</v>
      </c>
      <c r="I384" s="204">
        <v>1.4428673333492772</v>
      </c>
      <c r="J384" s="204" t="s">
        <v>824</v>
      </c>
      <c r="K384" s="205">
        <v>0.5316517493893973</v>
      </c>
      <c r="L384" s="205">
        <v>70.251639197669661</v>
      </c>
      <c r="M384" s="205" t="s">
        <v>819</v>
      </c>
    </row>
    <row r="385" spans="1:13" x14ac:dyDescent="0.25">
      <c r="A385">
        <v>384</v>
      </c>
      <c r="B385" t="s">
        <v>823</v>
      </c>
      <c r="C385" t="s">
        <v>831</v>
      </c>
      <c r="D385">
        <v>9</v>
      </c>
      <c r="E385" s="203">
        <v>0.56744406997767871</v>
      </c>
      <c r="F385" s="203">
        <v>71.479374218247457</v>
      </c>
      <c r="G385" s="203" t="s">
        <v>819</v>
      </c>
      <c r="H385" s="204">
        <v>-0.28393387205448645</v>
      </c>
      <c r="I385" s="204">
        <v>38.823052905728098</v>
      </c>
      <c r="J385" s="204" t="s">
        <v>819</v>
      </c>
      <c r="K385" s="205">
        <v>-1.1884383311841045</v>
      </c>
      <c r="L385" s="205">
        <v>11.733038117893486</v>
      </c>
      <c r="M385" s="205" t="s">
        <v>825</v>
      </c>
    </row>
    <row r="386" spans="1:13" x14ac:dyDescent="0.25">
      <c r="A386">
        <v>385</v>
      </c>
      <c r="B386" t="s">
        <v>823</v>
      </c>
      <c r="C386" t="s">
        <v>831</v>
      </c>
      <c r="D386">
        <v>8</v>
      </c>
      <c r="E386" s="203">
        <v>-0.82673978663923176</v>
      </c>
      <c r="F386" s="203">
        <v>20.419228261921191</v>
      </c>
      <c r="G386" s="203" t="s">
        <v>819</v>
      </c>
      <c r="H386" s="204">
        <v>-1.3447403486905045</v>
      </c>
      <c r="I386" s="204">
        <v>8.9354549868501802</v>
      </c>
      <c r="J386" s="204" t="s">
        <v>819</v>
      </c>
      <c r="K386" s="205">
        <v>1.9047561541174676</v>
      </c>
      <c r="L386" s="205">
        <v>97.159411210017723</v>
      </c>
      <c r="M386" s="205" t="s">
        <v>820</v>
      </c>
    </row>
    <row r="387" spans="1:13" x14ac:dyDescent="0.25">
      <c r="A387">
        <v>386</v>
      </c>
      <c r="B387" t="s">
        <v>823</v>
      </c>
      <c r="C387" t="s">
        <v>831</v>
      </c>
      <c r="D387">
        <v>9</v>
      </c>
      <c r="E387" s="203">
        <v>-1.0452341464070878</v>
      </c>
      <c r="F387" s="203">
        <v>14.795738265013586</v>
      </c>
      <c r="G387" s="203" t="s">
        <v>819</v>
      </c>
      <c r="H387" s="204">
        <v>-0.73804412250142259</v>
      </c>
      <c r="I387" s="204">
        <v>23.024381868966586</v>
      </c>
      <c r="J387" s="204" t="s">
        <v>819</v>
      </c>
      <c r="K387" s="205">
        <v>-0.6686070032665189</v>
      </c>
      <c r="L387" s="205">
        <v>25.187310200306364</v>
      </c>
      <c r="M387" s="205" t="s">
        <v>819</v>
      </c>
    </row>
    <row r="388" spans="1:13" x14ac:dyDescent="0.25">
      <c r="A388">
        <v>387</v>
      </c>
      <c r="B388" t="s">
        <v>823</v>
      </c>
      <c r="C388" t="s">
        <v>830</v>
      </c>
      <c r="D388">
        <v>8</v>
      </c>
      <c r="E388" s="203">
        <v>0.54150933748817309</v>
      </c>
      <c r="F388" s="203">
        <v>70.592171828755937</v>
      </c>
      <c r="G388" s="203" t="s">
        <v>819</v>
      </c>
      <c r="H388" s="204">
        <v>-0.19840513211189742</v>
      </c>
      <c r="I388" s="204">
        <v>42.136405120827725</v>
      </c>
      <c r="J388" s="204" t="s">
        <v>819</v>
      </c>
      <c r="K388" s="205">
        <v>1.7266001426992903</v>
      </c>
      <c r="L388" s="205">
        <v>95.788024985052743</v>
      </c>
      <c r="M388" s="205" t="s">
        <v>820</v>
      </c>
    </row>
    <row r="389" spans="1:13" x14ac:dyDescent="0.25">
      <c r="A389">
        <v>388</v>
      </c>
      <c r="B389" t="s">
        <v>823</v>
      </c>
      <c r="C389" t="s">
        <v>831</v>
      </c>
      <c r="D389">
        <v>9</v>
      </c>
      <c r="E389" s="203">
        <v>0.57368770025196025</v>
      </c>
      <c r="F389" s="203">
        <v>71.691042349729301</v>
      </c>
      <c r="G389" s="203" t="s">
        <v>819</v>
      </c>
      <c r="H389" s="204">
        <v>-1.4040342201443687</v>
      </c>
      <c r="I389" s="204">
        <v>8.0154329863485163</v>
      </c>
      <c r="J389" s="204" t="s">
        <v>819</v>
      </c>
      <c r="K389" s="205">
        <v>1.1416226811507122</v>
      </c>
      <c r="L389" s="205">
        <v>87.319455396462715</v>
      </c>
      <c r="M389" s="205" t="s">
        <v>820</v>
      </c>
    </row>
    <row r="390" spans="1:13" x14ac:dyDescent="0.25">
      <c r="A390">
        <v>389</v>
      </c>
      <c r="B390" t="s">
        <v>823</v>
      </c>
      <c r="C390" t="s">
        <v>831</v>
      </c>
      <c r="D390">
        <v>9</v>
      </c>
      <c r="E390" s="203">
        <v>-0.16281353638495782</v>
      </c>
      <c r="F390" s="203">
        <v>43.533262499507117</v>
      </c>
      <c r="G390" s="203" t="s">
        <v>819</v>
      </c>
      <c r="H390" s="204">
        <v>-0.18322090111831629</v>
      </c>
      <c r="I390" s="204">
        <v>42.731234761854999</v>
      </c>
      <c r="J390" s="204" t="s">
        <v>819</v>
      </c>
      <c r="K390" s="205">
        <v>0.36474893912751022</v>
      </c>
      <c r="L390" s="205">
        <v>64.235058825471114</v>
      </c>
      <c r="M390" s="205" t="s">
        <v>819</v>
      </c>
    </row>
    <row r="391" spans="1:13" x14ac:dyDescent="0.25">
      <c r="A391">
        <v>390</v>
      </c>
      <c r="B391" t="s">
        <v>823</v>
      </c>
      <c r="C391" t="s">
        <v>831</v>
      </c>
      <c r="D391">
        <v>8</v>
      </c>
      <c r="E391" s="203">
        <v>0.65882259763876827</v>
      </c>
      <c r="F391" s="203">
        <v>74.499515279183285</v>
      </c>
      <c r="G391" s="203" t="s">
        <v>819</v>
      </c>
      <c r="H391" s="204">
        <v>1.2234514609591334E-2</v>
      </c>
      <c r="I391" s="204">
        <v>50.488074339664934</v>
      </c>
      <c r="J391" s="204" t="s">
        <v>819</v>
      </c>
      <c r="K391" s="205">
        <v>-1.2078156533322197</v>
      </c>
      <c r="L391" s="205">
        <v>11.355908952663169</v>
      </c>
      <c r="M391" s="205" t="s">
        <v>825</v>
      </c>
    </row>
    <row r="392" spans="1:13" x14ac:dyDescent="0.25">
      <c r="A392">
        <v>391</v>
      </c>
      <c r="B392" t="s">
        <v>823</v>
      </c>
      <c r="C392" t="s">
        <v>831</v>
      </c>
      <c r="D392">
        <v>8</v>
      </c>
      <c r="E392" s="203">
        <v>-0.65593014161240959</v>
      </c>
      <c r="F392" s="203">
        <v>25.593453672680756</v>
      </c>
      <c r="G392" s="203" t="s">
        <v>819</v>
      </c>
      <c r="H392" s="204">
        <v>-1.0837332184790498</v>
      </c>
      <c r="I392" s="204">
        <v>13.924155128414577</v>
      </c>
      <c r="J392" s="204" t="s">
        <v>819</v>
      </c>
      <c r="K392" s="205">
        <v>0.5878357989761902</v>
      </c>
      <c r="L392" s="205">
        <v>72.167874369891251</v>
      </c>
      <c r="M392" s="205" t="s">
        <v>819</v>
      </c>
    </row>
    <row r="393" spans="1:13" x14ac:dyDescent="0.25">
      <c r="A393">
        <v>392</v>
      </c>
      <c r="B393" t="s">
        <v>823</v>
      </c>
      <c r="C393" t="s">
        <v>831</v>
      </c>
      <c r="D393">
        <v>9</v>
      </c>
      <c r="E393" s="203">
        <v>0.23831408907715468</v>
      </c>
      <c r="F393" s="203">
        <v>59.418125269778663</v>
      </c>
      <c r="G393" s="203" t="s">
        <v>819</v>
      </c>
      <c r="H393" s="204">
        <v>-1.1990960978322018</v>
      </c>
      <c r="I393" s="204">
        <v>11.524529062283356</v>
      </c>
      <c r="J393" s="204" t="s">
        <v>819</v>
      </c>
      <c r="K393" s="205">
        <v>1.3712156523633725</v>
      </c>
      <c r="L393" s="205">
        <v>91.484612987029365</v>
      </c>
      <c r="M393" s="205" t="s">
        <v>820</v>
      </c>
    </row>
    <row r="394" spans="1:13" x14ac:dyDescent="0.25">
      <c r="A394">
        <v>393</v>
      </c>
      <c r="B394" t="s">
        <v>823</v>
      </c>
      <c r="C394" t="s">
        <v>831</v>
      </c>
      <c r="D394">
        <v>9</v>
      </c>
      <c r="E394" s="203">
        <v>0.23314426228526869</v>
      </c>
      <c r="F394" s="203">
        <v>59.217530728271562</v>
      </c>
      <c r="G394" s="203" t="s">
        <v>819</v>
      </c>
      <c r="H394" s="204">
        <v>-0.13688216160100475</v>
      </c>
      <c r="I394" s="204">
        <v>44.556196954271307</v>
      </c>
      <c r="J394" s="204" t="s">
        <v>819</v>
      </c>
      <c r="K394" s="205">
        <v>0.66303910206639349</v>
      </c>
      <c r="L394" s="205">
        <v>74.634724436311473</v>
      </c>
      <c r="M394" s="205" t="s">
        <v>819</v>
      </c>
    </row>
    <row r="395" spans="1:13" x14ac:dyDescent="0.25">
      <c r="A395">
        <v>394</v>
      </c>
      <c r="B395" t="s">
        <v>823</v>
      </c>
      <c r="C395" t="s">
        <v>830</v>
      </c>
      <c r="D395">
        <v>9</v>
      </c>
      <c r="E395" s="203">
        <v>-9.9108936235136405E-2</v>
      </c>
      <c r="F395" s="203">
        <v>46.052588846696537</v>
      </c>
      <c r="G395" s="203" t="s">
        <v>819</v>
      </c>
      <c r="H395" s="204">
        <v>-2.0637321293971045</v>
      </c>
      <c r="I395" s="204">
        <v>1.9521560632430217</v>
      </c>
      <c r="J395" s="204" t="s">
        <v>824</v>
      </c>
      <c r="K395" s="205">
        <v>1.3131534520801931</v>
      </c>
      <c r="L395" s="205">
        <v>90.543437730822561</v>
      </c>
      <c r="M395" s="205" t="s">
        <v>820</v>
      </c>
    </row>
    <row r="396" spans="1:13" x14ac:dyDescent="0.25">
      <c r="A396">
        <v>395</v>
      </c>
      <c r="B396" t="s">
        <v>823</v>
      </c>
      <c r="C396" t="s">
        <v>831</v>
      </c>
      <c r="D396">
        <v>9</v>
      </c>
      <c r="E396" s="203">
        <v>0.15071046937844887</v>
      </c>
      <c r="F396" s="203">
        <v>55.98979428982345</v>
      </c>
      <c r="G396" s="203" t="s">
        <v>819</v>
      </c>
      <c r="H396" s="204">
        <v>0.25170901203479568</v>
      </c>
      <c r="I396" s="204">
        <v>59.936700467777285</v>
      </c>
      <c r="J396" s="204" t="s">
        <v>819</v>
      </c>
      <c r="K396" s="205">
        <v>0.39056483374507517</v>
      </c>
      <c r="L396" s="205">
        <v>65.194053819745378</v>
      </c>
      <c r="M396" s="205" t="s">
        <v>819</v>
      </c>
    </row>
    <row r="397" spans="1:13" x14ac:dyDescent="0.25">
      <c r="A397">
        <v>396</v>
      </c>
      <c r="B397" t="s">
        <v>823</v>
      </c>
      <c r="C397" t="s">
        <v>830</v>
      </c>
      <c r="D397">
        <v>7</v>
      </c>
      <c r="E397" s="203">
        <v>3.2823471376583348E-2</v>
      </c>
      <c r="F397" s="203">
        <v>51.309231957832303</v>
      </c>
      <c r="G397" s="203" t="s">
        <v>819</v>
      </c>
      <c r="H397" s="204">
        <v>-0.57759661039999144</v>
      </c>
      <c r="I397" s="204">
        <v>28.176824796786676</v>
      </c>
      <c r="J397" s="204" t="s">
        <v>819</v>
      </c>
      <c r="K397" s="205">
        <v>2.5030039918891509</v>
      </c>
      <c r="L397" s="205">
        <v>99.384279224350308</v>
      </c>
      <c r="M397" s="205" t="s">
        <v>820</v>
      </c>
    </row>
    <row r="398" spans="1:13" x14ac:dyDescent="0.25">
      <c r="A398">
        <v>397</v>
      </c>
      <c r="B398" t="s">
        <v>823</v>
      </c>
      <c r="C398" t="s">
        <v>830</v>
      </c>
      <c r="D398">
        <v>9</v>
      </c>
      <c r="E398" s="203">
        <v>-0.19097265594165122</v>
      </c>
      <c r="F398" s="203">
        <v>42.427350813109207</v>
      </c>
      <c r="G398" s="203" t="s">
        <v>819</v>
      </c>
      <c r="H398" s="204">
        <v>-1.5735993118265394</v>
      </c>
      <c r="I398" s="204">
        <v>5.7790056229727975</v>
      </c>
      <c r="J398" s="204" t="s">
        <v>819</v>
      </c>
      <c r="K398" s="205">
        <v>1.8512250211134862</v>
      </c>
      <c r="L398" s="205">
        <v>96.793140621534903</v>
      </c>
      <c r="M398" s="205" t="s">
        <v>820</v>
      </c>
    </row>
    <row r="399" spans="1:13" x14ac:dyDescent="0.25">
      <c r="A399">
        <v>398</v>
      </c>
      <c r="B399" t="s">
        <v>823</v>
      </c>
      <c r="C399" t="s">
        <v>830</v>
      </c>
      <c r="D399">
        <v>9</v>
      </c>
      <c r="E399" s="203">
        <v>0.60120028928447222</v>
      </c>
      <c r="F399" s="203">
        <v>72.61467040862388</v>
      </c>
      <c r="G399" s="203" t="s">
        <v>819</v>
      </c>
      <c r="H399" s="204">
        <v>-1.7405689779939355</v>
      </c>
      <c r="I399" s="204">
        <v>4.0879579668998876</v>
      </c>
      <c r="J399" s="204" t="s">
        <v>824</v>
      </c>
      <c r="K399" s="205">
        <v>2.7488845763842966</v>
      </c>
      <c r="L399" s="205">
        <v>99.701007802010764</v>
      </c>
      <c r="M399" s="205" t="s">
        <v>820</v>
      </c>
    </row>
    <row r="400" spans="1:13" x14ac:dyDescent="0.25">
      <c r="A400">
        <v>399</v>
      </c>
      <c r="B400" t="s">
        <v>823</v>
      </c>
      <c r="C400" t="s">
        <v>831</v>
      </c>
      <c r="D400">
        <v>9</v>
      </c>
      <c r="E400" s="203">
        <v>-2.0163130545099222</v>
      </c>
      <c r="F400" s="203">
        <v>2.1883625344283537</v>
      </c>
      <c r="G400" s="203" t="s">
        <v>818</v>
      </c>
      <c r="H400" s="204">
        <v>-2.2261283970245822</v>
      </c>
      <c r="I400" s="204">
        <v>1.3002791170046404</v>
      </c>
      <c r="J400" s="204" t="s">
        <v>824</v>
      </c>
      <c r="K400" s="205">
        <v>-0.51917685052796758</v>
      </c>
      <c r="L400" s="205">
        <v>30.181871034496265</v>
      </c>
      <c r="M400" s="205" t="s">
        <v>819</v>
      </c>
    </row>
    <row r="401" spans="1:13" x14ac:dyDescent="0.25">
      <c r="A401">
        <v>400</v>
      </c>
      <c r="B401" t="s">
        <v>823</v>
      </c>
      <c r="C401" t="s">
        <v>831</v>
      </c>
      <c r="D401">
        <v>9</v>
      </c>
      <c r="E401" s="203">
        <v>0.31607673084814658</v>
      </c>
      <c r="F401" s="203">
        <v>62.402786593151149</v>
      </c>
      <c r="G401" s="203" t="s">
        <v>819</v>
      </c>
      <c r="H401" s="204">
        <v>-1.6414041696236255</v>
      </c>
      <c r="I401" s="204">
        <v>5.0356772463965411</v>
      </c>
      <c r="J401" s="204" t="s">
        <v>819</v>
      </c>
      <c r="K401" s="205">
        <v>2.7246367573117114</v>
      </c>
      <c r="L401" s="205">
        <v>99.678138674967428</v>
      </c>
      <c r="M401" s="205" t="s">
        <v>820</v>
      </c>
    </row>
    <row r="402" spans="1:13" x14ac:dyDescent="0.25">
      <c r="A402">
        <v>401</v>
      </c>
      <c r="B402" t="s">
        <v>823</v>
      </c>
      <c r="C402" t="s">
        <v>831</v>
      </c>
      <c r="D402">
        <v>9</v>
      </c>
      <c r="E402" s="203">
        <v>-0.81036184752004081</v>
      </c>
      <c r="F402" s="203">
        <v>20.886611938829958</v>
      </c>
      <c r="G402" s="203" t="s">
        <v>819</v>
      </c>
      <c r="H402" s="204">
        <v>-1.2728057150542316</v>
      </c>
      <c r="I402" s="204">
        <v>10.15434963450805</v>
      </c>
      <c r="J402" s="204" t="s">
        <v>819</v>
      </c>
      <c r="K402" s="205">
        <v>-0.53051504294208862</v>
      </c>
      <c r="L402" s="205">
        <v>29.787744100690176</v>
      </c>
      <c r="M402" s="205" t="s">
        <v>819</v>
      </c>
    </row>
    <row r="403" spans="1:13" x14ac:dyDescent="0.25">
      <c r="A403">
        <v>402</v>
      </c>
      <c r="B403" t="s">
        <v>823</v>
      </c>
      <c r="C403" t="s">
        <v>830</v>
      </c>
      <c r="D403">
        <v>9</v>
      </c>
      <c r="E403" s="203">
        <v>-2.1097895244839338</v>
      </c>
      <c r="F403" s="203">
        <v>1.7438244587711795</v>
      </c>
      <c r="G403" s="203" t="s">
        <v>818</v>
      </c>
      <c r="H403" s="204">
        <v>-1.0878598246858566</v>
      </c>
      <c r="I403" s="204">
        <v>13.832849716311443</v>
      </c>
      <c r="J403" s="204" t="s">
        <v>819</v>
      </c>
      <c r="K403" s="205">
        <v>-0.59698671865809605</v>
      </c>
      <c r="L403" s="205">
        <v>27.525812394459624</v>
      </c>
      <c r="M403" s="205" t="s">
        <v>819</v>
      </c>
    </row>
    <row r="404" spans="1:13" x14ac:dyDescent="0.25">
      <c r="A404">
        <v>403</v>
      </c>
      <c r="B404" t="s">
        <v>823</v>
      </c>
      <c r="C404" t="s">
        <v>831</v>
      </c>
      <c r="D404">
        <v>8</v>
      </c>
      <c r="E404" s="203">
        <v>-1.2360876882438003</v>
      </c>
      <c r="F404" s="203">
        <v>10.821298538608563</v>
      </c>
      <c r="G404" s="203" t="s">
        <v>819</v>
      </c>
      <c r="H404" s="204">
        <v>-0.88265402572048923</v>
      </c>
      <c r="I404" s="204">
        <v>18.871161450548712</v>
      </c>
      <c r="J404" s="204" t="s">
        <v>819</v>
      </c>
      <c r="K404" s="205">
        <v>-0.18891367489805144</v>
      </c>
      <c r="L404" s="205">
        <v>42.508023777134255</v>
      </c>
      <c r="M404" s="205" t="s">
        <v>819</v>
      </c>
    </row>
    <row r="405" spans="1:13" x14ac:dyDescent="0.25">
      <c r="A405">
        <v>404</v>
      </c>
      <c r="B405" t="s">
        <v>823</v>
      </c>
      <c r="C405" t="s">
        <v>830</v>
      </c>
      <c r="D405">
        <v>8</v>
      </c>
      <c r="E405" s="203">
        <v>0.72451703450151561</v>
      </c>
      <c r="F405" s="203">
        <v>76.562581345907532</v>
      </c>
      <c r="G405" s="203" t="s">
        <v>819</v>
      </c>
      <c r="H405" s="204">
        <v>-0.66194689969106779</v>
      </c>
      <c r="I405" s="204">
        <v>25.400262660197075</v>
      </c>
      <c r="J405" s="204" t="s">
        <v>819</v>
      </c>
      <c r="K405" s="205">
        <v>-2.7181814147920581E-2</v>
      </c>
      <c r="L405" s="205">
        <v>48.915736027738951</v>
      </c>
      <c r="M405" s="205" t="s">
        <v>819</v>
      </c>
    </row>
    <row r="406" spans="1:13" x14ac:dyDescent="0.25">
      <c r="A406">
        <v>405</v>
      </c>
      <c r="B406" t="s">
        <v>823</v>
      </c>
      <c r="C406" t="s">
        <v>830</v>
      </c>
      <c r="D406">
        <v>9</v>
      </c>
      <c r="E406" s="203">
        <v>-1.2871462810243259</v>
      </c>
      <c r="F406" s="203">
        <v>9.9021653401519565</v>
      </c>
      <c r="G406" s="203" t="s">
        <v>819</v>
      </c>
      <c r="H406" s="204">
        <v>-0.4964151630108935</v>
      </c>
      <c r="I406" s="204">
        <v>30.980076460404383</v>
      </c>
      <c r="J406" s="204" t="s">
        <v>819</v>
      </c>
      <c r="K406" s="205">
        <v>-0.58752064516572566</v>
      </c>
      <c r="L406" s="205">
        <v>27.842704454790585</v>
      </c>
      <c r="M406" s="205" t="s">
        <v>819</v>
      </c>
    </row>
    <row r="407" spans="1:13" x14ac:dyDescent="0.25">
      <c r="A407">
        <v>406</v>
      </c>
      <c r="B407" t="s">
        <v>823</v>
      </c>
      <c r="C407" t="s">
        <v>830</v>
      </c>
      <c r="D407">
        <v>9</v>
      </c>
      <c r="E407" s="203">
        <v>-0.73118609421763059</v>
      </c>
      <c r="F407" s="203">
        <v>23.23327463731157</v>
      </c>
      <c r="G407" s="203" t="s">
        <v>819</v>
      </c>
      <c r="H407" s="204">
        <v>-1.6826451482406846</v>
      </c>
      <c r="I407" s="204">
        <v>4.6221903052231417</v>
      </c>
      <c r="J407" s="204" t="s">
        <v>824</v>
      </c>
      <c r="K407" s="205">
        <v>2.3711566126941075</v>
      </c>
      <c r="L407" s="205">
        <v>99.113374224700195</v>
      </c>
      <c r="M407" s="205" t="s">
        <v>820</v>
      </c>
    </row>
    <row r="408" spans="1:13" x14ac:dyDescent="0.25">
      <c r="A408">
        <v>407</v>
      </c>
      <c r="B408" t="s">
        <v>823</v>
      </c>
      <c r="C408" t="s">
        <v>831</v>
      </c>
      <c r="D408">
        <v>8</v>
      </c>
      <c r="E408" s="203">
        <v>-0.24583117853516676</v>
      </c>
      <c r="F408" s="203">
        <v>40.290646027303865</v>
      </c>
      <c r="G408" s="203" t="s">
        <v>819</v>
      </c>
      <c r="H408" s="204">
        <v>-2.302546498881759</v>
      </c>
      <c r="I408" s="204">
        <v>1.0652186162327328</v>
      </c>
      <c r="J408" s="204" t="s">
        <v>824</v>
      </c>
      <c r="K408" s="205">
        <v>2.6209198728662932</v>
      </c>
      <c r="L408" s="205">
        <v>99.561535648804551</v>
      </c>
      <c r="M408" s="205" t="s">
        <v>820</v>
      </c>
    </row>
    <row r="409" spans="1:13" x14ac:dyDescent="0.25">
      <c r="A409">
        <v>408</v>
      </c>
      <c r="B409" t="s">
        <v>823</v>
      </c>
      <c r="C409" t="s">
        <v>831</v>
      </c>
      <c r="D409">
        <v>8</v>
      </c>
      <c r="E409" s="203">
        <v>0.4143398279372541</v>
      </c>
      <c r="F409" s="203">
        <v>66.068737524182936</v>
      </c>
      <c r="G409" s="203" t="s">
        <v>819</v>
      </c>
      <c r="H409" s="204">
        <v>-0.97434648250860079</v>
      </c>
      <c r="I409" s="204">
        <v>16.494226619295311</v>
      </c>
      <c r="J409" s="204" t="s">
        <v>819</v>
      </c>
      <c r="K409" s="205">
        <v>6.9114943104085225E-2</v>
      </c>
      <c r="L409" s="205">
        <v>52.755093670251775</v>
      </c>
      <c r="M409" s="205" t="s">
        <v>819</v>
      </c>
    </row>
    <row r="410" spans="1:13" x14ac:dyDescent="0.25">
      <c r="A410">
        <v>409</v>
      </c>
      <c r="B410" t="s">
        <v>823</v>
      </c>
      <c r="C410" t="s">
        <v>830</v>
      </c>
      <c r="D410">
        <v>8</v>
      </c>
      <c r="E410" s="203">
        <v>-0.11567806070851852</v>
      </c>
      <c r="F410" s="203">
        <v>45.395384726148741</v>
      </c>
      <c r="G410" s="203" t="s">
        <v>819</v>
      </c>
      <c r="H410" s="204">
        <v>-0.64056850082928241</v>
      </c>
      <c r="I410" s="204">
        <v>26.090153515056759</v>
      </c>
      <c r="J410" s="204" t="s">
        <v>819</v>
      </c>
      <c r="K410" s="205">
        <v>2.0226633612679428</v>
      </c>
      <c r="L410" s="205">
        <v>97.844606660364647</v>
      </c>
      <c r="M410" s="205" t="s">
        <v>820</v>
      </c>
    </row>
    <row r="411" spans="1:13" x14ac:dyDescent="0.25">
      <c r="A411">
        <v>410</v>
      </c>
      <c r="B411" t="s">
        <v>823</v>
      </c>
      <c r="C411" t="s">
        <v>830</v>
      </c>
      <c r="D411">
        <v>9</v>
      </c>
      <c r="E411" s="203">
        <v>-0.55427775401662149</v>
      </c>
      <c r="F411" s="203">
        <v>28.969438623630161</v>
      </c>
      <c r="G411" s="203" t="s">
        <v>819</v>
      </c>
      <c r="H411" s="204">
        <v>-1.957341309940581</v>
      </c>
      <c r="I411" s="204">
        <v>2.5153676861963614</v>
      </c>
      <c r="J411" s="204" t="s">
        <v>824</v>
      </c>
      <c r="K411" s="205">
        <v>0.60716436563056964</v>
      </c>
      <c r="L411" s="205">
        <v>72.812908099022238</v>
      </c>
      <c r="M411" s="205" t="s">
        <v>819</v>
      </c>
    </row>
    <row r="412" spans="1:13" x14ac:dyDescent="0.25">
      <c r="A412">
        <v>411</v>
      </c>
      <c r="B412" t="s">
        <v>823</v>
      </c>
      <c r="C412" t="s">
        <v>830</v>
      </c>
      <c r="D412">
        <v>10</v>
      </c>
      <c r="E412" s="203">
        <v>-0.12740777377898166</v>
      </c>
      <c r="F412" s="203">
        <v>44.930883189904186</v>
      </c>
      <c r="G412" s="203" t="s">
        <v>819</v>
      </c>
      <c r="H412" s="204">
        <v>-1.3418815842768506</v>
      </c>
      <c r="I412" s="204">
        <v>8.9817196871915606</v>
      </c>
      <c r="J412" s="204" t="s">
        <v>819</v>
      </c>
      <c r="K412" s="205">
        <v>1.9301561605235573</v>
      </c>
      <c r="L412" s="205">
        <v>97.320625418821635</v>
      </c>
      <c r="M412" s="205" t="s">
        <v>820</v>
      </c>
    </row>
    <row r="413" spans="1:13" x14ac:dyDescent="0.25">
      <c r="A413">
        <v>412</v>
      </c>
      <c r="B413" t="s">
        <v>823</v>
      </c>
      <c r="C413" t="s">
        <v>830</v>
      </c>
      <c r="D413">
        <v>10</v>
      </c>
      <c r="E413" s="203">
        <v>-0.29954366622628681</v>
      </c>
      <c r="F413" s="203">
        <v>38.226262985968653</v>
      </c>
      <c r="G413" s="203" t="s">
        <v>819</v>
      </c>
      <c r="H413" s="204">
        <v>0.14598589323453445</v>
      </c>
      <c r="I413" s="204">
        <v>55.8033737657899</v>
      </c>
      <c r="J413" s="204" t="s">
        <v>819</v>
      </c>
      <c r="K413" s="205">
        <v>1.8176390944692637</v>
      </c>
      <c r="L413" s="205">
        <v>96.544034387597961</v>
      </c>
      <c r="M413" s="205" t="s">
        <v>820</v>
      </c>
    </row>
    <row r="414" spans="1:13" x14ac:dyDescent="0.25">
      <c r="A414">
        <v>413</v>
      </c>
      <c r="B414" t="s">
        <v>823</v>
      </c>
      <c r="C414" t="s">
        <v>831</v>
      </c>
      <c r="D414">
        <v>10</v>
      </c>
      <c r="E414" s="203">
        <v>0.36951987798720987</v>
      </c>
      <c r="F414" s="203">
        <v>64.41298702699585</v>
      </c>
      <c r="G414" s="203" t="s">
        <v>819</v>
      </c>
      <c r="H414" s="204">
        <v>-1.5251109384176658</v>
      </c>
      <c r="I414" s="204">
        <v>6.3615714686586404</v>
      </c>
      <c r="J414" s="204" t="s">
        <v>819</v>
      </c>
      <c r="K414" s="205">
        <v>0.45127290730766423</v>
      </c>
      <c r="L414" s="205">
        <v>67.410356558257618</v>
      </c>
      <c r="M414" s="205" t="s">
        <v>819</v>
      </c>
    </row>
    <row r="415" spans="1:13" x14ac:dyDescent="0.25">
      <c r="A415">
        <v>414</v>
      </c>
      <c r="B415" t="s">
        <v>823</v>
      </c>
      <c r="C415" t="s">
        <v>831</v>
      </c>
      <c r="D415">
        <v>9</v>
      </c>
      <c r="E415" s="203">
        <v>-0.17519375353300354</v>
      </c>
      <c r="F415" s="203">
        <v>43.046369619343857</v>
      </c>
      <c r="G415" s="203" t="s">
        <v>819</v>
      </c>
      <c r="H415" s="204">
        <v>-2.4233367573487619</v>
      </c>
      <c r="I415" s="204">
        <v>0.76893316261221056</v>
      </c>
      <c r="J415" s="204" t="s">
        <v>824</v>
      </c>
      <c r="K415" s="205">
        <v>2.1884820467502708</v>
      </c>
      <c r="L415" s="205">
        <v>98.568274619573714</v>
      </c>
      <c r="M415" s="205" t="s">
        <v>820</v>
      </c>
    </row>
    <row r="416" spans="1:13" x14ac:dyDescent="0.25">
      <c r="A416">
        <v>415</v>
      </c>
      <c r="B416" t="s">
        <v>823</v>
      </c>
      <c r="C416" t="s">
        <v>831</v>
      </c>
      <c r="D416">
        <v>10</v>
      </c>
      <c r="E416" s="203">
        <v>1.6022740201017596</v>
      </c>
      <c r="F416" s="203">
        <v>94.545248597526083</v>
      </c>
      <c r="G416" s="203" t="s">
        <v>819</v>
      </c>
      <c r="H416" s="204">
        <v>-26.024676827577245</v>
      </c>
      <c r="I416" s="204">
        <v>1.3018965177299046E-147</v>
      </c>
      <c r="J416" s="204" t="s">
        <v>824</v>
      </c>
      <c r="K416" s="205">
        <v>2.8442432170226613</v>
      </c>
      <c r="L416" s="205">
        <v>99.777414738932478</v>
      </c>
      <c r="M416" s="205" t="s">
        <v>820</v>
      </c>
    </row>
    <row r="417" spans="1:13" x14ac:dyDescent="0.25">
      <c r="A417">
        <v>416</v>
      </c>
      <c r="B417" t="s">
        <v>823</v>
      </c>
      <c r="C417" t="s">
        <v>831</v>
      </c>
      <c r="D417">
        <v>9</v>
      </c>
      <c r="E417" s="203">
        <v>-1.5112359888017823</v>
      </c>
      <c r="F417" s="203">
        <v>6.5364168092147343</v>
      </c>
      <c r="G417" s="203" t="s">
        <v>819</v>
      </c>
      <c r="H417" s="204">
        <v>-1.3462518395577612</v>
      </c>
      <c r="I417" s="204">
        <v>8.9110655931514486</v>
      </c>
      <c r="J417" s="204" t="s">
        <v>819</v>
      </c>
      <c r="K417" s="205">
        <v>-0.99599774651770701</v>
      </c>
      <c r="L417" s="205">
        <v>15.962562004861642</v>
      </c>
      <c r="M417" s="205" t="s">
        <v>819</v>
      </c>
    </row>
    <row r="418" spans="1:13" x14ac:dyDescent="0.25">
      <c r="A418">
        <v>417</v>
      </c>
      <c r="B418" t="s">
        <v>823</v>
      </c>
      <c r="C418" t="s">
        <v>831</v>
      </c>
      <c r="D418">
        <v>9</v>
      </c>
      <c r="E418" s="203">
        <v>0.22062310428577941</v>
      </c>
      <c r="F418" s="203">
        <v>58.730704515345856</v>
      </c>
      <c r="G418" s="203" t="s">
        <v>819</v>
      </c>
      <c r="H418" s="204">
        <v>-0.4583810966921617</v>
      </c>
      <c r="I418" s="204">
        <v>32.33393350667145</v>
      </c>
      <c r="J418" s="204" t="s">
        <v>819</v>
      </c>
      <c r="K418" s="205">
        <v>0.38165311324936591</v>
      </c>
      <c r="L418" s="205">
        <v>64.864065886690838</v>
      </c>
      <c r="M418" s="205" t="s">
        <v>819</v>
      </c>
    </row>
    <row r="419" spans="1:13" x14ac:dyDescent="0.25">
      <c r="A419">
        <v>418</v>
      </c>
      <c r="B419" t="s">
        <v>823</v>
      </c>
      <c r="C419" t="s">
        <v>831</v>
      </c>
      <c r="D419">
        <v>9</v>
      </c>
      <c r="E419" s="203">
        <v>-2.2147019436727216</v>
      </c>
      <c r="F419" s="203">
        <v>1.3390264685427828</v>
      </c>
      <c r="G419" s="203" t="s">
        <v>818</v>
      </c>
      <c r="H419" s="204">
        <v>-2.5779435167287992</v>
      </c>
      <c r="I419" s="204">
        <v>0.49695121350116095</v>
      </c>
      <c r="J419" s="204" t="s">
        <v>824</v>
      </c>
      <c r="K419" s="205">
        <v>0.34196810751460405</v>
      </c>
      <c r="L419" s="205">
        <v>63.381255328642453</v>
      </c>
      <c r="M419" s="205" t="s">
        <v>819</v>
      </c>
    </row>
    <row r="420" spans="1:13" x14ac:dyDescent="0.25">
      <c r="A420">
        <v>419</v>
      </c>
      <c r="B420" t="s">
        <v>823</v>
      </c>
      <c r="C420" t="s">
        <v>831</v>
      </c>
      <c r="D420">
        <v>11</v>
      </c>
      <c r="E420" s="203">
        <v>-0.54695508939070769</v>
      </c>
      <c r="F420" s="203">
        <v>29.220479343283923</v>
      </c>
      <c r="G420" s="203" t="s">
        <v>819</v>
      </c>
      <c r="H420" s="204">
        <v>-1.3372263169986387</v>
      </c>
      <c r="I420" s="204">
        <v>9.0574387010937425</v>
      </c>
      <c r="J420" s="204" t="s">
        <v>819</v>
      </c>
      <c r="K420" s="205">
        <v>0.6914064885583745</v>
      </c>
      <c r="L420" s="205">
        <v>75.534493618329606</v>
      </c>
      <c r="M420" s="205" t="s">
        <v>819</v>
      </c>
    </row>
    <row r="421" spans="1:13" x14ac:dyDescent="0.25">
      <c r="A421">
        <v>420</v>
      </c>
      <c r="B421" t="s">
        <v>823</v>
      </c>
      <c r="C421" t="s">
        <v>831</v>
      </c>
      <c r="D421">
        <v>11</v>
      </c>
      <c r="E421" s="203">
        <v>0.78264969804314499</v>
      </c>
      <c r="F421" s="203">
        <v>78.308357566799543</v>
      </c>
      <c r="G421" s="203" t="s">
        <v>819</v>
      </c>
      <c r="H421" s="204">
        <v>-0.57838312620413257</v>
      </c>
      <c r="I421" s="204">
        <v>28.150274178653461</v>
      </c>
      <c r="J421" s="204" t="s">
        <v>819</v>
      </c>
      <c r="K421" s="205">
        <v>1.5677128268081888</v>
      </c>
      <c r="L421" s="205">
        <v>94.152591658037494</v>
      </c>
      <c r="M421" s="205" t="s">
        <v>820</v>
      </c>
    </row>
    <row r="422" spans="1:13" x14ac:dyDescent="0.25">
      <c r="A422">
        <v>421</v>
      </c>
      <c r="B422" t="s">
        <v>823</v>
      </c>
      <c r="C422" t="s">
        <v>831</v>
      </c>
      <c r="D422">
        <v>11</v>
      </c>
      <c r="E422" s="203">
        <v>0.13004420699078983</v>
      </c>
      <c r="F422" s="203">
        <v>55.173427424536115</v>
      </c>
      <c r="G422" s="203" t="s">
        <v>819</v>
      </c>
      <c r="H422" s="204">
        <v>-1.8096703476049472</v>
      </c>
      <c r="I422" s="204">
        <v>3.5173461762512312</v>
      </c>
      <c r="J422" s="204" t="s">
        <v>824</v>
      </c>
      <c r="K422" s="205">
        <v>2.2378663346864283</v>
      </c>
      <c r="L422" s="205">
        <v>98.738511350051681</v>
      </c>
      <c r="M422" s="205" t="s">
        <v>820</v>
      </c>
    </row>
    <row r="423" spans="1:13" x14ac:dyDescent="0.25">
      <c r="A423">
        <v>422</v>
      </c>
      <c r="B423" t="s">
        <v>823</v>
      </c>
      <c r="C423" t="s">
        <v>831</v>
      </c>
      <c r="D423">
        <v>11</v>
      </c>
      <c r="E423" s="203">
        <v>-0.99015668520199362</v>
      </c>
      <c r="F423" s="203">
        <v>16.104877012926</v>
      </c>
      <c r="G423" s="203" t="s">
        <v>819</v>
      </c>
      <c r="H423" s="204">
        <v>-0.9491187872439979</v>
      </c>
      <c r="I423" s="204">
        <v>17.128010009782464</v>
      </c>
      <c r="J423" s="204" t="s">
        <v>819</v>
      </c>
      <c r="K423" s="205">
        <v>-0.14003259430637144</v>
      </c>
      <c r="L423" s="205">
        <v>44.43171187860014</v>
      </c>
      <c r="M423" s="205" t="s">
        <v>819</v>
      </c>
    </row>
    <row r="424" spans="1:13" x14ac:dyDescent="0.25">
      <c r="A424">
        <v>423</v>
      </c>
      <c r="B424" t="s">
        <v>823</v>
      </c>
      <c r="C424" t="s">
        <v>831</v>
      </c>
      <c r="D424">
        <v>11</v>
      </c>
      <c r="E424" s="203">
        <v>1.1050667774972223</v>
      </c>
      <c r="F424" s="203">
        <v>86.543467255183117</v>
      </c>
      <c r="G424" s="203" t="s">
        <v>819</v>
      </c>
      <c r="H424" s="204">
        <v>-1.2452915567919574</v>
      </c>
      <c r="I424" s="204">
        <v>10.651229906024193</v>
      </c>
      <c r="J424" s="204" t="s">
        <v>819</v>
      </c>
      <c r="K424" s="205">
        <v>1.9135910806318865</v>
      </c>
      <c r="L424" s="205">
        <v>97.216378719287462</v>
      </c>
      <c r="M424" s="205" t="s">
        <v>820</v>
      </c>
    </row>
    <row r="425" spans="1:13" x14ac:dyDescent="0.25">
      <c r="A425">
        <v>424</v>
      </c>
      <c r="B425" t="s">
        <v>823</v>
      </c>
      <c r="C425" t="s">
        <v>831</v>
      </c>
      <c r="D425">
        <v>11</v>
      </c>
      <c r="E425" s="203">
        <v>0.87417448274492882</v>
      </c>
      <c r="F425" s="203">
        <v>80.898837994562086</v>
      </c>
      <c r="G425" s="203" t="s">
        <v>819</v>
      </c>
      <c r="H425" s="204">
        <v>-0.5884416472578522</v>
      </c>
      <c r="I425" s="204">
        <v>27.811794516974743</v>
      </c>
      <c r="J425" s="204" t="s">
        <v>819</v>
      </c>
      <c r="K425" s="205">
        <v>-1.2806453706069563</v>
      </c>
      <c r="L425" s="205">
        <v>10.015912806084113</v>
      </c>
      <c r="M425" s="205" t="s">
        <v>825</v>
      </c>
    </row>
    <row r="426" spans="1:13" x14ac:dyDescent="0.25">
      <c r="A426">
        <v>425</v>
      </c>
      <c r="B426" t="s">
        <v>823</v>
      </c>
      <c r="C426" t="s">
        <v>831</v>
      </c>
      <c r="D426">
        <v>11</v>
      </c>
      <c r="E426" s="203">
        <v>0.43953996876108403</v>
      </c>
      <c r="F426" s="203">
        <v>66.986483612514164</v>
      </c>
      <c r="G426" s="203" t="s">
        <v>819</v>
      </c>
      <c r="H426" s="204">
        <v>-0.63006226413998978</v>
      </c>
      <c r="I426" s="204">
        <v>26.432692386170377</v>
      </c>
      <c r="J426" s="204" t="s">
        <v>819</v>
      </c>
      <c r="K426" s="205">
        <v>-0.93960712564183879</v>
      </c>
      <c r="L426" s="205">
        <v>17.370955993911991</v>
      </c>
      <c r="M426" s="205" t="s">
        <v>819</v>
      </c>
    </row>
    <row r="427" spans="1:13" x14ac:dyDescent="0.25">
      <c r="A427">
        <v>426</v>
      </c>
      <c r="B427" t="s">
        <v>823</v>
      </c>
      <c r="C427" t="s">
        <v>830</v>
      </c>
      <c r="D427">
        <v>11</v>
      </c>
      <c r="E427" s="203">
        <v>6.9264247556456895E-2</v>
      </c>
      <c r="F427" s="203">
        <v>52.761035815960497</v>
      </c>
      <c r="G427" s="203" t="s">
        <v>819</v>
      </c>
      <c r="H427" s="204">
        <v>-1.1586283019696633</v>
      </c>
      <c r="I427" s="204">
        <v>12.330386371180049</v>
      </c>
      <c r="J427" s="204" t="s">
        <v>819</v>
      </c>
      <c r="K427" s="205">
        <v>0.48145397600729894</v>
      </c>
      <c r="L427" s="205">
        <v>68.490305872302599</v>
      </c>
      <c r="M427" s="205" t="s">
        <v>819</v>
      </c>
    </row>
    <row r="428" spans="1:13" x14ac:dyDescent="0.25">
      <c r="A428">
        <v>427</v>
      </c>
      <c r="B428" t="s">
        <v>823</v>
      </c>
      <c r="C428" t="s">
        <v>830</v>
      </c>
      <c r="D428">
        <v>11</v>
      </c>
      <c r="E428" s="203">
        <v>1.0907870143614924</v>
      </c>
      <c r="F428" s="203">
        <v>86.231669413814231</v>
      </c>
      <c r="G428" s="203" t="s">
        <v>819</v>
      </c>
      <c r="H428" s="204">
        <v>-1.2880589442331849</v>
      </c>
      <c r="I428" s="204">
        <v>9.8862722714879592</v>
      </c>
      <c r="J428" s="204" t="s">
        <v>819</v>
      </c>
      <c r="K428" s="205">
        <v>2.2368332275072831</v>
      </c>
      <c r="L428" s="205">
        <v>98.735137900760634</v>
      </c>
      <c r="M428" s="205" t="s">
        <v>820</v>
      </c>
    </row>
    <row r="429" spans="1:13" x14ac:dyDescent="0.25">
      <c r="A429">
        <v>428</v>
      </c>
      <c r="B429" t="s">
        <v>823</v>
      </c>
      <c r="C429" t="s">
        <v>830</v>
      </c>
      <c r="D429">
        <v>10</v>
      </c>
      <c r="E429" s="203">
        <v>-0.17860703049505014</v>
      </c>
      <c r="F429" s="203">
        <v>42.912313686254613</v>
      </c>
      <c r="G429" s="203" t="s">
        <v>819</v>
      </c>
      <c r="H429" s="204">
        <v>-0.88567679038822478</v>
      </c>
      <c r="I429" s="204">
        <v>18.789585931867048</v>
      </c>
      <c r="J429" s="204" t="s">
        <v>819</v>
      </c>
      <c r="K429" s="205">
        <v>2.0643957924336771</v>
      </c>
      <c r="L429" s="205">
        <v>98.050989745351515</v>
      </c>
      <c r="M429" s="205" t="s">
        <v>820</v>
      </c>
    </row>
    <row r="430" spans="1:13" x14ac:dyDescent="0.25">
      <c r="A430">
        <v>429</v>
      </c>
      <c r="B430" t="s">
        <v>823</v>
      </c>
      <c r="C430" t="s">
        <v>830</v>
      </c>
      <c r="D430">
        <v>10</v>
      </c>
      <c r="E430" s="203">
        <v>-0.64818258459662226</v>
      </c>
      <c r="F430" s="203">
        <v>25.843343226295957</v>
      </c>
      <c r="G430" s="203" t="s">
        <v>819</v>
      </c>
      <c r="H430" s="204">
        <v>-0.29661414069363973</v>
      </c>
      <c r="I430" s="204">
        <v>38.338055688525365</v>
      </c>
      <c r="J430" s="204" t="s">
        <v>819</v>
      </c>
      <c r="K430" s="205">
        <v>0.20824881775879861</v>
      </c>
      <c r="L430" s="205">
        <v>58.248265351388142</v>
      </c>
      <c r="M430" s="205" t="s">
        <v>819</v>
      </c>
    </row>
    <row r="431" spans="1:13" x14ac:dyDescent="0.25">
      <c r="A431">
        <v>430</v>
      </c>
      <c r="B431" t="s">
        <v>823</v>
      </c>
      <c r="C431" t="s">
        <v>830</v>
      </c>
      <c r="D431">
        <v>11</v>
      </c>
      <c r="E431" s="203">
        <v>1.3043766112685957</v>
      </c>
      <c r="F431" s="203">
        <v>90.394739714500801</v>
      </c>
      <c r="G431" s="203" t="s">
        <v>819</v>
      </c>
      <c r="H431" s="204">
        <v>-0.58165256758666006</v>
      </c>
      <c r="I431" s="204">
        <v>28.040036346182546</v>
      </c>
      <c r="J431" s="204" t="s">
        <v>819</v>
      </c>
      <c r="K431" s="205">
        <v>2.8239454056366027</v>
      </c>
      <c r="L431" s="205">
        <v>99.762817678779086</v>
      </c>
      <c r="M431" s="205" t="s">
        <v>820</v>
      </c>
    </row>
    <row r="432" spans="1:13" x14ac:dyDescent="0.25">
      <c r="A432">
        <v>431</v>
      </c>
      <c r="B432" t="s">
        <v>823</v>
      </c>
      <c r="C432" t="s">
        <v>830</v>
      </c>
      <c r="D432">
        <v>11</v>
      </c>
      <c r="E432" s="203">
        <v>0.50625122623439178</v>
      </c>
      <c r="F432" s="203">
        <v>69.36598510740437</v>
      </c>
      <c r="G432" s="203" t="s">
        <v>819</v>
      </c>
      <c r="H432" s="204">
        <v>-0.99964269805178541</v>
      </c>
      <c r="I432" s="204">
        <v>15.874172598829611</v>
      </c>
      <c r="J432" s="204" t="s">
        <v>819</v>
      </c>
      <c r="K432" s="205">
        <v>1.7998860524099654</v>
      </c>
      <c r="L432" s="205">
        <v>96.406068378417558</v>
      </c>
      <c r="M432" s="205" t="s">
        <v>820</v>
      </c>
    </row>
    <row r="433" spans="1:13" x14ac:dyDescent="0.25">
      <c r="A433">
        <v>432</v>
      </c>
      <c r="B433" t="s">
        <v>823</v>
      </c>
      <c r="C433" t="s">
        <v>830</v>
      </c>
      <c r="D433">
        <v>11</v>
      </c>
      <c r="E433" s="203">
        <v>2.0541578032572874</v>
      </c>
      <c r="F433" s="203">
        <v>98.001978950773989</v>
      </c>
      <c r="G433" s="203" t="s">
        <v>816</v>
      </c>
      <c r="H433" s="204">
        <v>-1.2220018283563789</v>
      </c>
      <c r="I433" s="204">
        <v>11.085346778648633</v>
      </c>
      <c r="J433" s="204" t="s">
        <v>819</v>
      </c>
      <c r="K433" s="205">
        <v>2.4082976054354273</v>
      </c>
      <c r="L433" s="205">
        <v>99.198644492920835</v>
      </c>
      <c r="M433" s="205" t="s">
        <v>820</v>
      </c>
    </row>
    <row r="434" spans="1:13" x14ac:dyDescent="0.25">
      <c r="A434">
        <v>433</v>
      </c>
      <c r="B434" t="s">
        <v>823</v>
      </c>
      <c r="C434" t="s">
        <v>830</v>
      </c>
      <c r="D434">
        <v>11</v>
      </c>
      <c r="E434" s="203">
        <v>-0.16530508186935369</v>
      </c>
      <c r="F434" s="203">
        <v>43.435192954783481</v>
      </c>
      <c r="G434" s="203" t="s">
        <v>819</v>
      </c>
      <c r="H434" s="204">
        <v>-1.0505764274614131</v>
      </c>
      <c r="I434" s="204">
        <v>14.672658609723896</v>
      </c>
      <c r="J434" s="204" t="s">
        <v>819</v>
      </c>
      <c r="K434" s="205">
        <v>1.2600916851055859</v>
      </c>
      <c r="L434" s="205">
        <v>89.618185527263421</v>
      </c>
      <c r="M434" s="205" t="s">
        <v>820</v>
      </c>
    </row>
    <row r="435" spans="1:13" x14ac:dyDescent="0.25">
      <c r="A435">
        <v>434</v>
      </c>
      <c r="B435" t="s">
        <v>823</v>
      </c>
      <c r="C435" t="s">
        <v>830</v>
      </c>
      <c r="D435">
        <v>10</v>
      </c>
      <c r="E435" s="203">
        <v>0.41046976197617463</v>
      </c>
      <c r="F435" s="203">
        <v>65.926930970827243</v>
      </c>
      <c r="G435" s="203" t="s">
        <v>819</v>
      </c>
      <c r="H435" s="204">
        <v>-1.18112689525278</v>
      </c>
      <c r="I435" s="204">
        <v>11.877615852694392</v>
      </c>
      <c r="J435" s="204" t="s">
        <v>819</v>
      </c>
      <c r="K435" s="205">
        <v>0.93528280835744804</v>
      </c>
      <c r="L435" s="205">
        <v>82.517871367032797</v>
      </c>
      <c r="M435" s="205" t="s">
        <v>819</v>
      </c>
    </row>
    <row r="436" spans="1:13" x14ac:dyDescent="0.25">
      <c r="A436">
        <v>435</v>
      </c>
      <c r="B436" t="s">
        <v>823</v>
      </c>
      <c r="C436" t="s">
        <v>830</v>
      </c>
      <c r="D436">
        <v>10</v>
      </c>
      <c r="E436" s="203">
        <v>-1.0779374962304551</v>
      </c>
      <c r="F436" s="203">
        <v>14.053082528440028</v>
      </c>
      <c r="G436" s="203" t="s">
        <v>819</v>
      </c>
      <c r="H436" s="204">
        <v>-1.0694355994243516</v>
      </c>
      <c r="I436" s="204">
        <v>14.24367166693759</v>
      </c>
      <c r="J436" s="204" t="s">
        <v>819</v>
      </c>
      <c r="K436" s="205">
        <v>-0.5484521493500556</v>
      </c>
      <c r="L436" s="205">
        <v>29.16907384600378</v>
      </c>
      <c r="M436" s="205" t="s">
        <v>819</v>
      </c>
    </row>
    <row r="437" spans="1:13" x14ac:dyDescent="0.25">
      <c r="A437">
        <v>436</v>
      </c>
      <c r="B437" t="s">
        <v>823</v>
      </c>
      <c r="C437" t="s">
        <v>831</v>
      </c>
      <c r="D437">
        <v>11</v>
      </c>
      <c r="E437" s="203">
        <v>-0.91173817906500387</v>
      </c>
      <c r="F437" s="203">
        <v>18.095328038246461</v>
      </c>
      <c r="G437" s="203" t="s">
        <v>819</v>
      </c>
      <c r="H437" s="204">
        <v>-1.6518049781971667</v>
      </c>
      <c r="I437" s="204">
        <v>4.9287156770057212</v>
      </c>
      <c r="J437" s="204" t="s">
        <v>824</v>
      </c>
      <c r="K437" s="205">
        <v>7.4739738033312533E-2</v>
      </c>
      <c r="L437" s="205">
        <v>52.978910515126017</v>
      </c>
      <c r="M437" s="205" t="s">
        <v>819</v>
      </c>
    </row>
    <row r="438" spans="1:13" x14ac:dyDescent="0.25">
      <c r="A438">
        <v>437</v>
      </c>
      <c r="B438" t="s">
        <v>823</v>
      </c>
      <c r="C438" t="s">
        <v>831</v>
      </c>
      <c r="D438">
        <v>11</v>
      </c>
      <c r="E438" s="203">
        <v>-8.8809469309322875E-2</v>
      </c>
      <c r="F438" s="203">
        <v>46.461666600502966</v>
      </c>
      <c r="G438" s="203" t="s">
        <v>819</v>
      </c>
      <c r="H438" s="204">
        <v>-0.56995314228313965</v>
      </c>
      <c r="I438" s="204">
        <v>28.435473984957895</v>
      </c>
      <c r="J438" s="204" t="s">
        <v>819</v>
      </c>
      <c r="K438" s="205">
        <v>-0.78593022750477526</v>
      </c>
      <c r="L438" s="205">
        <v>21.595418228134147</v>
      </c>
      <c r="M438" s="205" t="s">
        <v>819</v>
      </c>
    </row>
    <row r="439" spans="1:13" x14ac:dyDescent="0.25">
      <c r="A439">
        <v>438</v>
      </c>
      <c r="B439" t="s">
        <v>823</v>
      </c>
      <c r="C439" t="s">
        <v>831</v>
      </c>
      <c r="D439">
        <v>10</v>
      </c>
      <c r="E439" s="203">
        <v>-1.728726789060977</v>
      </c>
      <c r="F439" s="203">
        <v>4.1929002212457736</v>
      </c>
      <c r="G439" s="203" t="s">
        <v>818</v>
      </c>
      <c r="H439" s="204">
        <v>-0.79554824511177402</v>
      </c>
      <c r="I439" s="204">
        <v>21.314732928400431</v>
      </c>
      <c r="J439" s="204" t="s">
        <v>819</v>
      </c>
      <c r="K439" s="205">
        <v>-0.16028054023539082</v>
      </c>
      <c r="L439" s="205">
        <v>43.633004366699609</v>
      </c>
      <c r="M439" s="205" t="s">
        <v>819</v>
      </c>
    </row>
    <row r="440" spans="1:13" x14ac:dyDescent="0.25">
      <c r="A440">
        <v>439</v>
      </c>
      <c r="B440" t="s">
        <v>823</v>
      </c>
      <c r="C440" t="s">
        <v>831</v>
      </c>
      <c r="D440">
        <v>11</v>
      </c>
      <c r="E440" s="203">
        <v>-7.9217637014703413E-2</v>
      </c>
      <c r="F440" s="203">
        <v>46.842975818408163</v>
      </c>
      <c r="G440" s="203" t="s">
        <v>819</v>
      </c>
      <c r="H440" s="204">
        <v>-2.6096972044492501</v>
      </c>
      <c r="I440" s="204">
        <v>0.45311198227622285</v>
      </c>
      <c r="J440" s="204" t="s">
        <v>824</v>
      </c>
      <c r="K440" s="205">
        <v>2.0963414365363904</v>
      </c>
      <c r="L440" s="205">
        <v>98.197404327438136</v>
      </c>
      <c r="M440" s="205" t="s">
        <v>820</v>
      </c>
    </row>
    <row r="441" spans="1:13" x14ac:dyDescent="0.25">
      <c r="A441">
        <v>440</v>
      </c>
      <c r="B441" t="s">
        <v>823</v>
      </c>
      <c r="C441" t="s">
        <v>830</v>
      </c>
      <c r="D441">
        <v>11</v>
      </c>
      <c r="E441" s="203">
        <v>1.5354845599285853</v>
      </c>
      <c r="F441" s="203">
        <v>93.766757657191718</v>
      </c>
      <c r="G441" s="203" t="s">
        <v>819</v>
      </c>
      <c r="H441" s="204">
        <v>-1.4909433635011742</v>
      </c>
      <c r="I441" s="204">
        <v>6.7988182589724371</v>
      </c>
      <c r="J441" s="204" t="s">
        <v>819</v>
      </c>
      <c r="K441" s="205">
        <v>1.5379718187697067</v>
      </c>
      <c r="L441" s="205">
        <v>93.797224728672887</v>
      </c>
      <c r="M441" s="205" t="s">
        <v>820</v>
      </c>
    </row>
    <row r="442" spans="1:13" x14ac:dyDescent="0.25">
      <c r="A442">
        <v>441</v>
      </c>
      <c r="B442" t="s">
        <v>823</v>
      </c>
      <c r="C442" t="s">
        <v>830</v>
      </c>
      <c r="D442">
        <v>11</v>
      </c>
      <c r="E442" s="203">
        <v>-0.9731320230348891</v>
      </c>
      <c r="F442" s="203">
        <v>16.524384512405351</v>
      </c>
      <c r="G442" s="203" t="s">
        <v>819</v>
      </c>
      <c r="H442" s="204">
        <v>-0.25309734933604705</v>
      </c>
      <c r="I442" s="204">
        <v>40.009649356749797</v>
      </c>
      <c r="J442" s="204" t="s">
        <v>819</v>
      </c>
      <c r="K442" s="205">
        <v>-0.25810560050646525</v>
      </c>
      <c r="L442" s="205">
        <v>39.816270470559957</v>
      </c>
      <c r="M442" s="205" t="s">
        <v>819</v>
      </c>
    </row>
    <row r="443" spans="1:13" x14ac:dyDescent="0.25">
      <c r="A443">
        <v>442</v>
      </c>
      <c r="B443" t="s">
        <v>823</v>
      </c>
      <c r="C443" t="s">
        <v>830</v>
      </c>
      <c r="D443">
        <v>10</v>
      </c>
      <c r="E443" s="203">
        <v>-2.8718619539148543E-2</v>
      </c>
      <c r="F443" s="203">
        <v>48.854450312360967</v>
      </c>
      <c r="G443" s="203" t="s">
        <v>819</v>
      </c>
      <c r="H443" s="204">
        <v>-1.2115386940868684</v>
      </c>
      <c r="I443" s="204">
        <v>11.284450712198884</v>
      </c>
      <c r="J443" s="204" t="s">
        <v>819</v>
      </c>
      <c r="K443" s="205">
        <v>2.3881166575292934</v>
      </c>
      <c r="L443" s="205">
        <v>99.153251736475156</v>
      </c>
      <c r="M443" s="205" t="s">
        <v>820</v>
      </c>
    </row>
    <row r="444" spans="1:13" x14ac:dyDescent="0.25">
      <c r="A444">
        <v>443</v>
      </c>
      <c r="B444" t="s">
        <v>823</v>
      </c>
      <c r="C444" t="s">
        <v>830</v>
      </c>
      <c r="D444">
        <v>11</v>
      </c>
      <c r="E444" s="203">
        <v>0.1318458832022916</v>
      </c>
      <c r="F444" s="203">
        <v>55.244690311867771</v>
      </c>
      <c r="G444" s="203" t="s">
        <v>819</v>
      </c>
      <c r="H444" s="204">
        <v>-0.49155395058302709</v>
      </c>
      <c r="I444" s="204">
        <v>31.151735196734371</v>
      </c>
      <c r="J444" s="204" t="s">
        <v>819</v>
      </c>
      <c r="K444" s="205">
        <v>1.9456084226726069</v>
      </c>
      <c r="L444" s="205">
        <v>97.414910275225992</v>
      </c>
      <c r="M444" s="205" t="s">
        <v>820</v>
      </c>
    </row>
    <row r="445" spans="1:13" x14ac:dyDescent="0.25">
      <c r="A445">
        <v>444</v>
      </c>
      <c r="B445" t="s">
        <v>823</v>
      </c>
      <c r="C445" t="s">
        <v>830</v>
      </c>
      <c r="D445">
        <v>10</v>
      </c>
      <c r="E445" s="203">
        <v>0.71294186099697376</v>
      </c>
      <c r="F445" s="203">
        <v>76.205913289990988</v>
      </c>
      <c r="G445" s="203" t="s">
        <v>819</v>
      </c>
      <c r="H445" s="204">
        <v>-0.22132135614805964</v>
      </c>
      <c r="I445" s="204">
        <v>41.24211112315416</v>
      </c>
      <c r="J445" s="204" t="s">
        <v>819</v>
      </c>
      <c r="K445" s="205">
        <v>0.31013517822131176</v>
      </c>
      <c r="L445" s="205">
        <v>62.177091906727924</v>
      </c>
      <c r="M445" s="205" t="s">
        <v>819</v>
      </c>
    </row>
    <row r="446" spans="1:13" x14ac:dyDescent="0.25">
      <c r="A446">
        <v>445</v>
      </c>
      <c r="B446" t="s">
        <v>823</v>
      </c>
      <c r="C446" t="s">
        <v>830</v>
      </c>
      <c r="D446">
        <v>11</v>
      </c>
      <c r="E446" s="203">
        <v>0.94961534370324729</v>
      </c>
      <c r="F446" s="203">
        <v>82.884613042035483</v>
      </c>
      <c r="G446" s="203" t="s">
        <v>819</v>
      </c>
      <c r="H446" s="204">
        <v>-1.3298797306027823</v>
      </c>
      <c r="I446" s="204">
        <v>9.177895038122184</v>
      </c>
      <c r="J446" s="204" t="s">
        <v>819</v>
      </c>
      <c r="K446" s="205">
        <v>1.3051498648122286</v>
      </c>
      <c r="L446" s="205">
        <v>90.407908902150297</v>
      </c>
      <c r="M446" s="205" t="s">
        <v>820</v>
      </c>
    </row>
    <row r="447" spans="1:13" x14ac:dyDescent="0.25">
      <c r="A447">
        <v>446</v>
      </c>
      <c r="B447" t="s">
        <v>823</v>
      </c>
      <c r="C447" t="s">
        <v>830</v>
      </c>
      <c r="D447">
        <v>11</v>
      </c>
      <c r="E447" s="203">
        <v>1.0975189872984887</v>
      </c>
      <c r="F447" s="203">
        <v>86.379270738469287</v>
      </c>
      <c r="G447" s="203" t="s">
        <v>819</v>
      </c>
      <c r="H447" s="204">
        <v>-0.84835680741834862</v>
      </c>
      <c r="I447" s="204">
        <v>19.811964476551619</v>
      </c>
      <c r="J447" s="204" t="s">
        <v>819</v>
      </c>
      <c r="K447" s="205">
        <v>2.8261845180596765</v>
      </c>
      <c r="L447" s="205">
        <v>99.764469397904051</v>
      </c>
      <c r="M447" s="205" t="s">
        <v>820</v>
      </c>
    </row>
    <row r="448" spans="1:13" x14ac:dyDescent="0.25">
      <c r="A448">
        <v>447</v>
      </c>
      <c r="B448" t="s">
        <v>823</v>
      </c>
      <c r="C448" t="s">
        <v>830</v>
      </c>
      <c r="D448">
        <v>11</v>
      </c>
      <c r="E448" s="203">
        <v>1.1667317712884884</v>
      </c>
      <c r="F448" s="203">
        <v>87.834064597420706</v>
      </c>
      <c r="G448" s="203" t="s">
        <v>819</v>
      </c>
      <c r="H448" s="204">
        <v>-1.0567429216942898</v>
      </c>
      <c r="I448" s="204">
        <v>14.531446518505128</v>
      </c>
      <c r="J448" s="204" t="s">
        <v>819</v>
      </c>
      <c r="K448" s="205">
        <v>2.1509173165981639</v>
      </c>
      <c r="L448" s="205">
        <v>98.425863676076958</v>
      </c>
      <c r="M448" s="205" t="s">
        <v>820</v>
      </c>
    </row>
    <row r="449" spans="1:13" x14ac:dyDescent="0.25">
      <c r="A449">
        <v>448</v>
      </c>
      <c r="B449" t="s">
        <v>823</v>
      </c>
      <c r="C449" t="s">
        <v>831</v>
      </c>
      <c r="D449">
        <v>11</v>
      </c>
      <c r="E449" s="203">
        <v>-9.7208853299697889E-2</v>
      </c>
      <c r="F449" s="203">
        <v>46.128026871448014</v>
      </c>
      <c r="G449" s="203" t="s">
        <v>819</v>
      </c>
      <c r="H449" s="204">
        <v>-0.42178974109158968</v>
      </c>
      <c r="I449" s="204">
        <v>33.658924722099925</v>
      </c>
      <c r="J449" s="204" t="s">
        <v>819</v>
      </c>
      <c r="K449" s="205">
        <v>-1.4264852964067669</v>
      </c>
      <c r="L449" s="205">
        <v>7.6864154083359644</v>
      </c>
      <c r="M449" s="205" t="s">
        <v>825</v>
      </c>
    </row>
    <row r="450" spans="1:13" x14ac:dyDescent="0.25">
      <c r="A450">
        <v>449</v>
      </c>
      <c r="B450" t="s">
        <v>823</v>
      </c>
      <c r="C450" t="s">
        <v>831</v>
      </c>
      <c r="D450">
        <v>10</v>
      </c>
      <c r="E450" s="203">
        <v>9.2998300419165708E-2</v>
      </c>
      <c r="F450" s="203">
        <v>53.704754427931114</v>
      </c>
      <c r="G450" s="203" t="s">
        <v>819</v>
      </c>
      <c r="H450" s="204">
        <v>-0.99069926320800616</v>
      </c>
      <c r="I450" s="204">
        <v>16.091622548248253</v>
      </c>
      <c r="J450" s="204" t="s">
        <v>819</v>
      </c>
      <c r="K450" s="205">
        <v>-0.25747480439681431</v>
      </c>
      <c r="L450" s="205">
        <v>39.84061314967169</v>
      </c>
      <c r="M450" s="205" t="s">
        <v>819</v>
      </c>
    </row>
    <row r="451" spans="1:13" x14ac:dyDescent="0.25">
      <c r="A451">
        <v>450</v>
      </c>
      <c r="B451" t="s">
        <v>823</v>
      </c>
      <c r="C451" t="s">
        <v>831</v>
      </c>
      <c r="D451">
        <v>11</v>
      </c>
      <c r="E451" s="203">
        <v>-0.17480723742030388</v>
      </c>
      <c r="F451" s="203">
        <v>43.061555063336414</v>
      </c>
      <c r="G451" s="203" t="s">
        <v>819</v>
      </c>
      <c r="H451" s="204">
        <v>-1.5898856785512485</v>
      </c>
      <c r="I451" s="204">
        <v>5.5930288198704119</v>
      </c>
      <c r="J451" s="204" t="s">
        <v>819</v>
      </c>
      <c r="K451" s="205">
        <v>1.4911288867728616</v>
      </c>
      <c r="L451" s="205">
        <v>93.203617022490405</v>
      </c>
      <c r="M451" s="205" t="s">
        <v>820</v>
      </c>
    </row>
    <row r="452" spans="1:13" x14ac:dyDescent="0.25">
      <c r="A452">
        <v>451</v>
      </c>
      <c r="B452" t="s">
        <v>823</v>
      </c>
      <c r="C452" t="s">
        <v>831</v>
      </c>
      <c r="D452">
        <v>11</v>
      </c>
      <c r="E452" s="203">
        <v>-3.877095390171609</v>
      </c>
      <c r="F452" s="203">
        <v>5.2855460282553611E-3</v>
      </c>
      <c r="G452" s="203" t="s">
        <v>818</v>
      </c>
      <c r="H452" s="204">
        <v>-1.4955005601214912</v>
      </c>
      <c r="I452" s="204">
        <v>6.7391926917991105</v>
      </c>
      <c r="J452" s="204" t="s">
        <v>819</v>
      </c>
      <c r="K452" s="205">
        <v>8.4638097503329776E-2</v>
      </c>
      <c r="L452" s="205">
        <v>53.372544485311771</v>
      </c>
      <c r="M452" s="205" t="s">
        <v>819</v>
      </c>
    </row>
    <row r="453" spans="1:13" x14ac:dyDescent="0.25">
      <c r="A453">
        <v>452</v>
      </c>
      <c r="B453" t="s">
        <v>823</v>
      </c>
      <c r="C453" t="s">
        <v>831</v>
      </c>
      <c r="D453">
        <v>11</v>
      </c>
      <c r="E453" s="203">
        <v>-0.83498212356341395</v>
      </c>
      <c r="F453" s="203">
        <v>20.186388680691998</v>
      </c>
      <c r="G453" s="203" t="s">
        <v>819</v>
      </c>
      <c r="H453" s="204">
        <v>-0.33710955272804816</v>
      </c>
      <c r="I453" s="204">
        <v>36.801715822923555</v>
      </c>
      <c r="J453" s="204" t="s">
        <v>819</v>
      </c>
      <c r="K453" s="205">
        <v>1.3394366285271408E-2</v>
      </c>
      <c r="L453" s="205">
        <v>50.534341925360678</v>
      </c>
      <c r="M453" s="205" t="s">
        <v>819</v>
      </c>
    </row>
    <row r="454" spans="1:13" x14ac:dyDescent="0.25">
      <c r="A454">
        <v>453</v>
      </c>
      <c r="B454" t="s">
        <v>823</v>
      </c>
      <c r="C454" t="s">
        <v>831</v>
      </c>
      <c r="D454">
        <v>11</v>
      </c>
      <c r="E454" s="203">
        <v>0.5765223724432742</v>
      </c>
      <c r="F454" s="203">
        <v>71.786892384152154</v>
      </c>
      <c r="G454" s="203" t="s">
        <v>819</v>
      </c>
      <c r="H454" s="204">
        <v>-1.5205307477214942</v>
      </c>
      <c r="I454" s="204">
        <v>6.4188818498322542</v>
      </c>
      <c r="J454" s="204" t="s">
        <v>819</v>
      </c>
      <c r="K454" s="205">
        <v>1.7533806308884534</v>
      </c>
      <c r="L454" s="205">
        <v>96.023165327072263</v>
      </c>
      <c r="M454" s="205" t="s">
        <v>820</v>
      </c>
    </row>
    <row r="455" spans="1:13" x14ac:dyDescent="0.25">
      <c r="A455">
        <v>454</v>
      </c>
      <c r="B455" t="s">
        <v>823</v>
      </c>
      <c r="C455" t="s">
        <v>831</v>
      </c>
      <c r="D455">
        <v>10</v>
      </c>
      <c r="E455" s="203">
        <v>1.1556625232957434</v>
      </c>
      <c r="F455" s="203">
        <v>87.609038848271013</v>
      </c>
      <c r="G455" s="203" t="s">
        <v>819</v>
      </c>
      <c r="H455" s="204">
        <v>-0.94336073138699583</v>
      </c>
      <c r="I455" s="204">
        <v>17.274821085366458</v>
      </c>
      <c r="J455" s="204" t="s">
        <v>819</v>
      </c>
      <c r="K455" s="205">
        <v>-0.83371290119557995</v>
      </c>
      <c r="L455" s="205">
        <v>20.222139319967813</v>
      </c>
      <c r="M455" s="205" t="s">
        <v>819</v>
      </c>
    </row>
    <row r="456" spans="1:13" x14ac:dyDescent="0.25">
      <c r="A456">
        <v>455</v>
      </c>
      <c r="B456" t="s">
        <v>823</v>
      </c>
      <c r="C456" t="s">
        <v>831</v>
      </c>
      <c r="D456">
        <v>6</v>
      </c>
      <c r="E456" s="203">
        <v>-1.7244329968939307</v>
      </c>
      <c r="F456" s="203">
        <v>4.2314852524537478</v>
      </c>
      <c r="G456" s="203" t="s">
        <v>818</v>
      </c>
      <c r="H456" s="204">
        <v>-0.7196514427286389</v>
      </c>
      <c r="I456" s="204">
        <v>23.586981503808541</v>
      </c>
      <c r="J456" s="204" t="s">
        <v>819</v>
      </c>
      <c r="K456" s="205">
        <v>-0.36264972569081277</v>
      </c>
      <c r="L456" s="205">
        <v>35.843327979705563</v>
      </c>
      <c r="M456" s="205" t="s">
        <v>819</v>
      </c>
    </row>
    <row r="457" spans="1:13" x14ac:dyDescent="0.25">
      <c r="A457">
        <v>456</v>
      </c>
      <c r="B457" t="s">
        <v>823</v>
      </c>
      <c r="C457" t="s">
        <v>831</v>
      </c>
      <c r="D457">
        <v>6</v>
      </c>
      <c r="E457" s="203">
        <v>-1.4249183959844971</v>
      </c>
      <c r="F457" s="203">
        <v>7.7090395668449041</v>
      </c>
      <c r="G457" s="203" t="s">
        <v>819</v>
      </c>
      <c r="H457" s="204">
        <v>-1.3580790696885945</v>
      </c>
      <c r="I457" s="204">
        <v>8.7219297916357856</v>
      </c>
      <c r="J457" s="204" t="s">
        <v>819</v>
      </c>
      <c r="K457" s="205">
        <v>-1.1219353922417254</v>
      </c>
      <c r="L457" s="205">
        <v>13.094495554065761</v>
      </c>
      <c r="M457" s="205" t="s">
        <v>825</v>
      </c>
    </row>
    <row r="458" spans="1:13" x14ac:dyDescent="0.25">
      <c r="A458">
        <v>457</v>
      </c>
      <c r="B458" t="s">
        <v>823</v>
      </c>
      <c r="C458" t="s">
        <v>831</v>
      </c>
      <c r="D458">
        <v>6</v>
      </c>
      <c r="E458" s="203">
        <v>0.47914477299026131</v>
      </c>
      <c r="F458" s="203">
        <v>68.408218008120713</v>
      </c>
      <c r="G458" s="203" t="s">
        <v>819</v>
      </c>
      <c r="H458" s="204">
        <v>-0.97959606342077532</v>
      </c>
      <c r="I458" s="204">
        <v>16.364277444152382</v>
      </c>
      <c r="J458" s="204" t="s">
        <v>819</v>
      </c>
      <c r="K458" s="205">
        <v>1.5198741444523924</v>
      </c>
      <c r="L458" s="205">
        <v>93.572869507656677</v>
      </c>
      <c r="M458" s="205" t="s">
        <v>820</v>
      </c>
    </row>
    <row r="459" spans="1:13" x14ac:dyDescent="0.25">
      <c r="A459">
        <v>458</v>
      </c>
      <c r="B459" t="s">
        <v>823</v>
      </c>
      <c r="C459" t="s">
        <v>830</v>
      </c>
      <c r="D459">
        <v>5</v>
      </c>
      <c r="E459" s="203">
        <v>0.11132572704840477</v>
      </c>
      <c r="F459" s="203">
        <v>54.432097251476222</v>
      </c>
      <c r="G459" s="203" t="s">
        <v>819</v>
      </c>
      <c r="H459" s="204">
        <v>-0.47442832586698863</v>
      </c>
      <c r="I459" s="204">
        <v>31.759724888035713</v>
      </c>
      <c r="J459" s="204" t="s">
        <v>819</v>
      </c>
      <c r="K459" s="205">
        <v>0.69564656403277236</v>
      </c>
      <c r="L459" s="205">
        <v>75.667490118358245</v>
      </c>
      <c r="M459" s="205" t="s">
        <v>819</v>
      </c>
    </row>
    <row r="460" spans="1:13" x14ac:dyDescent="0.25">
      <c r="A460">
        <v>459</v>
      </c>
      <c r="B460" t="s">
        <v>823</v>
      </c>
      <c r="C460" t="s">
        <v>830</v>
      </c>
      <c r="D460">
        <v>6</v>
      </c>
      <c r="E460" s="203">
        <v>-1.9029268865925002</v>
      </c>
      <c r="F460" s="203">
        <v>2.8525043055317134</v>
      </c>
      <c r="G460" s="203" t="s">
        <v>818</v>
      </c>
      <c r="H460" s="204">
        <v>-50.092415434976282</v>
      </c>
      <c r="I460" s="204">
        <v>0</v>
      </c>
      <c r="J460" s="204" t="s">
        <v>824</v>
      </c>
      <c r="K460" s="205">
        <v>2.958643855795445E-2</v>
      </c>
      <c r="L460" s="205">
        <v>51.180155947852192</v>
      </c>
      <c r="M460" s="205" t="s">
        <v>819</v>
      </c>
    </row>
    <row r="461" spans="1:13" x14ac:dyDescent="0.25">
      <c r="A461">
        <v>460</v>
      </c>
      <c r="B461" t="s">
        <v>823</v>
      </c>
      <c r="C461" t="s">
        <v>830</v>
      </c>
      <c r="D461">
        <v>5</v>
      </c>
      <c r="E461" s="203">
        <v>-0.29979384521168606</v>
      </c>
      <c r="F461" s="203">
        <v>38.216720516623802</v>
      </c>
      <c r="G461" s="203" t="s">
        <v>819</v>
      </c>
      <c r="H461" s="204">
        <v>0.82980233180768836</v>
      </c>
      <c r="I461" s="204">
        <v>79.667472388085983</v>
      </c>
      <c r="J461" s="204" t="s">
        <v>819</v>
      </c>
      <c r="K461" s="205">
        <v>-6.656733754359415E-3</v>
      </c>
      <c r="L461" s="205">
        <v>49.734436706880572</v>
      </c>
      <c r="M461" s="205" t="s">
        <v>819</v>
      </c>
    </row>
    <row r="462" spans="1:13" x14ac:dyDescent="0.25">
      <c r="A462">
        <v>461</v>
      </c>
      <c r="B462" t="s">
        <v>823</v>
      </c>
      <c r="C462" t="s">
        <v>830</v>
      </c>
      <c r="D462">
        <v>5</v>
      </c>
      <c r="E462" s="203">
        <v>-1.2234389432009878</v>
      </c>
      <c r="F462" s="203">
        <v>11.058197603949713</v>
      </c>
      <c r="G462" s="203" t="s">
        <v>819</v>
      </c>
      <c r="H462" s="204">
        <v>-0.89474865102173939</v>
      </c>
      <c r="I462" s="204">
        <v>18.546073259994323</v>
      </c>
      <c r="J462" s="204" t="s">
        <v>819</v>
      </c>
      <c r="K462" s="205">
        <v>1.2750410370541092</v>
      </c>
      <c r="L462" s="205">
        <v>89.885264131632255</v>
      </c>
      <c r="M462" s="205" t="s">
        <v>820</v>
      </c>
    </row>
    <row r="463" spans="1:13" x14ac:dyDescent="0.25">
      <c r="A463">
        <v>462</v>
      </c>
      <c r="B463" t="s">
        <v>823</v>
      </c>
      <c r="C463" t="s">
        <v>830</v>
      </c>
      <c r="D463">
        <v>5</v>
      </c>
      <c r="E463" s="203">
        <v>-0.71330259722779321</v>
      </c>
      <c r="F463" s="203">
        <v>23.782926533835031</v>
      </c>
      <c r="G463" s="203" t="s">
        <v>819</v>
      </c>
      <c r="H463" s="204">
        <v>-2.4508812877855322E-3</v>
      </c>
      <c r="I463" s="204">
        <v>49.902224080892815</v>
      </c>
      <c r="J463" s="204" t="s">
        <v>819</v>
      </c>
      <c r="K463" s="205">
        <v>1.258589330440703</v>
      </c>
      <c r="L463" s="205">
        <v>89.591064858979294</v>
      </c>
      <c r="M463" s="205" t="s">
        <v>820</v>
      </c>
    </row>
    <row r="464" spans="1:13" x14ac:dyDescent="0.25">
      <c r="A464">
        <v>463</v>
      </c>
      <c r="B464" t="s">
        <v>823</v>
      </c>
      <c r="C464" t="s">
        <v>830</v>
      </c>
      <c r="D464">
        <v>5</v>
      </c>
      <c r="E464" s="203">
        <v>-0.29713410435282889</v>
      </c>
      <c r="F464" s="203">
        <v>38.318206399995312</v>
      </c>
      <c r="G464" s="203" t="s">
        <v>819</v>
      </c>
      <c r="H464" s="204">
        <v>0.22017937267416324</v>
      </c>
      <c r="I464" s="204">
        <v>58.713426966323112</v>
      </c>
      <c r="J464" s="204" t="s">
        <v>819</v>
      </c>
      <c r="K464" s="205">
        <v>-4.630062975402615E-2</v>
      </c>
      <c r="L464" s="205">
        <v>48.153531868906533</v>
      </c>
      <c r="M464" s="205" t="s">
        <v>819</v>
      </c>
    </row>
    <row r="465" spans="1:13" x14ac:dyDescent="0.25">
      <c r="A465">
        <v>464</v>
      </c>
      <c r="B465" t="s">
        <v>823</v>
      </c>
      <c r="C465" t="s">
        <v>830</v>
      </c>
      <c r="D465">
        <v>6</v>
      </c>
      <c r="E465" s="203">
        <v>-0.26302339034765504</v>
      </c>
      <c r="F465" s="203">
        <v>39.626627539150803</v>
      </c>
      <c r="G465" s="203" t="s">
        <v>819</v>
      </c>
      <c r="H465" s="204">
        <v>-0.14165732623690222</v>
      </c>
      <c r="I465" s="204">
        <v>44.367534182991534</v>
      </c>
      <c r="J465" s="204" t="s">
        <v>819</v>
      </c>
      <c r="K465" s="205">
        <v>0.2357528382287363</v>
      </c>
      <c r="L465" s="205">
        <v>59.318776685884977</v>
      </c>
      <c r="M465" s="205" t="s">
        <v>819</v>
      </c>
    </row>
    <row r="466" spans="1:13" x14ac:dyDescent="0.25">
      <c r="A466">
        <v>465</v>
      </c>
      <c r="B466" t="s">
        <v>823</v>
      </c>
      <c r="C466" t="s">
        <v>830</v>
      </c>
      <c r="D466">
        <v>6</v>
      </c>
      <c r="E466" s="203">
        <v>-0.16072756619205489</v>
      </c>
      <c r="F466" s="203">
        <v>43.615398850882094</v>
      </c>
      <c r="G466" s="203" t="s">
        <v>819</v>
      </c>
      <c r="H466" s="204">
        <v>-1.2067494532365608</v>
      </c>
      <c r="I466" s="204">
        <v>11.376432381586062</v>
      </c>
      <c r="J466" s="204" t="s">
        <v>819</v>
      </c>
      <c r="K466" s="205">
        <v>0.38171724009558428</v>
      </c>
      <c r="L466" s="205">
        <v>64.866444452442352</v>
      </c>
      <c r="M466" s="205" t="s">
        <v>819</v>
      </c>
    </row>
    <row r="467" spans="1:13" x14ac:dyDescent="0.25">
      <c r="A467">
        <v>466</v>
      </c>
      <c r="B467" t="s">
        <v>823</v>
      </c>
      <c r="C467" t="s">
        <v>830</v>
      </c>
      <c r="D467">
        <v>6</v>
      </c>
      <c r="E467" s="203">
        <v>-0.56214255837346561</v>
      </c>
      <c r="F467" s="203">
        <v>28.700944708732912</v>
      </c>
      <c r="G467" s="203" t="s">
        <v>819</v>
      </c>
      <c r="H467" s="204">
        <v>-2.1610495555843214</v>
      </c>
      <c r="I467" s="204">
        <v>1.5345755808819324</v>
      </c>
      <c r="J467" s="204" t="s">
        <v>824</v>
      </c>
      <c r="K467" s="205">
        <v>1.0335649926813248</v>
      </c>
      <c r="L467" s="205">
        <v>84.933021391908653</v>
      </c>
      <c r="M467" s="205" t="s">
        <v>819</v>
      </c>
    </row>
    <row r="468" spans="1:13" x14ac:dyDescent="0.25">
      <c r="A468">
        <v>467</v>
      </c>
      <c r="B468" t="s">
        <v>823</v>
      </c>
      <c r="C468" t="s">
        <v>831</v>
      </c>
      <c r="D468">
        <v>7</v>
      </c>
      <c r="E468" s="203">
        <v>-0.90839489847226518</v>
      </c>
      <c r="F468" s="203">
        <v>18.183481004523692</v>
      </c>
      <c r="G468" s="203" t="s">
        <v>819</v>
      </c>
      <c r="H468" s="204">
        <v>-1.8935303808310331</v>
      </c>
      <c r="I468" s="204">
        <v>2.9143685976793465</v>
      </c>
      <c r="J468" s="204" t="s">
        <v>824</v>
      </c>
      <c r="K468" s="205">
        <v>0.23212620129399403</v>
      </c>
      <c r="L468" s="205">
        <v>59.178000254372456</v>
      </c>
      <c r="M468" s="205" t="s">
        <v>819</v>
      </c>
    </row>
    <row r="469" spans="1:13" x14ac:dyDescent="0.25">
      <c r="A469">
        <v>468</v>
      </c>
      <c r="B469" t="s">
        <v>823</v>
      </c>
      <c r="C469" t="s">
        <v>831</v>
      </c>
      <c r="D469">
        <v>6</v>
      </c>
      <c r="E469" s="203">
        <v>-0.27213079126086148</v>
      </c>
      <c r="F469" s="203">
        <v>39.276072731347611</v>
      </c>
      <c r="G469" s="203" t="s">
        <v>819</v>
      </c>
      <c r="H469" s="204">
        <v>-1.0869213675695961</v>
      </c>
      <c r="I469" s="204">
        <v>13.853578108987</v>
      </c>
      <c r="J469" s="204" t="s">
        <v>819</v>
      </c>
      <c r="K469" s="205">
        <v>1.1451476835162469</v>
      </c>
      <c r="L469" s="205">
        <v>87.392600711661018</v>
      </c>
      <c r="M469" s="205" t="s">
        <v>820</v>
      </c>
    </row>
    <row r="470" spans="1:13" x14ac:dyDescent="0.25">
      <c r="A470">
        <v>469</v>
      </c>
      <c r="B470" t="s">
        <v>823</v>
      </c>
      <c r="C470" t="s">
        <v>831</v>
      </c>
      <c r="D470">
        <v>6</v>
      </c>
      <c r="E470" s="203">
        <v>-1.211225246574763</v>
      </c>
      <c r="F470" s="203">
        <v>11.290454467501711</v>
      </c>
      <c r="G470" s="203" t="s">
        <v>819</v>
      </c>
      <c r="H470" s="204">
        <v>-1.6662606248169013E-2</v>
      </c>
      <c r="I470" s="204">
        <v>49.335288945402041</v>
      </c>
      <c r="J470" s="204" t="s">
        <v>819</v>
      </c>
      <c r="K470" s="205">
        <v>0.45371268393936937</v>
      </c>
      <c r="L470" s="205">
        <v>67.498218178646667</v>
      </c>
      <c r="M470" s="205" t="s">
        <v>819</v>
      </c>
    </row>
    <row r="471" spans="1:13" x14ac:dyDescent="0.25">
      <c r="A471">
        <v>470</v>
      </c>
      <c r="B471" t="s">
        <v>823</v>
      </c>
      <c r="C471" t="s">
        <v>831</v>
      </c>
      <c r="D471">
        <v>6</v>
      </c>
      <c r="E471" s="203">
        <v>-0.20879107232362731</v>
      </c>
      <c r="F471" s="203">
        <v>41.730567049975519</v>
      </c>
      <c r="G471" s="203" t="s">
        <v>819</v>
      </c>
      <c r="H471" s="204">
        <v>3.7636446632641839E-2</v>
      </c>
      <c r="I471" s="204">
        <v>51.50112258566687</v>
      </c>
      <c r="J471" s="204" t="s">
        <v>819</v>
      </c>
      <c r="K471" s="205">
        <v>-5.7267996351186047E-3</v>
      </c>
      <c r="L471" s="205">
        <v>49.771534998215664</v>
      </c>
      <c r="M471" s="205" t="s">
        <v>819</v>
      </c>
    </row>
    <row r="472" spans="1:13" x14ac:dyDescent="0.25">
      <c r="A472">
        <v>471</v>
      </c>
      <c r="B472" t="s">
        <v>823</v>
      </c>
      <c r="C472" t="s">
        <v>831</v>
      </c>
      <c r="D472">
        <v>6</v>
      </c>
      <c r="E472" s="203">
        <v>0.17742992716514014</v>
      </c>
      <c r="F472" s="203">
        <v>57.041464912427372</v>
      </c>
      <c r="G472" s="203" t="s">
        <v>819</v>
      </c>
      <c r="H472" s="204">
        <v>-1.9879118988122686</v>
      </c>
      <c r="I472" s="204">
        <v>2.3410717271577512</v>
      </c>
      <c r="J472" s="204" t="s">
        <v>824</v>
      </c>
      <c r="K472" s="205">
        <v>2.6386467336032253</v>
      </c>
      <c r="L472" s="205">
        <v>99.583811652724634</v>
      </c>
      <c r="M472" s="205" t="s">
        <v>820</v>
      </c>
    </row>
    <row r="473" spans="1:13" x14ac:dyDescent="0.25">
      <c r="A473">
        <v>472</v>
      </c>
      <c r="B473" t="s">
        <v>823</v>
      </c>
      <c r="C473" t="s">
        <v>830</v>
      </c>
      <c r="D473">
        <v>6</v>
      </c>
      <c r="E473" s="203">
        <v>-0.39598082278089197</v>
      </c>
      <c r="F473" s="203">
        <v>34.605958778750292</v>
      </c>
      <c r="G473" s="203" t="s">
        <v>819</v>
      </c>
      <c r="H473" s="204">
        <v>-1.5880862706434249</v>
      </c>
      <c r="I473" s="204">
        <v>5.6133416216224408</v>
      </c>
      <c r="J473" s="204" t="s">
        <v>819</v>
      </c>
      <c r="K473" s="205">
        <v>3.6225512843527321</v>
      </c>
      <c r="L473" s="205">
        <v>99.985414419882886</v>
      </c>
      <c r="M473" s="205" t="s">
        <v>820</v>
      </c>
    </row>
    <row r="474" spans="1:13" x14ac:dyDescent="0.25">
      <c r="A474">
        <v>473</v>
      </c>
      <c r="B474" t="s">
        <v>823</v>
      </c>
      <c r="C474" t="s">
        <v>831</v>
      </c>
      <c r="D474">
        <v>5</v>
      </c>
      <c r="E474" s="203">
        <v>1.4585379665070666</v>
      </c>
      <c r="F474" s="203">
        <v>92.765384094469269</v>
      </c>
      <c r="G474" s="203" t="s">
        <v>819</v>
      </c>
      <c r="H474" s="204">
        <v>-0.60852140766700957</v>
      </c>
      <c r="I474" s="204">
        <v>27.14208560120916</v>
      </c>
      <c r="J474" s="204" t="s">
        <v>819</v>
      </c>
      <c r="K474" s="205">
        <v>0.15983102866069274</v>
      </c>
      <c r="L474" s="205">
        <v>56.349290952753975</v>
      </c>
      <c r="M474" s="205" t="s">
        <v>819</v>
      </c>
    </row>
    <row r="475" spans="1:13" x14ac:dyDescent="0.25">
      <c r="A475">
        <v>474</v>
      </c>
      <c r="B475" t="s">
        <v>823</v>
      </c>
      <c r="C475" t="s">
        <v>831</v>
      </c>
      <c r="D475">
        <v>7</v>
      </c>
      <c r="E475" s="203">
        <v>-0.81268284298324978</v>
      </c>
      <c r="F475" s="203">
        <v>20.819996025336728</v>
      </c>
      <c r="G475" s="203" t="s">
        <v>819</v>
      </c>
      <c r="H475" s="204">
        <v>-1.2083788178027466</v>
      </c>
      <c r="I475" s="204">
        <v>11.345079184732208</v>
      </c>
      <c r="J475" s="204" t="s">
        <v>819</v>
      </c>
      <c r="K475" s="205">
        <v>1.2633966198553479</v>
      </c>
      <c r="L475" s="205">
        <v>89.677666085050333</v>
      </c>
      <c r="M475" s="205" t="s">
        <v>820</v>
      </c>
    </row>
    <row r="476" spans="1:13" x14ac:dyDescent="0.25">
      <c r="A476">
        <v>475</v>
      </c>
      <c r="B476" t="s">
        <v>823</v>
      </c>
      <c r="C476" t="s">
        <v>830</v>
      </c>
      <c r="D476">
        <v>8</v>
      </c>
      <c r="E476" s="203">
        <v>-2.9641712613873783</v>
      </c>
      <c r="F476" s="203">
        <v>0.15174966292112738</v>
      </c>
      <c r="G476" s="203" t="s">
        <v>818</v>
      </c>
      <c r="H476" s="204">
        <v>-2.4478135726592165</v>
      </c>
      <c r="I476" s="204">
        <v>0.71863000112102082</v>
      </c>
      <c r="J476" s="204" t="s">
        <v>824</v>
      </c>
      <c r="K476" s="205">
        <v>3.2448723337535861</v>
      </c>
      <c r="L476" s="205">
        <v>99.941248354571584</v>
      </c>
      <c r="M476" s="205" t="s">
        <v>820</v>
      </c>
    </row>
    <row r="477" spans="1:13" x14ac:dyDescent="0.25">
      <c r="A477">
        <v>476</v>
      </c>
      <c r="B477" t="s">
        <v>823</v>
      </c>
      <c r="C477" t="s">
        <v>830</v>
      </c>
      <c r="D477">
        <v>5</v>
      </c>
      <c r="E477" s="203">
        <v>-0.19615046250424198</v>
      </c>
      <c r="F477" s="203">
        <v>42.224619998627603</v>
      </c>
      <c r="G477" s="203" t="s">
        <v>819</v>
      </c>
      <c r="H477" s="204">
        <v>9.0132146339575656E-3</v>
      </c>
      <c r="I477" s="204">
        <v>50.359570371510017</v>
      </c>
      <c r="J477" s="204" t="s">
        <v>819</v>
      </c>
      <c r="K477" s="205">
        <v>0.30262892377675205</v>
      </c>
      <c r="L477" s="205">
        <v>61.891366525545081</v>
      </c>
      <c r="M477" s="205" t="s">
        <v>819</v>
      </c>
    </row>
    <row r="478" spans="1:13" x14ac:dyDescent="0.25">
      <c r="A478">
        <v>477</v>
      </c>
      <c r="B478" t="s">
        <v>823</v>
      </c>
      <c r="C478" t="s">
        <v>831</v>
      </c>
      <c r="D478">
        <v>6</v>
      </c>
      <c r="E478" s="203">
        <v>0.10350699086469869</v>
      </c>
      <c r="F478" s="203">
        <v>54.121969930478109</v>
      </c>
      <c r="G478" s="203" t="s">
        <v>819</v>
      </c>
      <c r="H478" s="204">
        <v>-1.6185689939979411</v>
      </c>
      <c r="I478" s="204">
        <v>5.2770015432088053</v>
      </c>
      <c r="J478" s="204" t="s">
        <v>819</v>
      </c>
      <c r="K478" s="205">
        <v>1.0027095488519284</v>
      </c>
      <c r="L478" s="205">
        <v>84.19994893356629</v>
      </c>
      <c r="M478" s="205" t="s">
        <v>819</v>
      </c>
    </row>
    <row r="479" spans="1:13" x14ac:dyDescent="0.25">
      <c r="A479">
        <v>478</v>
      </c>
      <c r="B479" t="s">
        <v>823</v>
      </c>
      <c r="C479" t="s">
        <v>831</v>
      </c>
      <c r="D479">
        <v>6</v>
      </c>
      <c r="E479" s="203">
        <v>-0.93974998814578248</v>
      </c>
      <c r="F479" s="203">
        <v>17.36729087369784</v>
      </c>
      <c r="G479" s="203" t="s">
        <v>819</v>
      </c>
      <c r="H479" s="204">
        <v>-1.5113243100648266</v>
      </c>
      <c r="I479" s="204">
        <v>6.5352921574870004</v>
      </c>
      <c r="J479" s="204" t="s">
        <v>819</v>
      </c>
      <c r="K479" s="205">
        <v>0.16191835111046779</v>
      </c>
      <c r="L479" s="205">
        <v>56.431492429168351</v>
      </c>
      <c r="M479" s="205" t="s">
        <v>819</v>
      </c>
    </row>
    <row r="480" spans="1:13" x14ac:dyDescent="0.25">
      <c r="A480">
        <v>479</v>
      </c>
      <c r="B480" t="s">
        <v>823</v>
      </c>
      <c r="C480" t="s">
        <v>831</v>
      </c>
      <c r="D480">
        <v>10</v>
      </c>
      <c r="E480" s="203">
        <v>-1.1934623643046909</v>
      </c>
      <c r="F480" s="203">
        <v>11.634417164410845</v>
      </c>
      <c r="G480" s="203" t="s">
        <v>819</v>
      </c>
      <c r="H480" s="204">
        <v>-1.1405543671422154</v>
      </c>
      <c r="I480" s="204">
        <v>12.702770805687818</v>
      </c>
      <c r="J480" s="204" t="s">
        <v>819</v>
      </c>
      <c r="K480" s="205">
        <v>0.80966898864579495</v>
      </c>
      <c r="L480" s="205">
        <v>79.09347770091793</v>
      </c>
      <c r="M480" s="205" t="s">
        <v>819</v>
      </c>
    </row>
    <row r="481" spans="1:13" x14ac:dyDescent="0.25">
      <c r="A481">
        <v>480</v>
      </c>
      <c r="B481" t="s">
        <v>823</v>
      </c>
      <c r="C481" t="s">
        <v>830</v>
      </c>
      <c r="D481">
        <v>6</v>
      </c>
      <c r="E481" s="203">
        <v>-0.58814659874371178</v>
      </c>
      <c r="F481" s="203">
        <v>27.821694877581315</v>
      </c>
      <c r="G481" s="203" t="s">
        <v>819</v>
      </c>
      <c r="H481" s="204">
        <v>-1.181548552597488</v>
      </c>
      <c r="I481" s="204">
        <v>11.869243876403855</v>
      </c>
      <c r="J481" s="204" t="s">
        <v>819</v>
      </c>
      <c r="K481" s="205">
        <v>1.1722033972577941</v>
      </c>
      <c r="L481" s="205">
        <v>87.944229760308929</v>
      </c>
      <c r="M481" s="205" t="s">
        <v>820</v>
      </c>
    </row>
    <row r="482" spans="1:13" x14ac:dyDescent="0.25">
      <c r="A482">
        <v>481</v>
      </c>
      <c r="B482" t="s">
        <v>823</v>
      </c>
      <c r="C482" t="s">
        <v>831</v>
      </c>
      <c r="D482">
        <v>6</v>
      </c>
      <c r="E482" s="203">
        <v>-8.4311900198080145E-2</v>
      </c>
      <c r="F482" s="203">
        <v>46.640422555109453</v>
      </c>
      <c r="G482" s="203" t="s">
        <v>819</v>
      </c>
      <c r="H482" s="204">
        <v>-0.76793832504086779</v>
      </c>
      <c r="I482" s="204">
        <v>22.126191350594475</v>
      </c>
      <c r="J482" s="204" t="s">
        <v>819</v>
      </c>
      <c r="K482" s="205">
        <v>0.23933530533313635</v>
      </c>
      <c r="L482" s="205">
        <v>59.457720446804998</v>
      </c>
      <c r="M482" s="205" t="s">
        <v>819</v>
      </c>
    </row>
    <row r="483" spans="1:13" x14ac:dyDescent="0.25">
      <c r="A483">
        <v>482</v>
      </c>
      <c r="B483" t="s">
        <v>823</v>
      </c>
      <c r="C483" t="s">
        <v>830</v>
      </c>
      <c r="D483">
        <v>6</v>
      </c>
      <c r="E483" s="203">
        <v>-0.43010787585030746</v>
      </c>
      <c r="F483" s="203">
        <v>33.355858559162158</v>
      </c>
      <c r="G483" s="203" t="s">
        <v>819</v>
      </c>
      <c r="H483" s="204">
        <v>-0.33647165986643079</v>
      </c>
      <c r="I483" s="204">
        <v>36.825760959223956</v>
      </c>
      <c r="J483" s="204" t="s">
        <v>819</v>
      </c>
      <c r="K483" s="205">
        <v>-0.10213159308062368</v>
      </c>
      <c r="L483" s="205">
        <v>45.932611223513739</v>
      </c>
      <c r="M483" s="205" t="s">
        <v>819</v>
      </c>
    </row>
    <row r="484" spans="1:13" x14ac:dyDescent="0.25">
      <c r="A484">
        <v>483</v>
      </c>
      <c r="B484" t="s">
        <v>823</v>
      </c>
      <c r="C484" t="s">
        <v>830</v>
      </c>
      <c r="D484">
        <v>6</v>
      </c>
      <c r="E484" s="203">
        <v>0.71156937379658669</v>
      </c>
      <c r="F484" s="203">
        <v>76.163426119887006</v>
      </c>
      <c r="G484" s="203" t="s">
        <v>819</v>
      </c>
      <c r="H484" s="204">
        <v>-6.929275923827885E-2</v>
      </c>
      <c r="I484" s="204">
        <v>47.237829458836153</v>
      </c>
      <c r="J484" s="204" t="s">
        <v>819</v>
      </c>
      <c r="K484" s="205">
        <v>1.0030463194225108</v>
      </c>
      <c r="L484" s="205">
        <v>84.208074343639439</v>
      </c>
      <c r="M484" s="205" t="s">
        <v>819</v>
      </c>
    </row>
    <row r="485" spans="1:13" x14ac:dyDescent="0.25">
      <c r="A485">
        <v>484</v>
      </c>
      <c r="B485" t="s">
        <v>823</v>
      </c>
      <c r="C485" t="s">
        <v>830</v>
      </c>
      <c r="D485">
        <v>7</v>
      </c>
      <c r="E485" s="203">
        <v>0.34541578607697576</v>
      </c>
      <c r="F485" s="203">
        <v>63.51090944522123</v>
      </c>
      <c r="G485" s="203" t="s">
        <v>819</v>
      </c>
      <c r="H485" s="204">
        <v>-0.30241293823836507</v>
      </c>
      <c r="I485" s="204">
        <v>38.116864646111971</v>
      </c>
      <c r="J485" s="204" t="s">
        <v>819</v>
      </c>
      <c r="K485" s="205">
        <v>-0.56208902417312812</v>
      </c>
      <c r="L485" s="205">
        <v>28.702768304048575</v>
      </c>
      <c r="M485" s="205" t="s">
        <v>819</v>
      </c>
    </row>
    <row r="486" spans="1:13" x14ac:dyDescent="0.25">
      <c r="A486">
        <v>485</v>
      </c>
      <c r="B486" t="s">
        <v>823</v>
      </c>
      <c r="C486" t="s">
        <v>831</v>
      </c>
      <c r="D486">
        <v>7</v>
      </c>
      <c r="E486" s="203">
        <v>-1.8673389527508482</v>
      </c>
      <c r="F486" s="203">
        <v>3.0927134507507263</v>
      </c>
      <c r="G486" s="203" t="s">
        <v>818</v>
      </c>
      <c r="H486" s="204">
        <v>-1.8658525119138842</v>
      </c>
      <c r="I486" s="204">
        <v>3.1031001558232698</v>
      </c>
      <c r="J486" s="204" t="s">
        <v>824</v>
      </c>
      <c r="K486" s="205">
        <v>1.9623017038697643</v>
      </c>
      <c r="L486" s="205">
        <v>97.51363155182969</v>
      </c>
      <c r="M486" s="205" t="s">
        <v>820</v>
      </c>
    </row>
    <row r="487" spans="1:13" x14ac:dyDescent="0.25">
      <c r="A487">
        <v>486</v>
      </c>
      <c r="B487" t="s">
        <v>823</v>
      </c>
      <c r="C487" t="s">
        <v>831</v>
      </c>
      <c r="D487">
        <v>7</v>
      </c>
      <c r="E487" s="203">
        <v>5.9529734521651598E-2</v>
      </c>
      <c r="F487" s="203">
        <v>52.37349086287044</v>
      </c>
      <c r="G487" s="203" t="s">
        <v>819</v>
      </c>
      <c r="H487" s="204">
        <v>-1.5136019832673309</v>
      </c>
      <c r="I487" s="204">
        <v>6.5063408912232319</v>
      </c>
      <c r="J487" s="204" t="s">
        <v>819</v>
      </c>
      <c r="K487" s="205">
        <v>-1.0666209014085866</v>
      </c>
      <c r="L487" s="205">
        <v>14.307152911839815</v>
      </c>
      <c r="M487" s="205" t="s">
        <v>825</v>
      </c>
    </row>
    <row r="488" spans="1:13" x14ac:dyDescent="0.25">
      <c r="A488">
        <v>487</v>
      </c>
      <c r="B488" t="s">
        <v>823</v>
      </c>
      <c r="C488" t="s">
        <v>830</v>
      </c>
      <c r="D488">
        <v>7</v>
      </c>
      <c r="E488" s="203">
        <v>0.18256096489539675</v>
      </c>
      <c r="F488" s="203">
        <v>57.242874248759904</v>
      </c>
      <c r="G488" s="203" t="s">
        <v>819</v>
      </c>
      <c r="H488" s="204">
        <v>-0.96150531220404567</v>
      </c>
      <c r="I488" s="204">
        <v>16.814907788448117</v>
      </c>
      <c r="J488" s="204" t="s">
        <v>819</v>
      </c>
      <c r="K488" s="205">
        <v>1.0982293771649423</v>
      </c>
      <c r="L488" s="205">
        <v>86.394782932792211</v>
      </c>
      <c r="M488" s="205" t="s">
        <v>820</v>
      </c>
    </row>
    <row r="489" spans="1:13" x14ac:dyDescent="0.25">
      <c r="A489">
        <v>488</v>
      </c>
      <c r="B489" t="s">
        <v>823</v>
      </c>
      <c r="C489" t="s">
        <v>830</v>
      </c>
      <c r="D489">
        <v>7</v>
      </c>
      <c r="E489" s="203">
        <v>0.64142628514840128</v>
      </c>
      <c r="F489" s="203">
        <v>73.937712008737137</v>
      </c>
      <c r="G489" s="203" t="s">
        <v>819</v>
      </c>
      <c r="H489" s="204">
        <v>-1.0521021909762518</v>
      </c>
      <c r="I489" s="204">
        <v>14.6376333523082</v>
      </c>
      <c r="J489" s="204" t="s">
        <v>819</v>
      </c>
      <c r="K489" s="205">
        <v>0.90714331160197947</v>
      </c>
      <c r="L489" s="205">
        <v>81.783449161398366</v>
      </c>
      <c r="M489" s="205" t="s">
        <v>819</v>
      </c>
    </row>
    <row r="490" spans="1:13" x14ac:dyDescent="0.25">
      <c r="A490">
        <v>489</v>
      </c>
      <c r="B490" t="s">
        <v>823</v>
      </c>
      <c r="C490" t="s">
        <v>830</v>
      </c>
      <c r="D490">
        <v>7</v>
      </c>
      <c r="E490" s="203">
        <v>-0.98678879490676707</v>
      </c>
      <c r="F490" s="203">
        <v>16.187309447769668</v>
      </c>
      <c r="G490" s="203" t="s">
        <v>819</v>
      </c>
      <c r="H490" s="204">
        <v>-0.76770407228986415</v>
      </c>
      <c r="I490" s="204">
        <v>22.133150813768697</v>
      </c>
      <c r="J490" s="204" t="s">
        <v>819</v>
      </c>
      <c r="K490" s="205">
        <v>0.64615228693611204</v>
      </c>
      <c r="L490" s="205">
        <v>74.090963199138031</v>
      </c>
      <c r="M490" s="205" t="s">
        <v>819</v>
      </c>
    </row>
    <row r="491" spans="1:13" x14ac:dyDescent="0.25">
      <c r="A491">
        <v>490</v>
      </c>
      <c r="B491" t="s">
        <v>823</v>
      </c>
      <c r="C491" t="s">
        <v>830</v>
      </c>
      <c r="D491">
        <v>7</v>
      </c>
      <c r="E491" s="203">
        <v>-0.29763256664382709</v>
      </c>
      <c r="F491" s="203">
        <v>38.29918079160219</v>
      </c>
      <c r="G491" s="203" t="s">
        <v>819</v>
      </c>
      <c r="H491" s="204">
        <v>-1.3799050578469667</v>
      </c>
      <c r="I491" s="204">
        <v>8.3807939554342443</v>
      </c>
      <c r="J491" s="204" t="s">
        <v>819</v>
      </c>
      <c r="K491" s="205">
        <v>0.15635259970219248</v>
      </c>
      <c r="L491" s="205">
        <v>56.212245123015038</v>
      </c>
      <c r="M491" s="205" t="s">
        <v>819</v>
      </c>
    </row>
    <row r="492" spans="1:13" x14ac:dyDescent="0.25">
      <c r="A492">
        <v>491</v>
      </c>
      <c r="B492" t="s">
        <v>823</v>
      </c>
      <c r="C492" t="s">
        <v>830</v>
      </c>
      <c r="D492">
        <v>7</v>
      </c>
      <c r="E492" s="203">
        <v>-1.3537113107981802E-2</v>
      </c>
      <c r="F492" s="203">
        <v>49.459963816629269</v>
      </c>
      <c r="G492" s="203" t="s">
        <v>819</v>
      </c>
      <c r="H492" s="204">
        <v>-1.4368351236487285</v>
      </c>
      <c r="I492" s="204">
        <v>7.5382423820954738</v>
      </c>
      <c r="J492" s="204" t="s">
        <v>819</v>
      </c>
      <c r="K492" s="205">
        <v>-0.25879387859941688</v>
      </c>
      <c r="L492" s="205">
        <v>39.7897140596897</v>
      </c>
      <c r="M492" s="205" t="s">
        <v>819</v>
      </c>
    </row>
    <row r="493" spans="1:13" x14ac:dyDescent="0.25">
      <c r="A493">
        <v>492</v>
      </c>
      <c r="B493" t="s">
        <v>823</v>
      </c>
      <c r="C493" t="s">
        <v>830</v>
      </c>
      <c r="D493">
        <v>7</v>
      </c>
      <c r="E493" s="203">
        <v>-0.80587600823397054</v>
      </c>
      <c r="F493" s="203">
        <v>21.015717306019923</v>
      </c>
      <c r="G493" s="203" t="s">
        <v>819</v>
      </c>
      <c r="H493" s="204">
        <v>-0.47660106212495235</v>
      </c>
      <c r="I493" s="204">
        <v>31.682311347311444</v>
      </c>
      <c r="J493" s="204" t="s">
        <v>819</v>
      </c>
      <c r="K493" s="205">
        <v>-0.54734735625674857</v>
      </c>
      <c r="L493" s="205">
        <v>29.207005752545967</v>
      </c>
      <c r="M493" s="205" t="s">
        <v>819</v>
      </c>
    </row>
    <row r="494" spans="1:13" x14ac:dyDescent="0.25">
      <c r="A494">
        <v>493</v>
      </c>
      <c r="B494" t="s">
        <v>823</v>
      </c>
      <c r="C494" t="s">
        <v>831</v>
      </c>
      <c r="D494">
        <v>7</v>
      </c>
      <c r="E494" s="203">
        <v>-0.90839489847226518</v>
      </c>
      <c r="F494" s="203">
        <v>18.183481004523692</v>
      </c>
      <c r="G494" s="203" t="s">
        <v>819</v>
      </c>
      <c r="H494" s="204">
        <v>-0.82032277502037976</v>
      </c>
      <c r="I494" s="204">
        <v>20.601606314533594</v>
      </c>
      <c r="J494" s="204" t="s">
        <v>819</v>
      </c>
      <c r="K494" s="205">
        <v>-0.17502505047015582</v>
      </c>
      <c r="L494" s="205">
        <v>43.052997498494825</v>
      </c>
      <c r="M494" s="205" t="s">
        <v>819</v>
      </c>
    </row>
    <row r="495" spans="1:13" x14ac:dyDescent="0.25">
      <c r="A495">
        <v>494</v>
      </c>
      <c r="B495" t="s">
        <v>823</v>
      </c>
      <c r="C495" t="s">
        <v>831</v>
      </c>
      <c r="D495">
        <v>7</v>
      </c>
      <c r="E495" s="203">
        <v>-0.40235170258089481</v>
      </c>
      <c r="F495" s="203">
        <v>34.371260456426327</v>
      </c>
      <c r="G495" s="203" t="s">
        <v>819</v>
      </c>
      <c r="H495" s="204">
        <v>-1.8026090130241887</v>
      </c>
      <c r="I495" s="204">
        <v>3.5724820266997503</v>
      </c>
      <c r="J495" s="204" t="s">
        <v>824</v>
      </c>
      <c r="K495" s="205">
        <v>0.55270601657458329</v>
      </c>
      <c r="L495" s="205">
        <v>70.976763359448285</v>
      </c>
      <c r="M495" s="205" t="s">
        <v>819</v>
      </c>
    </row>
    <row r="496" spans="1:13" x14ac:dyDescent="0.25">
      <c r="A496">
        <v>495</v>
      </c>
      <c r="B496" t="s">
        <v>823</v>
      </c>
      <c r="C496" t="s">
        <v>831</v>
      </c>
      <c r="D496">
        <v>7</v>
      </c>
      <c r="E496" s="203">
        <v>0.24605225785309945</v>
      </c>
      <c r="F496" s="203">
        <v>59.717911011954698</v>
      </c>
      <c r="G496" s="203" t="s">
        <v>819</v>
      </c>
      <c r="H496" s="204">
        <v>-0.88125409904892604</v>
      </c>
      <c r="I496" s="204">
        <v>18.909015198962091</v>
      </c>
      <c r="J496" s="204" t="s">
        <v>819</v>
      </c>
      <c r="K496" s="205">
        <v>-1.481927684480675</v>
      </c>
      <c r="L496" s="205">
        <v>6.9179768901526426</v>
      </c>
      <c r="M496" s="205" t="s">
        <v>825</v>
      </c>
    </row>
    <row r="497" spans="1:13" x14ac:dyDescent="0.25">
      <c r="A497">
        <v>496</v>
      </c>
      <c r="B497" t="s">
        <v>823</v>
      </c>
      <c r="C497" t="s">
        <v>830</v>
      </c>
      <c r="D497">
        <v>6</v>
      </c>
      <c r="E497" s="203">
        <v>-0.44437634117413966</v>
      </c>
      <c r="F497" s="203">
        <v>32.838525779916296</v>
      </c>
      <c r="G497" s="203" t="s">
        <v>819</v>
      </c>
      <c r="H497" s="204">
        <v>-0.62836388161339807</v>
      </c>
      <c r="I497" s="204">
        <v>26.488279609456406</v>
      </c>
      <c r="J497" s="204" t="s">
        <v>819</v>
      </c>
      <c r="K497" s="205">
        <v>1.1573150377264163</v>
      </c>
      <c r="L497" s="205">
        <v>87.642816404559312</v>
      </c>
      <c r="M497" s="205" t="s">
        <v>820</v>
      </c>
    </row>
    <row r="498" spans="1:13" x14ac:dyDescent="0.25">
      <c r="A498">
        <v>497</v>
      </c>
      <c r="B498" t="s">
        <v>823</v>
      </c>
      <c r="C498" t="s">
        <v>831</v>
      </c>
      <c r="D498">
        <v>7</v>
      </c>
      <c r="E498" s="203">
        <v>-2.534357303990924E-2</v>
      </c>
      <c r="F498" s="203">
        <v>48.9890459410272</v>
      </c>
      <c r="G498" s="203" t="s">
        <v>819</v>
      </c>
      <c r="H498" s="204">
        <v>-1.3987774026824795</v>
      </c>
      <c r="I498" s="204">
        <v>8.0939872338358416</v>
      </c>
      <c r="J498" s="204" t="s">
        <v>819</v>
      </c>
      <c r="K498" s="205">
        <v>-0.3999472064664697</v>
      </c>
      <c r="L498" s="205">
        <v>34.459770087695389</v>
      </c>
      <c r="M498" s="205" t="s">
        <v>819</v>
      </c>
    </row>
    <row r="499" spans="1:13" x14ac:dyDescent="0.25">
      <c r="A499">
        <v>498</v>
      </c>
      <c r="B499" t="s">
        <v>823</v>
      </c>
      <c r="C499" t="s">
        <v>831</v>
      </c>
      <c r="D499">
        <v>7</v>
      </c>
      <c r="E499" s="203">
        <v>-0.74681185984923282</v>
      </c>
      <c r="F499" s="203">
        <v>22.758856781345909</v>
      </c>
      <c r="G499" s="203" t="s">
        <v>819</v>
      </c>
      <c r="H499" s="204">
        <v>-48.351344325517339</v>
      </c>
      <c r="I499" s="204">
        <v>0</v>
      </c>
      <c r="J499" s="204" t="s">
        <v>824</v>
      </c>
      <c r="K499" s="205">
        <v>1.239092647430051</v>
      </c>
      <c r="L499" s="205">
        <v>89.234440519668482</v>
      </c>
      <c r="M499" s="205" t="s">
        <v>820</v>
      </c>
    </row>
    <row r="500" spans="1:13" x14ac:dyDescent="0.25">
      <c r="A500">
        <v>499</v>
      </c>
      <c r="B500" t="s">
        <v>823</v>
      </c>
      <c r="C500" t="s">
        <v>831</v>
      </c>
      <c r="D500">
        <v>7</v>
      </c>
      <c r="E500" s="203">
        <v>-0.77961686557016974</v>
      </c>
      <c r="F500" s="203">
        <v>21.780821282306878</v>
      </c>
      <c r="G500" s="203" t="s">
        <v>819</v>
      </c>
      <c r="H500" s="204">
        <v>-2.5190220385049993</v>
      </c>
      <c r="I500" s="204">
        <v>0.58840645346994558</v>
      </c>
      <c r="J500" s="204" t="s">
        <v>824</v>
      </c>
      <c r="K500" s="205">
        <v>0.41258044209962536</v>
      </c>
      <c r="L500" s="205">
        <v>66.004298352993303</v>
      </c>
      <c r="M500" s="205" t="s">
        <v>819</v>
      </c>
    </row>
    <row r="501" spans="1:13" x14ac:dyDescent="0.25">
      <c r="A501">
        <v>500</v>
      </c>
      <c r="B501" t="s">
        <v>823</v>
      </c>
      <c r="C501" t="s">
        <v>830</v>
      </c>
      <c r="D501">
        <v>7</v>
      </c>
      <c r="E501" s="203">
        <v>-0.1974652803360131</v>
      </c>
      <c r="F501" s="203">
        <v>42.173172438472974</v>
      </c>
      <c r="G501" s="203" t="s">
        <v>819</v>
      </c>
      <c r="H501" s="204">
        <v>-1.0822662594868644</v>
      </c>
      <c r="I501" s="204">
        <v>13.956711692053405</v>
      </c>
      <c r="J501" s="204" t="s">
        <v>819</v>
      </c>
      <c r="K501" s="205">
        <v>4.0263208597422082</v>
      </c>
      <c r="L501" s="205">
        <v>99.997167181691765</v>
      </c>
      <c r="M501" s="205" t="s">
        <v>820</v>
      </c>
    </row>
    <row r="502" spans="1:13" x14ac:dyDescent="0.25">
      <c r="A502">
        <v>501</v>
      </c>
      <c r="B502" t="s">
        <v>823</v>
      </c>
      <c r="C502" t="s">
        <v>830</v>
      </c>
      <c r="D502">
        <v>7</v>
      </c>
      <c r="E502" s="203">
        <v>-1.1673026841932701</v>
      </c>
      <c r="F502" s="203">
        <v>12.154407753231638</v>
      </c>
      <c r="G502" s="203" t="s">
        <v>819</v>
      </c>
      <c r="H502" s="204">
        <v>-1.1405948702820627</v>
      </c>
      <c r="I502" s="204">
        <v>12.701927646377309</v>
      </c>
      <c r="J502" s="204" t="s">
        <v>819</v>
      </c>
      <c r="K502" s="205">
        <v>-0.59187236415936895</v>
      </c>
      <c r="L502" s="205">
        <v>27.69680304877885</v>
      </c>
      <c r="M502" s="205" t="s">
        <v>819</v>
      </c>
    </row>
    <row r="503" spans="1:13" x14ac:dyDescent="0.25">
      <c r="A503">
        <v>502</v>
      </c>
      <c r="B503" t="s">
        <v>823</v>
      </c>
      <c r="C503" t="s">
        <v>830</v>
      </c>
      <c r="D503">
        <v>7</v>
      </c>
      <c r="E503" s="203">
        <v>-2.0003122702030245</v>
      </c>
      <c r="F503" s="203">
        <v>2.2733277442086481</v>
      </c>
      <c r="G503" s="203" t="s">
        <v>818</v>
      </c>
      <c r="H503" s="204">
        <v>0.56739902416297505</v>
      </c>
      <c r="I503" s="204">
        <v>71.477844363424282</v>
      </c>
      <c r="J503" s="204" t="s">
        <v>819</v>
      </c>
      <c r="K503" s="205">
        <v>-0.56348076404935088</v>
      </c>
      <c r="L503" s="205">
        <v>28.655377753512905</v>
      </c>
      <c r="M503" s="205" t="s">
        <v>819</v>
      </c>
    </row>
    <row r="504" spans="1:13" x14ac:dyDescent="0.25">
      <c r="A504">
        <v>503</v>
      </c>
      <c r="B504" t="s">
        <v>823</v>
      </c>
      <c r="C504" t="s">
        <v>831</v>
      </c>
      <c r="D504">
        <v>7</v>
      </c>
      <c r="E504" s="203">
        <v>-0.10957876980485322</v>
      </c>
      <c r="F504" s="203">
        <v>45.637172424492547</v>
      </c>
      <c r="G504" s="203" t="s">
        <v>819</v>
      </c>
      <c r="H504" s="204">
        <v>-0.83118733312883264</v>
      </c>
      <c r="I504" s="204">
        <v>20.293390471919178</v>
      </c>
      <c r="J504" s="204" t="s">
        <v>819</v>
      </c>
      <c r="K504" s="205">
        <v>0.16767286505655188</v>
      </c>
      <c r="L504" s="205">
        <v>56.657967776047457</v>
      </c>
      <c r="M504" s="205" t="s">
        <v>819</v>
      </c>
    </row>
    <row r="505" spans="1:13" x14ac:dyDescent="0.25">
      <c r="A505">
        <v>504</v>
      </c>
      <c r="B505" t="s">
        <v>823</v>
      </c>
      <c r="C505" t="s">
        <v>831</v>
      </c>
      <c r="D505">
        <v>7</v>
      </c>
      <c r="E505" s="203">
        <v>-0.37856410321285261</v>
      </c>
      <c r="F505" s="203">
        <v>35.250579147851838</v>
      </c>
      <c r="G505" s="203" t="s">
        <v>819</v>
      </c>
      <c r="H505" s="204">
        <v>-0.87269183134020945</v>
      </c>
      <c r="I505" s="204">
        <v>19.141553565985252</v>
      </c>
      <c r="J505" s="204" t="s">
        <v>819</v>
      </c>
      <c r="K505" s="205">
        <v>-0.47281829057297453</v>
      </c>
      <c r="L505" s="205">
        <v>31.817141183173913</v>
      </c>
      <c r="M505" s="205" t="s">
        <v>819</v>
      </c>
    </row>
    <row r="506" spans="1:13" x14ac:dyDescent="0.25">
      <c r="A506">
        <v>505</v>
      </c>
      <c r="B506" t="s">
        <v>823</v>
      </c>
      <c r="C506" t="s">
        <v>831</v>
      </c>
      <c r="D506">
        <v>7</v>
      </c>
      <c r="E506" s="203">
        <v>-1.1228310697236956</v>
      </c>
      <c r="F506" s="203">
        <v>13.075462356041589</v>
      </c>
      <c r="G506" s="203" t="s">
        <v>819</v>
      </c>
      <c r="H506" s="204">
        <v>-3.3964805198538439</v>
      </c>
      <c r="I506" s="204">
        <v>3.4129207875459026E-2</v>
      </c>
      <c r="J506" s="204" t="s">
        <v>824</v>
      </c>
      <c r="K506" s="205">
        <v>-0.99346490194978265</v>
      </c>
      <c r="L506" s="205">
        <v>16.024172328779397</v>
      </c>
      <c r="M506" s="205" t="s">
        <v>819</v>
      </c>
    </row>
    <row r="507" spans="1:13" x14ac:dyDescent="0.25">
      <c r="A507">
        <v>506</v>
      </c>
      <c r="B507" t="s">
        <v>823</v>
      </c>
      <c r="C507" t="s">
        <v>830</v>
      </c>
      <c r="D507">
        <v>8</v>
      </c>
      <c r="E507" s="203">
        <v>-1.0870874770828844</v>
      </c>
      <c r="F507" s="203">
        <v>13.849907585261526</v>
      </c>
      <c r="G507" s="203" t="s">
        <v>819</v>
      </c>
      <c r="H507" s="204">
        <v>-0.59701403581563484</v>
      </c>
      <c r="I507" s="204">
        <v>27.524900483900971</v>
      </c>
      <c r="J507" s="204" t="s">
        <v>819</v>
      </c>
      <c r="K507" s="205">
        <v>0.13673840100194495</v>
      </c>
      <c r="L507" s="205">
        <v>55.438121250433049</v>
      </c>
      <c r="M507" s="205" t="s">
        <v>819</v>
      </c>
    </row>
    <row r="508" spans="1:13" x14ac:dyDescent="0.25">
      <c r="A508">
        <v>507</v>
      </c>
      <c r="B508" t="s">
        <v>823</v>
      </c>
      <c r="C508" t="s">
        <v>830</v>
      </c>
      <c r="D508">
        <v>7</v>
      </c>
      <c r="E508" s="203">
        <v>-0.26313764821558111</v>
      </c>
      <c r="F508" s="203">
        <v>39.622224352195524</v>
      </c>
      <c r="G508" s="203" t="s">
        <v>819</v>
      </c>
      <c r="H508" s="204">
        <v>-0.52827522764158341</v>
      </c>
      <c r="I508" s="204">
        <v>29.865416137426475</v>
      </c>
      <c r="J508" s="204" t="s">
        <v>819</v>
      </c>
      <c r="K508" s="205">
        <v>-7.0013381853586187E-2</v>
      </c>
      <c r="L508" s="205">
        <v>47.209150429831695</v>
      </c>
      <c r="M508" s="205" t="s">
        <v>819</v>
      </c>
    </row>
    <row r="509" spans="1:13" x14ac:dyDescent="0.25">
      <c r="A509">
        <v>508</v>
      </c>
      <c r="B509" t="s">
        <v>823</v>
      </c>
      <c r="C509" t="s">
        <v>830</v>
      </c>
      <c r="D509">
        <v>6</v>
      </c>
      <c r="E509" s="203">
        <v>-2.2554855273801748</v>
      </c>
      <c r="F509" s="203">
        <v>1.2051434847085931</v>
      </c>
      <c r="G509" s="203" t="s">
        <v>818</v>
      </c>
      <c r="H509" s="204">
        <v>2.4519137579817458E-2</v>
      </c>
      <c r="I509" s="204">
        <v>50.978074063892485</v>
      </c>
      <c r="J509" s="204" t="s">
        <v>819</v>
      </c>
      <c r="K509" s="205">
        <v>-0.61203673670848457</v>
      </c>
      <c r="L509" s="205">
        <v>27.025672604083113</v>
      </c>
      <c r="M509" s="205" t="s">
        <v>819</v>
      </c>
    </row>
    <row r="510" spans="1:13" x14ac:dyDescent="0.25">
      <c r="A510">
        <v>509</v>
      </c>
      <c r="B510" t="s">
        <v>823</v>
      </c>
      <c r="C510" t="s">
        <v>830</v>
      </c>
      <c r="D510">
        <v>7</v>
      </c>
      <c r="E510" s="203">
        <v>-1.7442591716309268</v>
      </c>
      <c r="F510" s="203">
        <v>4.0556953774766802</v>
      </c>
      <c r="G510" s="203" t="s">
        <v>818</v>
      </c>
      <c r="H510" s="204">
        <v>-0.82017866074138668</v>
      </c>
      <c r="I510" s="204">
        <v>20.605713250906017</v>
      </c>
      <c r="J510" s="204" t="s">
        <v>819</v>
      </c>
      <c r="K510" s="205">
        <v>-0.69252117261317525</v>
      </c>
      <c r="L510" s="205">
        <v>24.430504715675301</v>
      </c>
      <c r="M510" s="205" t="s">
        <v>819</v>
      </c>
    </row>
    <row r="511" spans="1:13" x14ac:dyDescent="0.25">
      <c r="A511">
        <v>510</v>
      </c>
      <c r="B511" t="s">
        <v>815</v>
      </c>
      <c r="C511" t="s">
        <v>830</v>
      </c>
      <c r="D511">
        <v>6</v>
      </c>
      <c r="E511" s="203">
        <v>0.31506138687639623</v>
      </c>
      <c r="F511" s="203">
        <v>62.364247730867064</v>
      </c>
      <c r="G511" s="203" t="s">
        <v>819</v>
      </c>
      <c r="H511" s="204">
        <v>-0.46559625357521961</v>
      </c>
      <c r="I511" s="204">
        <v>32.075226256379388</v>
      </c>
      <c r="J511" s="204" t="s">
        <v>819</v>
      </c>
      <c r="K511" s="205">
        <v>-1.4491622288761421</v>
      </c>
      <c r="L511" s="205">
        <v>7.364614147614108</v>
      </c>
      <c r="M511" s="205" t="s">
        <v>825</v>
      </c>
    </row>
    <row r="512" spans="1:13" x14ac:dyDescent="0.25">
      <c r="A512">
        <v>511</v>
      </c>
      <c r="B512" t="s">
        <v>815</v>
      </c>
      <c r="C512" t="s">
        <v>830</v>
      </c>
      <c r="D512">
        <v>6</v>
      </c>
      <c r="E512" s="203">
        <v>0.31506138687639623</v>
      </c>
      <c r="F512" s="203">
        <v>62.364247730867064</v>
      </c>
      <c r="G512" s="203" t="s">
        <v>819</v>
      </c>
      <c r="H512" s="204">
        <v>-1.2067494532365608</v>
      </c>
      <c r="I512" s="204">
        <v>11.376432381586062</v>
      </c>
      <c r="J512" s="204" t="s">
        <v>819</v>
      </c>
      <c r="K512" s="205">
        <v>-0.98525484417808118</v>
      </c>
      <c r="L512" s="205">
        <v>16.224945360436895</v>
      </c>
      <c r="M512" s="205" t="s">
        <v>819</v>
      </c>
    </row>
    <row r="513" spans="1:13" x14ac:dyDescent="0.25">
      <c r="A513">
        <v>512</v>
      </c>
      <c r="B513" t="s">
        <v>815</v>
      </c>
      <c r="C513" t="s">
        <v>830</v>
      </c>
      <c r="D513">
        <v>6</v>
      </c>
      <c r="E513" s="203">
        <v>0.12058415789450147</v>
      </c>
      <c r="F513" s="203">
        <v>54.798979128067479</v>
      </c>
      <c r="G513" s="203" t="s">
        <v>819</v>
      </c>
      <c r="H513" s="204">
        <v>-1.1515318498549438</v>
      </c>
      <c r="I513" s="204">
        <v>12.475675001841632</v>
      </c>
      <c r="J513" s="204" t="s">
        <v>819</v>
      </c>
      <c r="K513" s="205">
        <v>1.0077859395355671</v>
      </c>
      <c r="L513" s="205">
        <v>84.32213813369755</v>
      </c>
      <c r="M513" s="205" t="s">
        <v>819</v>
      </c>
    </row>
    <row r="514" spans="1:13" x14ac:dyDescent="0.25">
      <c r="A514">
        <v>513</v>
      </c>
      <c r="B514" t="s">
        <v>815</v>
      </c>
      <c r="C514" t="s">
        <v>831</v>
      </c>
      <c r="D514">
        <v>6</v>
      </c>
      <c r="E514" s="203">
        <v>0.10350699086469869</v>
      </c>
      <c r="F514" s="203">
        <v>54.121969930478109</v>
      </c>
      <c r="G514" s="203" t="s">
        <v>819</v>
      </c>
      <c r="H514" s="204">
        <v>-0.23105440998320104</v>
      </c>
      <c r="I514" s="204">
        <v>40.863626618598325</v>
      </c>
      <c r="J514" s="204" t="s">
        <v>819</v>
      </c>
      <c r="K514" s="205">
        <v>3.8892994296416301E-2</v>
      </c>
      <c r="L514" s="205">
        <v>51.551214895688211</v>
      </c>
      <c r="M514" s="205" t="s">
        <v>819</v>
      </c>
    </row>
    <row r="515" spans="1:13" x14ac:dyDescent="0.25">
      <c r="A515">
        <v>514</v>
      </c>
      <c r="B515" t="s">
        <v>815</v>
      </c>
      <c r="C515" t="s">
        <v>831</v>
      </c>
      <c r="D515">
        <v>6</v>
      </c>
      <c r="E515" s="203">
        <v>1.0426014461786028</v>
      </c>
      <c r="F515" s="203">
        <v>85.143354040173904</v>
      </c>
      <c r="G515" s="203" t="s">
        <v>819</v>
      </c>
      <c r="H515" s="204">
        <v>-1.7967928717935491</v>
      </c>
      <c r="I515" s="204">
        <v>3.6184254214803859</v>
      </c>
      <c r="J515" s="204" t="s">
        <v>824</v>
      </c>
      <c r="K515" s="205">
        <v>-0.41804615236417358</v>
      </c>
      <c r="L515" s="205">
        <v>33.795668690690214</v>
      </c>
      <c r="M515" s="205" t="s">
        <v>819</v>
      </c>
    </row>
    <row r="516" spans="1:13" x14ac:dyDescent="0.25">
      <c r="A516">
        <v>515</v>
      </c>
      <c r="B516" t="s">
        <v>815</v>
      </c>
      <c r="C516" t="s">
        <v>830</v>
      </c>
      <c r="D516">
        <v>6</v>
      </c>
      <c r="E516" s="203">
        <v>-0.470514655313854</v>
      </c>
      <c r="F516" s="203">
        <v>31.899368311230848</v>
      </c>
      <c r="G516" s="203" t="s">
        <v>819</v>
      </c>
      <c r="H516" s="204">
        <v>-8.6389202619475261E-2</v>
      </c>
      <c r="I516" s="204">
        <v>46.557851495171811</v>
      </c>
      <c r="J516" s="204" t="s">
        <v>819</v>
      </c>
      <c r="K516" s="205">
        <v>0.86784874072544882</v>
      </c>
      <c r="L516" s="205">
        <v>80.726142831057274</v>
      </c>
      <c r="M516" s="205" t="s">
        <v>819</v>
      </c>
    </row>
    <row r="517" spans="1:13" x14ac:dyDescent="0.25">
      <c r="A517">
        <v>516</v>
      </c>
      <c r="B517" t="s">
        <v>815</v>
      </c>
      <c r="C517" t="s">
        <v>830</v>
      </c>
      <c r="D517">
        <v>6</v>
      </c>
      <c r="E517" s="203">
        <v>1.3537901249855119E-2</v>
      </c>
      <c r="F517" s="203">
        <v>50.540067622801367</v>
      </c>
      <c r="G517" s="203" t="s">
        <v>819</v>
      </c>
      <c r="H517" s="204">
        <v>-1.2372624522057718</v>
      </c>
      <c r="I517" s="204">
        <v>10.799483134896921</v>
      </c>
      <c r="J517" s="204" t="s">
        <v>819</v>
      </c>
      <c r="K517" s="205">
        <v>-0.78698669938749888</v>
      </c>
      <c r="L517" s="205">
        <v>21.564482612743994</v>
      </c>
      <c r="M517" s="205" t="s">
        <v>819</v>
      </c>
    </row>
    <row r="518" spans="1:13" x14ac:dyDescent="0.25">
      <c r="A518">
        <v>517</v>
      </c>
      <c r="B518" t="s">
        <v>815</v>
      </c>
      <c r="C518" t="s">
        <v>830</v>
      </c>
      <c r="D518">
        <v>6</v>
      </c>
      <c r="E518" s="203">
        <v>-0.16072756619205489</v>
      </c>
      <c r="F518" s="203">
        <v>43.615398850882094</v>
      </c>
      <c r="G518" s="203" t="s">
        <v>819</v>
      </c>
      <c r="H518" s="204">
        <v>-2.356504092947858</v>
      </c>
      <c r="I518" s="204">
        <v>0.92239321738119029</v>
      </c>
      <c r="J518" s="204" t="s">
        <v>824</v>
      </c>
      <c r="K518" s="205">
        <v>3.5176598894155933</v>
      </c>
      <c r="L518" s="205">
        <v>99.978231501054665</v>
      </c>
      <c r="M518" s="205" t="s">
        <v>820</v>
      </c>
    </row>
    <row r="519" spans="1:13" x14ac:dyDescent="0.25">
      <c r="A519">
        <v>518</v>
      </c>
      <c r="B519" t="s">
        <v>815</v>
      </c>
      <c r="C519" t="s">
        <v>830</v>
      </c>
      <c r="D519">
        <v>6</v>
      </c>
      <c r="E519" s="203">
        <v>-1.0418904035180829</v>
      </c>
      <c r="F519" s="203">
        <v>14.87312469084805</v>
      </c>
      <c r="G519" s="203" t="s">
        <v>819</v>
      </c>
      <c r="H519" s="204">
        <v>-1.0964262744651228</v>
      </c>
      <c r="I519" s="204">
        <v>13.644613544556039</v>
      </c>
      <c r="J519" s="204" t="s">
        <v>819</v>
      </c>
      <c r="K519" s="205">
        <v>0.19979487053214348</v>
      </c>
      <c r="L519" s="205">
        <v>57.917949341448541</v>
      </c>
      <c r="M519" s="205" t="s">
        <v>819</v>
      </c>
    </row>
    <row r="520" spans="1:13" x14ac:dyDescent="0.25">
      <c r="A520">
        <v>519</v>
      </c>
      <c r="B520" t="s">
        <v>815</v>
      </c>
      <c r="C520" t="s">
        <v>831</v>
      </c>
      <c r="D520">
        <v>6</v>
      </c>
      <c r="E520" s="203">
        <v>-1.000941079161539</v>
      </c>
      <c r="F520" s="203">
        <v>15.842764747315874</v>
      </c>
      <c r="G520" s="203" t="s">
        <v>819</v>
      </c>
      <c r="H520" s="204">
        <v>-48.379783326543887</v>
      </c>
      <c r="I520" s="204">
        <v>0</v>
      </c>
      <c r="J520" s="204" t="s">
        <v>824</v>
      </c>
      <c r="K520" s="205">
        <v>7.6238238631857511E-2</v>
      </c>
      <c r="L520" s="205">
        <v>53.038521941493919</v>
      </c>
      <c r="M520" s="205" t="s">
        <v>819</v>
      </c>
    </row>
    <row r="521" spans="1:13" x14ac:dyDescent="0.25">
      <c r="A521">
        <v>520</v>
      </c>
      <c r="B521" t="s">
        <v>815</v>
      </c>
      <c r="C521" t="s">
        <v>831</v>
      </c>
      <c r="D521">
        <v>5</v>
      </c>
      <c r="E521" s="203">
        <v>3.0178841045291596</v>
      </c>
      <c r="F521" s="203">
        <v>99.872726883974863</v>
      </c>
      <c r="G521" s="203" t="s">
        <v>816</v>
      </c>
      <c r="H521" s="204">
        <v>-0.34721134259538661</v>
      </c>
      <c r="I521" s="204">
        <v>36.421627507237794</v>
      </c>
      <c r="J521" s="204" t="s">
        <v>819</v>
      </c>
      <c r="K521" s="205">
        <v>0.32488520335076915</v>
      </c>
      <c r="L521" s="205">
        <v>62.736602201428646</v>
      </c>
      <c r="M521" s="205" t="s">
        <v>819</v>
      </c>
    </row>
    <row r="522" spans="1:13" x14ac:dyDescent="0.25">
      <c r="A522">
        <v>521</v>
      </c>
      <c r="B522" t="s">
        <v>815</v>
      </c>
      <c r="C522" t="s">
        <v>831</v>
      </c>
      <c r="D522">
        <v>6</v>
      </c>
      <c r="E522" s="203">
        <v>-1.1516014491664313</v>
      </c>
      <c r="F522" s="203">
        <v>12.474244281325797</v>
      </c>
      <c r="G522" s="203" t="s">
        <v>819</v>
      </c>
      <c r="H522" s="204">
        <v>-3.5226476067068053</v>
      </c>
      <c r="I522" s="204">
        <v>2.1362952306310481E-2</v>
      </c>
      <c r="J522" s="204" t="s">
        <v>824</v>
      </c>
      <c r="K522" s="205">
        <v>-0.57760219584746064</v>
      </c>
      <c r="L522" s="205">
        <v>28.176636204840388</v>
      </c>
      <c r="M522" s="205" t="s">
        <v>819</v>
      </c>
    </row>
    <row r="523" spans="1:13" x14ac:dyDescent="0.25">
      <c r="A523">
        <v>522</v>
      </c>
      <c r="B523" t="s">
        <v>815</v>
      </c>
      <c r="C523" t="s">
        <v>831</v>
      </c>
      <c r="D523">
        <v>6</v>
      </c>
      <c r="E523" s="203">
        <v>-0.40190157206801103</v>
      </c>
      <c r="F523" s="203">
        <v>34.387823286290008</v>
      </c>
      <c r="G523" s="203" t="s">
        <v>819</v>
      </c>
      <c r="H523" s="204">
        <v>-2.5456565615899924</v>
      </c>
      <c r="I523" s="204">
        <v>0.54536220150561465</v>
      </c>
      <c r="J523" s="204" t="s">
        <v>824</v>
      </c>
      <c r="K523" s="205">
        <v>0.61185992946494516</v>
      </c>
      <c r="L523" s="205">
        <v>72.968478247321428</v>
      </c>
      <c r="M523" s="205" t="s">
        <v>819</v>
      </c>
    </row>
    <row r="524" spans="1:13" x14ac:dyDescent="0.25">
      <c r="A524">
        <v>523</v>
      </c>
      <c r="B524" t="s">
        <v>815</v>
      </c>
      <c r="C524" t="s">
        <v>830</v>
      </c>
      <c r="D524">
        <v>6</v>
      </c>
      <c r="E524" s="203">
        <v>1.4174684012348333</v>
      </c>
      <c r="F524" s="203">
        <v>92.182698672909524</v>
      </c>
      <c r="G524" s="203" t="s">
        <v>819</v>
      </c>
      <c r="H524" s="204">
        <v>-1.2970829755194049</v>
      </c>
      <c r="I524" s="204">
        <v>9.7301319269617075</v>
      </c>
      <c r="J524" s="204" t="s">
        <v>819</v>
      </c>
      <c r="K524" s="205">
        <v>0.37690276643751602</v>
      </c>
      <c r="L524" s="205">
        <v>64.687706726535595</v>
      </c>
      <c r="M524" s="205" t="s">
        <v>819</v>
      </c>
    </row>
    <row r="525" spans="1:13" x14ac:dyDescent="0.25">
      <c r="A525">
        <v>524</v>
      </c>
      <c r="B525" t="s">
        <v>815</v>
      </c>
      <c r="C525" t="s">
        <v>831</v>
      </c>
      <c r="D525">
        <v>6</v>
      </c>
      <c r="E525" s="203">
        <v>0.65956525792245291</v>
      </c>
      <c r="F525" s="203">
        <v>74.523357232213669</v>
      </c>
      <c r="G525" s="203" t="s">
        <v>819</v>
      </c>
      <c r="H525" s="204">
        <v>-1.463757114958792</v>
      </c>
      <c r="I525" s="204">
        <v>7.1630161879348755</v>
      </c>
      <c r="J525" s="204" t="s">
        <v>819</v>
      </c>
      <c r="K525" s="205">
        <v>3.1188984233051662</v>
      </c>
      <c r="L525" s="205">
        <v>99.909235734820712</v>
      </c>
      <c r="M525" s="205" t="s">
        <v>820</v>
      </c>
    </row>
    <row r="526" spans="1:13" x14ac:dyDescent="0.25">
      <c r="A526">
        <v>525</v>
      </c>
      <c r="B526" t="s">
        <v>815</v>
      </c>
      <c r="C526" t="s">
        <v>831</v>
      </c>
      <c r="D526">
        <v>5</v>
      </c>
      <c r="E526" s="203">
        <v>-0.42633115178012104</v>
      </c>
      <c r="F526" s="203">
        <v>33.493328073307339</v>
      </c>
      <c r="G526" s="203" t="s">
        <v>819</v>
      </c>
      <c r="H526" s="204">
        <v>-0.93047097824682756</v>
      </c>
      <c r="I526" s="204">
        <v>17.606364184246047</v>
      </c>
      <c r="J526" s="204" t="s">
        <v>819</v>
      </c>
      <c r="K526" s="205">
        <v>-4.9975977813799755E-2</v>
      </c>
      <c r="L526" s="205">
        <v>48.007076566126955</v>
      </c>
      <c r="M526" s="205" t="s">
        <v>819</v>
      </c>
    </row>
    <row r="527" spans="1:13" x14ac:dyDescent="0.25">
      <c r="A527">
        <v>526</v>
      </c>
      <c r="B527" t="s">
        <v>815</v>
      </c>
      <c r="C527" t="s">
        <v>830</v>
      </c>
      <c r="D527">
        <v>5</v>
      </c>
      <c r="E527" s="203">
        <v>0.7339780348286028</v>
      </c>
      <c r="F527" s="203">
        <v>76.851893737323905</v>
      </c>
      <c r="G527" s="203" t="s">
        <v>819</v>
      </c>
      <c r="H527" s="204">
        <v>-2.529978810913482</v>
      </c>
      <c r="I527" s="204">
        <v>0.57034707591397649</v>
      </c>
      <c r="J527" s="204" t="s">
        <v>824</v>
      </c>
      <c r="K527" s="205">
        <v>-1.0324925982888116</v>
      </c>
      <c r="L527" s="205">
        <v>15.092070664249027</v>
      </c>
      <c r="M527" s="205" t="s">
        <v>819</v>
      </c>
    </row>
    <row r="528" spans="1:13" x14ac:dyDescent="0.25">
      <c r="A528">
        <v>527</v>
      </c>
      <c r="B528" t="s">
        <v>815</v>
      </c>
      <c r="C528" t="s">
        <v>831</v>
      </c>
      <c r="D528">
        <v>5</v>
      </c>
      <c r="E528" s="203">
        <v>0.4640079326134175</v>
      </c>
      <c r="F528" s="203">
        <v>67.867896886073268</v>
      </c>
      <c r="G528" s="203" t="s">
        <v>819</v>
      </c>
      <c r="H528" s="204">
        <v>-0.36660955823485936</v>
      </c>
      <c r="I528" s="204">
        <v>35.695513874861916</v>
      </c>
      <c r="J528" s="204" t="s">
        <v>819</v>
      </c>
      <c r="K528" s="205">
        <v>1.7519045201465815</v>
      </c>
      <c r="L528" s="205">
        <v>96.010488640622697</v>
      </c>
      <c r="M528" s="205" t="s">
        <v>820</v>
      </c>
    </row>
    <row r="529" spans="1:13" x14ac:dyDescent="0.25">
      <c r="A529">
        <v>528</v>
      </c>
      <c r="B529" t="s">
        <v>815</v>
      </c>
      <c r="C529" t="s">
        <v>831</v>
      </c>
      <c r="D529">
        <v>5</v>
      </c>
      <c r="E529" s="203">
        <v>0.4640079326134175</v>
      </c>
      <c r="F529" s="203">
        <v>67.867896886073268</v>
      </c>
      <c r="G529" s="203" t="s">
        <v>819</v>
      </c>
      <c r="H529" s="204">
        <v>-0.96591475083245937</v>
      </c>
      <c r="I529" s="204">
        <v>16.704342027147021</v>
      </c>
      <c r="J529" s="204" t="s">
        <v>819</v>
      </c>
      <c r="K529" s="205">
        <v>1.2918924669926311</v>
      </c>
      <c r="L529" s="205">
        <v>90.180280657774972</v>
      </c>
      <c r="M529" s="205" t="s">
        <v>820</v>
      </c>
    </row>
    <row r="530" spans="1:13" x14ac:dyDescent="0.25">
      <c r="A530">
        <v>529</v>
      </c>
      <c r="B530" t="s">
        <v>815</v>
      </c>
      <c r="C530" t="s">
        <v>830</v>
      </c>
      <c r="D530">
        <v>6</v>
      </c>
      <c r="E530" s="203">
        <v>1.0248330372151211</v>
      </c>
      <c r="F530" s="203">
        <v>84.727901248385649</v>
      </c>
      <c r="G530" s="203" t="s">
        <v>819</v>
      </c>
      <c r="H530" s="204">
        <v>0.41442139047626975</v>
      </c>
      <c r="I530" s="204">
        <v>66.071723691719214</v>
      </c>
      <c r="J530" s="204" t="s">
        <v>819</v>
      </c>
      <c r="K530" s="205">
        <v>-2.6003898159861518</v>
      </c>
      <c r="L530" s="205">
        <v>0.46558958476264284</v>
      </c>
      <c r="M530" s="205" t="s">
        <v>818</v>
      </c>
    </row>
    <row r="531" spans="1:13" x14ac:dyDescent="0.25">
      <c r="A531">
        <v>530</v>
      </c>
      <c r="B531" t="s">
        <v>815</v>
      </c>
      <c r="C531" t="s">
        <v>830</v>
      </c>
      <c r="D531">
        <v>6</v>
      </c>
      <c r="E531" s="203">
        <v>-0.3543052684587702</v>
      </c>
      <c r="F531" s="203">
        <v>36.155505992930273</v>
      </c>
      <c r="G531" s="203" t="s">
        <v>819</v>
      </c>
      <c r="H531" s="204">
        <v>-0.40202421918324582</v>
      </c>
      <c r="I531" s="204">
        <v>34.383310112907026</v>
      </c>
      <c r="J531" s="204" t="s">
        <v>819</v>
      </c>
      <c r="K531" s="205">
        <v>-1.1382244271840718</v>
      </c>
      <c r="L531" s="205">
        <v>12.751339060254367</v>
      </c>
      <c r="M531" s="205" t="s">
        <v>825</v>
      </c>
    </row>
    <row r="532" spans="1:13" x14ac:dyDescent="0.25">
      <c r="A532">
        <v>531</v>
      </c>
      <c r="B532" t="s">
        <v>815</v>
      </c>
      <c r="C532" t="s">
        <v>830</v>
      </c>
      <c r="D532">
        <v>6</v>
      </c>
      <c r="E532" s="203">
        <v>-6.8306637055047414E-2</v>
      </c>
      <c r="F532" s="203">
        <v>47.277077043270175</v>
      </c>
      <c r="G532" s="203" t="s">
        <v>819</v>
      </c>
      <c r="H532" s="204">
        <v>-0.14165732623690222</v>
      </c>
      <c r="I532" s="204">
        <v>44.367534182991534</v>
      </c>
      <c r="J532" s="204" t="s">
        <v>819</v>
      </c>
      <c r="K532" s="205">
        <v>-1.524390510278844</v>
      </c>
      <c r="L532" s="205">
        <v>6.3705594626813093</v>
      </c>
      <c r="M532" s="205" t="s">
        <v>825</v>
      </c>
    </row>
    <row r="533" spans="1:13" x14ac:dyDescent="0.25">
      <c r="A533">
        <v>532</v>
      </c>
      <c r="B533" t="s">
        <v>815</v>
      </c>
      <c r="C533" t="s">
        <v>831</v>
      </c>
      <c r="D533">
        <v>6</v>
      </c>
      <c r="E533" s="203">
        <v>-0.17198952530893982</v>
      </c>
      <c r="F533" s="203">
        <v>43.172288194217401</v>
      </c>
      <c r="G533" s="203" t="s">
        <v>819</v>
      </c>
      <c r="H533" s="204">
        <v>-1.0323069376484142</v>
      </c>
      <c r="I533" s="204">
        <v>15.096417604585586</v>
      </c>
      <c r="J533" s="204" t="s">
        <v>819</v>
      </c>
      <c r="K533" s="205">
        <v>1.6438933429948255</v>
      </c>
      <c r="L533" s="205">
        <v>94.990088225546941</v>
      </c>
      <c r="M533" s="205" t="s">
        <v>820</v>
      </c>
    </row>
    <row r="534" spans="1:13" x14ac:dyDescent="0.25">
      <c r="A534">
        <v>533</v>
      </c>
      <c r="B534" t="s">
        <v>815</v>
      </c>
      <c r="C534" t="s">
        <v>831</v>
      </c>
      <c r="D534">
        <v>6</v>
      </c>
      <c r="E534" s="203">
        <v>-0.18446056047331005</v>
      </c>
      <c r="F534" s="203">
        <v>42.682608219932327</v>
      </c>
      <c r="G534" s="203" t="s">
        <v>819</v>
      </c>
      <c r="H534" s="204">
        <v>-0.47942297261557959</v>
      </c>
      <c r="I534" s="204">
        <v>31.581887692325694</v>
      </c>
      <c r="J534" s="204" t="s">
        <v>819</v>
      </c>
      <c r="K534" s="205">
        <v>1.5380242950411205</v>
      </c>
      <c r="L534" s="205">
        <v>93.797866270084157</v>
      </c>
      <c r="M534" s="205" t="s">
        <v>820</v>
      </c>
    </row>
    <row r="535" spans="1:13" x14ac:dyDescent="0.25">
      <c r="A535">
        <v>534</v>
      </c>
      <c r="B535" t="s">
        <v>815</v>
      </c>
      <c r="C535" t="s">
        <v>830</v>
      </c>
      <c r="D535">
        <v>6</v>
      </c>
      <c r="E535" s="203">
        <v>-0.18702359874800226</v>
      </c>
      <c r="F535" s="203">
        <v>42.582106513250451</v>
      </c>
      <c r="G535" s="203" t="s">
        <v>819</v>
      </c>
      <c r="H535" s="204">
        <v>-1.2081667661890687</v>
      </c>
      <c r="I535" s="204">
        <v>11.34915611577715</v>
      </c>
      <c r="J535" s="204" t="s">
        <v>819</v>
      </c>
      <c r="K535" s="205">
        <v>-0.44386873876659239</v>
      </c>
      <c r="L535" s="205">
        <v>32.856874364346524</v>
      </c>
      <c r="M535" s="205" t="s">
        <v>819</v>
      </c>
    </row>
    <row r="536" spans="1:13" x14ac:dyDescent="0.25">
      <c r="A536">
        <v>535</v>
      </c>
      <c r="B536" t="s">
        <v>815</v>
      </c>
      <c r="C536" t="s">
        <v>830</v>
      </c>
      <c r="D536">
        <v>6</v>
      </c>
      <c r="E536" s="203">
        <v>5.0275754011962031</v>
      </c>
      <c r="F536" s="203">
        <v>99.999975163990044</v>
      </c>
      <c r="G536" s="203" t="s">
        <v>816</v>
      </c>
      <c r="H536" s="204">
        <v>-0.5644642112121171</v>
      </c>
      <c r="I536" s="204">
        <v>28.621912497200917</v>
      </c>
      <c r="J536" s="204" t="s">
        <v>819</v>
      </c>
      <c r="K536" s="205">
        <v>1.1338980325276398</v>
      </c>
      <c r="L536" s="205">
        <v>87.15813387420171</v>
      </c>
      <c r="M536" s="205" t="s">
        <v>820</v>
      </c>
    </row>
    <row r="537" spans="1:13" x14ac:dyDescent="0.25">
      <c r="A537">
        <v>536</v>
      </c>
      <c r="B537" t="s">
        <v>815</v>
      </c>
      <c r="C537" t="s">
        <v>830</v>
      </c>
      <c r="D537">
        <v>6</v>
      </c>
      <c r="E537" s="203">
        <v>-1.4108478656351806</v>
      </c>
      <c r="F537" s="203">
        <v>7.9144738648871558</v>
      </c>
      <c r="G537" s="203" t="s">
        <v>819</v>
      </c>
      <c r="H537" s="204">
        <v>3.4141887495487082</v>
      </c>
      <c r="I537" s="204">
        <v>99.96801387973052</v>
      </c>
      <c r="J537" s="204" t="s">
        <v>817</v>
      </c>
      <c r="K537" s="205">
        <v>2.5661836107227769</v>
      </c>
      <c r="L537" s="205">
        <v>99.485878085990549</v>
      </c>
      <c r="M537" s="205" t="s">
        <v>820</v>
      </c>
    </row>
    <row r="538" spans="1:13" x14ac:dyDescent="0.25">
      <c r="A538">
        <v>537</v>
      </c>
      <c r="B538" t="s">
        <v>815</v>
      </c>
      <c r="C538" t="s">
        <v>831</v>
      </c>
      <c r="D538">
        <v>6</v>
      </c>
      <c r="E538" s="203">
        <v>-0.19688220295394107</v>
      </c>
      <c r="F538" s="203">
        <v>42.195986053917792</v>
      </c>
      <c r="G538" s="203" t="s">
        <v>819</v>
      </c>
      <c r="H538" s="204">
        <v>-1.778210684885188</v>
      </c>
      <c r="I538" s="204">
        <v>3.7684629359902133</v>
      </c>
      <c r="J538" s="204" t="s">
        <v>824</v>
      </c>
      <c r="K538" s="205">
        <v>1.616709267891137</v>
      </c>
      <c r="L538" s="205">
        <v>94.702947378563195</v>
      </c>
      <c r="M538" s="205" t="s">
        <v>820</v>
      </c>
    </row>
    <row r="539" spans="1:13" x14ac:dyDescent="0.25">
      <c r="A539">
        <v>538</v>
      </c>
      <c r="B539" t="s">
        <v>815</v>
      </c>
      <c r="C539" t="s">
        <v>830</v>
      </c>
      <c r="D539">
        <v>6</v>
      </c>
      <c r="E539" s="203">
        <v>0.71753264286939189</v>
      </c>
      <c r="F539" s="203">
        <v>76.347724889512008</v>
      </c>
      <c r="G539" s="203" t="s">
        <v>819</v>
      </c>
      <c r="H539" s="204">
        <v>0.57418057130825972</v>
      </c>
      <c r="I539" s="204">
        <v>71.707719236943319</v>
      </c>
      <c r="J539" s="204" t="s">
        <v>819</v>
      </c>
      <c r="K539" s="205">
        <v>-0.29157004267439968</v>
      </c>
      <c r="L539" s="205">
        <v>38.530769154966116</v>
      </c>
      <c r="M539" s="205" t="s">
        <v>819</v>
      </c>
    </row>
    <row r="540" spans="1:13" x14ac:dyDescent="0.25">
      <c r="A540">
        <v>539</v>
      </c>
      <c r="B540" t="s">
        <v>815</v>
      </c>
      <c r="C540" t="s">
        <v>831</v>
      </c>
      <c r="D540">
        <v>5</v>
      </c>
      <c r="E540" s="203">
        <v>0.26683236806725691</v>
      </c>
      <c r="F540" s="203">
        <v>60.520088430457896</v>
      </c>
      <c r="G540" s="203" t="s">
        <v>819</v>
      </c>
      <c r="H540" s="204">
        <v>-0.84770602759135927</v>
      </c>
      <c r="I540" s="204">
        <v>19.830085433372798</v>
      </c>
      <c r="J540" s="204" t="s">
        <v>819</v>
      </c>
      <c r="K540" s="205">
        <v>1.8786456907669273</v>
      </c>
      <c r="L540" s="205">
        <v>96.985355601993149</v>
      </c>
      <c r="M540" s="205" t="s">
        <v>820</v>
      </c>
    </row>
    <row r="541" spans="1:13" x14ac:dyDescent="0.25">
      <c r="A541">
        <v>540</v>
      </c>
      <c r="B541" t="s">
        <v>815</v>
      </c>
      <c r="C541" t="s">
        <v>830</v>
      </c>
      <c r="D541">
        <v>6</v>
      </c>
      <c r="E541" s="203">
        <v>-2.2900822911259362</v>
      </c>
      <c r="F541" s="203">
        <v>1.1008273368782633</v>
      </c>
      <c r="G541" s="203" t="s">
        <v>818</v>
      </c>
      <c r="H541" s="204">
        <v>-1.2372624522057718</v>
      </c>
      <c r="I541" s="204">
        <v>10.799483134896921</v>
      </c>
      <c r="J541" s="204" t="s">
        <v>819</v>
      </c>
      <c r="K541" s="205">
        <v>0.49317404680158455</v>
      </c>
      <c r="L541" s="205">
        <v>68.905519287006186</v>
      </c>
      <c r="M541" s="205" t="s">
        <v>819</v>
      </c>
    </row>
    <row r="542" spans="1:13" x14ac:dyDescent="0.25">
      <c r="A542">
        <v>541</v>
      </c>
      <c r="B542" t="s">
        <v>815</v>
      </c>
      <c r="C542" t="s">
        <v>830</v>
      </c>
      <c r="D542">
        <v>5</v>
      </c>
      <c r="E542" s="203">
        <v>1.242053410471214</v>
      </c>
      <c r="F542" s="203">
        <v>89.28915717504141</v>
      </c>
      <c r="G542" s="203" t="s">
        <v>819</v>
      </c>
      <c r="H542" s="204">
        <v>-0.92667273389787208</v>
      </c>
      <c r="I542" s="204">
        <v>17.704823918034318</v>
      </c>
      <c r="J542" s="204" t="s">
        <v>819</v>
      </c>
      <c r="K542" s="205">
        <v>1.3638074990373166</v>
      </c>
      <c r="L542" s="205">
        <v>91.368592024985446</v>
      </c>
      <c r="M542" s="205" t="s">
        <v>820</v>
      </c>
    </row>
    <row r="543" spans="1:13" x14ac:dyDescent="0.25">
      <c r="A543">
        <v>542</v>
      </c>
      <c r="B543" t="s">
        <v>815</v>
      </c>
      <c r="C543" t="s">
        <v>830</v>
      </c>
      <c r="D543">
        <v>6</v>
      </c>
      <c r="E543" s="203">
        <v>-0.470514655313854</v>
      </c>
      <c r="F543" s="203">
        <v>31.899368311230848</v>
      </c>
      <c r="G543" s="203" t="s">
        <v>819</v>
      </c>
      <c r="H543" s="204">
        <v>-0.82751839283936213</v>
      </c>
      <c r="I543" s="204">
        <v>20.397165074356817</v>
      </c>
      <c r="J543" s="204" t="s">
        <v>819</v>
      </c>
      <c r="K543" s="205">
        <v>0.92017901842181438</v>
      </c>
      <c r="L543" s="205">
        <v>82.126039159502653</v>
      </c>
      <c r="M543" s="205" t="s">
        <v>819</v>
      </c>
    </row>
    <row r="544" spans="1:13" x14ac:dyDescent="0.25">
      <c r="A544">
        <v>543</v>
      </c>
      <c r="B544" t="s">
        <v>815</v>
      </c>
      <c r="C544" t="s">
        <v>830</v>
      </c>
      <c r="D544">
        <v>6</v>
      </c>
      <c r="E544" s="203">
        <v>-0.89635094433121743</v>
      </c>
      <c r="F544" s="203">
        <v>18.503267921199996</v>
      </c>
      <c r="G544" s="203" t="s">
        <v>819</v>
      </c>
      <c r="H544" s="204">
        <v>9.2043211579359366E-2</v>
      </c>
      <c r="I544" s="204">
        <v>53.666814629445255</v>
      </c>
      <c r="J544" s="204" t="s">
        <v>819</v>
      </c>
      <c r="K544" s="205">
        <v>-0.2332775352095508</v>
      </c>
      <c r="L544" s="205">
        <v>40.777295086932732</v>
      </c>
      <c r="M544" s="205" t="s">
        <v>819</v>
      </c>
    </row>
    <row r="545" spans="1:13" x14ac:dyDescent="0.25">
      <c r="A545">
        <v>544</v>
      </c>
      <c r="B545" t="s">
        <v>815</v>
      </c>
      <c r="C545" t="s">
        <v>830</v>
      </c>
      <c r="D545">
        <v>5</v>
      </c>
      <c r="E545" s="203">
        <v>0.62568032205316293</v>
      </c>
      <c r="F545" s="203">
        <v>73.423767862051506</v>
      </c>
      <c r="G545" s="203" t="s">
        <v>819</v>
      </c>
      <c r="H545" s="204">
        <v>-0.5808215638148756</v>
      </c>
      <c r="I545" s="204">
        <v>28.068036007804487</v>
      </c>
      <c r="J545" s="204" t="s">
        <v>819</v>
      </c>
      <c r="K545" s="205">
        <v>0.69627218010945169</v>
      </c>
      <c r="L545" s="205">
        <v>75.687080398429998</v>
      </c>
      <c r="M545" s="205" t="s">
        <v>819</v>
      </c>
    </row>
    <row r="546" spans="1:13" x14ac:dyDescent="0.25">
      <c r="A546">
        <v>545</v>
      </c>
      <c r="B546" t="s">
        <v>815</v>
      </c>
      <c r="C546" t="s">
        <v>830</v>
      </c>
      <c r="D546">
        <v>5</v>
      </c>
      <c r="E546" s="203">
        <v>-9.2904188652212061E-2</v>
      </c>
      <c r="F546" s="203">
        <v>46.298983903956625</v>
      </c>
      <c r="G546" s="203" t="s">
        <v>819</v>
      </c>
      <c r="H546" s="204">
        <v>-0.89718214270705421</v>
      </c>
      <c r="I546" s="204">
        <v>18.481086617970494</v>
      </c>
      <c r="J546" s="204" t="s">
        <v>819</v>
      </c>
      <c r="K546" s="205">
        <v>0.46940730706825118</v>
      </c>
      <c r="L546" s="205">
        <v>68.061073681215262</v>
      </c>
      <c r="M546" s="205" t="s">
        <v>819</v>
      </c>
    </row>
    <row r="547" spans="1:13" x14ac:dyDescent="0.25">
      <c r="A547">
        <v>546</v>
      </c>
      <c r="B547" t="s">
        <v>815</v>
      </c>
      <c r="C547" t="s">
        <v>831</v>
      </c>
      <c r="D547">
        <v>6</v>
      </c>
      <c r="E547" s="203">
        <v>-0.61028419087743091</v>
      </c>
      <c r="F547" s="203">
        <v>27.083678375208336</v>
      </c>
      <c r="G547" s="203" t="s">
        <v>819</v>
      </c>
      <c r="H547" s="204">
        <v>-0.9632523432754162</v>
      </c>
      <c r="I547" s="204">
        <v>16.771045147430101</v>
      </c>
      <c r="J547" s="204" t="s">
        <v>819</v>
      </c>
      <c r="K547" s="205">
        <v>0.19308076128005452</v>
      </c>
      <c r="L547" s="205">
        <v>57.655214028723293</v>
      </c>
      <c r="M547" s="205" t="s">
        <v>819</v>
      </c>
    </row>
    <row r="548" spans="1:13" x14ac:dyDescent="0.25">
      <c r="A548">
        <v>547</v>
      </c>
      <c r="B548" t="s">
        <v>815</v>
      </c>
      <c r="C548" t="s">
        <v>830</v>
      </c>
      <c r="D548">
        <v>5</v>
      </c>
      <c r="E548" s="203">
        <v>0.51978555844963847</v>
      </c>
      <c r="F548" s="203">
        <v>69.839347701209888</v>
      </c>
      <c r="G548" s="203" t="s">
        <v>819</v>
      </c>
      <c r="H548" s="204">
        <v>-1.082585812822479</v>
      </c>
      <c r="I548" s="204">
        <v>13.949615363769469</v>
      </c>
      <c r="J548" s="204" t="s">
        <v>819</v>
      </c>
      <c r="K548" s="205">
        <v>-0.30142457883235269</v>
      </c>
      <c r="L548" s="205">
        <v>38.154537706908521</v>
      </c>
      <c r="M548" s="205" t="s">
        <v>819</v>
      </c>
    </row>
    <row r="549" spans="1:13" x14ac:dyDescent="0.25">
      <c r="A549">
        <v>548</v>
      </c>
      <c r="B549" t="s">
        <v>815</v>
      </c>
      <c r="C549" t="s">
        <v>831</v>
      </c>
      <c r="D549">
        <v>6</v>
      </c>
      <c r="E549" s="203">
        <v>-0.68282824152542509</v>
      </c>
      <c r="F549" s="203">
        <v>24.735769090530908</v>
      </c>
      <c r="G549" s="203" t="s">
        <v>819</v>
      </c>
      <c r="H549" s="204">
        <v>-0.76793832504086779</v>
      </c>
      <c r="I549" s="204">
        <v>22.126191350594475</v>
      </c>
      <c r="J549" s="204" t="s">
        <v>819</v>
      </c>
      <c r="K549" s="205">
        <v>0.90397927367922881</v>
      </c>
      <c r="L549" s="205">
        <v>81.699680414779252</v>
      </c>
      <c r="M549" s="205" t="s">
        <v>819</v>
      </c>
    </row>
    <row r="550" spans="1:13" x14ac:dyDescent="0.25">
      <c r="A550">
        <v>549</v>
      </c>
      <c r="B550" t="s">
        <v>815</v>
      </c>
      <c r="C550" t="s">
        <v>830</v>
      </c>
      <c r="D550">
        <v>5</v>
      </c>
      <c r="E550" s="203">
        <v>0.7339780348286028</v>
      </c>
      <c r="F550" s="203">
        <v>76.851893737323905</v>
      </c>
      <c r="G550" s="203" t="s">
        <v>819</v>
      </c>
      <c r="H550" s="204">
        <v>-0.39000461903616351</v>
      </c>
      <c r="I550" s="204">
        <v>34.826656568001226</v>
      </c>
      <c r="J550" s="204" t="s">
        <v>819</v>
      </c>
      <c r="K550" s="205">
        <v>1.321791404476752</v>
      </c>
      <c r="L550" s="205">
        <v>90.688118931234399</v>
      </c>
      <c r="M550" s="205" t="s">
        <v>820</v>
      </c>
    </row>
    <row r="551" spans="1:13" x14ac:dyDescent="0.25">
      <c r="A551">
        <v>550</v>
      </c>
      <c r="B551" t="s">
        <v>815</v>
      </c>
      <c r="C551" t="s">
        <v>831</v>
      </c>
      <c r="D551">
        <v>6</v>
      </c>
      <c r="E551" s="203">
        <v>0.57514134049879284</v>
      </c>
      <c r="F551" s="203">
        <v>71.740214455094474</v>
      </c>
      <c r="G551" s="203" t="s">
        <v>819</v>
      </c>
      <c r="H551" s="204">
        <v>-1.3537745906753984</v>
      </c>
      <c r="I551" s="204">
        <v>8.7904151261252839</v>
      </c>
      <c r="J551" s="204" t="s">
        <v>819</v>
      </c>
      <c r="K551" s="205">
        <v>2.4437094321203072</v>
      </c>
      <c r="L551" s="205">
        <v>99.273143530249413</v>
      </c>
      <c r="M551" s="205" t="s">
        <v>820</v>
      </c>
    </row>
    <row r="552" spans="1:13" x14ac:dyDescent="0.25">
      <c r="A552">
        <v>551</v>
      </c>
      <c r="B552" t="s">
        <v>815</v>
      </c>
      <c r="C552" t="s">
        <v>830</v>
      </c>
      <c r="D552">
        <v>5</v>
      </c>
      <c r="E552" s="203">
        <v>-0.60706585478293662</v>
      </c>
      <c r="F552" s="203">
        <v>27.190360458181328</v>
      </c>
      <c r="G552" s="203" t="s">
        <v>819</v>
      </c>
      <c r="H552" s="204">
        <v>-2.9251751918442533E-2</v>
      </c>
      <c r="I552" s="204">
        <v>48.833190340460462</v>
      </c>
      <c r="J552" s="204" t="s">
        <v>819</v>
      </c>
      <c r="K552" s="205">
        <v>-1.2092088636664717</v>
      </c>
      <c r="L552" s="205">
        <v>11.329130664187586</v>
      </c>
      <c r="M552" s="205" t="s">
        <v>825</v>
      </c>
    </row>
    <row r="553" spans="1:13" x14ac:dyDescent="0.25">
      <c r="A553">
        <v>552</v>
      </c>
      <c r="B553" t="s">
        <v>815</v>
      </c>
      <c r="C553" t="s">
        <v>831</v>
      </c>
      <c r="D553">
        <v>5</v>
      </c>
      <c r="E553" s="203">
        <v>0.75984409082629767</v>
      </c>
      <c r="F553" s="203">
        <v>77.632610785199446</v>
      </c>
      <c r="G553" s="203" t="s">
        <v>819</v>
      </c>
      <c r="H553" s="204">
        <v>-0.29618619821030923</v>
      </c>
      <c r="I553" s="204">
        <v>38.354394423024921</v>
      </c>
      <c r="J553" s="204" t="s">
        <v>819</v>
      </c>
      <c r="K553" s="205">
        <v>-0.3432680599333911</v>
      </c>
      <c r="L553" s="205">
        <v>36.56984035420782</v>
      </c>
      <c r="M553" s="205" t="s">
        <v>819</v>
      </c>
    </row>
    <row r="554" spans="1:13" x14ac:dyDescent="0.25">
      <c r="A554">
        <v>553</v>
      </c>
      <c r="B554" t="s">
        <v>815</v>
      </c>
      <c r="C554" t="s">
        <v>831</v>
      </c>
      <c r="D554">
        <v>5</v>
      </c>
      <c r="E554" s="203">
        <v>1.2493508453750826</v>
      </c>
      <c r="F554" s="203">
        <v>89.423161072454576</v>
      </c>
      <c r="G554" s="203" t="s">
        <v>819</v>
      </c>
      <c r="H554" s="204">
        <v>0.37007527995348311</v>
      </c>
      <c r="I554" s="204">
        <v>64.433679983009199</v>
      </c>
      <c r="J554" s="204" t="s">
        <v>819</v>
      </c>
      <c r="K554" s="205">
        <v>-0.94425697240546858</v>
      </c>
      <c r="L554" s="205">
        <v>17.251917392311789</v>
      </c>
      <c r="M554" s="205" t="s">
        <v>819</v>
      </c>
    </row>
    <row r="555" spans="1:13" x14ac:dyDescent="0.25">
      <c r="A555">
        <v>554</v>
      </c>
      <c r="B555" t="s">
        <v>815</v>
      </c>
      <c r="C555" t="s">
        <v>831</v>
      </c>
      <c r="D555">
        <v>7</v>
      </c>
      <c r="E555" s="203">
        <v>-2.6744975493369747</v>
      </c>
      <c r="F555" s="203">
        <v>0.37420661610475248</v>
      </c>
      <c r="G555" s="203" t="s">
        <v>818</v>
      </c>
      <c r="H555" s="204">
        <v>-1.0096809178921233</v>
      </c>
      <c r="I555" s="204">
        <v>15.632409380719</v>
      </c>
      <c r="J555" s="204" t="s">
        <v>819</v>
      </c>
      <c r="K555" s="205">
        <v>-0.58185538569070361</v>
      </c>
      <c r="L555" s="205">
        <v>28.033204690440549</v>
      </c>
      <c r="M555" s="205" t="s">
        <v>819</v>
      </c>
    </row>
    <row r="556" spans="1:13" x14ac:dyDescent="0.25">
      <c r="A556">
        <v>555</v>
      </c>
      <c r="B556" t="s">
        <v>815</v>
      </c>
      <c r="C556" t="s">
        <v>830</v>
      </c>
      <c r="D556">
        <v>5</v>
      </c>
      <c r="E556" s="203">
        <v>-1.5225135985565221</v>
      </c>
      <c r="F556" s="203">
        <v>6.3940220351556665</v>
      </c>
      <c r="G556" s="203" t="s">
        <v>819</v>
      </c>
      <c r="H556" s="204">
        <v>0.44779244770265109</v>
      </c>
      <c r="I556" s="204">
        <v>67.28485027897483</v>
      </c>
      <c r="J556" s="204" t="s">
        <v>819</v>
      </c>
      <c r="K556" s="205">
        <v>1.9717335980593174</v>
      </c>
      <c r="L556" s="205">
        <v>97.567998696499103</v>
      </c>
      <c r="M556" s="205" t="s">
        <v>820</v>
      </c>
    </row>
    <row r="557" spans="1:13" x14ac:dyDescent="0.25">
      <c r="A557">
        <v>556</v>
      </c>
      <c r="B557" t="s">
        <v>815</v>
      </c>
      <c r="C557" t="s">
        <v>831</v>
      </c>
      <c r="D557">
        <v>6</v>
      </c>
      <c r="E557" s="203">
        <v>-2.4298858451273865E-2</v>
      </c>
      <c r="F557" s="203">
        <v>49.030711184364634</v>
      </c>
      <c r="G557" s="203" t="s">
        <v>819</v>
      </c>
      <c r="H557" s="204">
        <v>-1.3592549417224753</v>
      </c>
      <c r="I557" s="204">
        <v>8.7032908372192015</v>
      </c>
      <c r="J557" s="204" t="s">
        <v>819</v>
      </c>
      <c r="K557" s="205">
        <v>-6.129372885708869E-2</v>
      </c>
      <c r="L557" s="205">
        <v>47.556264253032801</v>
      </c>
      <c r="M557" s="205" t="s">
        <v>819</v>
      </c>
    </row>
    <row r="558" spans="1:13" x14ac:dyDescent="0.25">
      <c r="A558">
        <v>557</v>
      </c>
      <c r="B558" t="s">
        <v>815</v>
      </c>
      <c r="C558" t="s">
        <v>831</v>
      </c>
      <c r="D558">
        <v>6</v>
      </c>
      <c r="E558" s="203">
        <v>-0.75092763122766371</v>
      </c>
      <c r="F558" s="203">
        <v>22.6348105081744</v>
      </c>
      <c r="G558" s="203" t="s">
        <v>819</v>
      </c>
      <c r="H558" s="204">
        <v>-1.507542193053288</v>
      </c>
      <c r="I558" s="204">
        <v>6.5835868637315231</v>
      </c>
      <c r="J558" s="204" t="s">
        <v>819</v>
      </c>
      <c r="K558" s="205">
        <v>-0.74689708149391698</v>
      </c>
      <c r="L558" s="205">
        <v>22.756284389821001</v>
      </c>
      <c r="M558" s="205" t="s">
        <v>819</v>
      </c>
    </row>
    <row r="559" spans="1:13" x14ac:dyDescent="0.25">
      <c r="A559">
        <v>558</v>
      </c>
      <c r="B559" t="s">
        <v>815</v>
      </c>
      <c r="C559" t="s">
        <v>831</v>
      </c>
      <c r="D559">
        <v>6</v>
      </c>
      <c r="E559" s="203">
        <v>-5.9383537114395856E-3</v>
      </c>
      <c r="F559" s="203">
        <v>49.763095355222951</v>
      </c>
      <c r="G559" s="203" t="s">
        <v>819</v>
      </c>
      <c r="H559" s="204">
        <v>-1.4786381504551176</v>
      </c>
      <c r="I559" s="204">
        <v>6.9618525338651027</v>
      </c>
      <c r="J559" s="204" t="s">
        <v>819</v>
      </c>
      <c r="K559" s="205">
        <v>3.3556159589118617</v>
      </c>
      <c r="L559" s="205">
        <v>99.960405774737779</v>
      </c>
      <c r="M559" s="205" t="s">
        <v>820</v>
      </c>
    </row>
    <row r="560" spans="1:13" x14ac:dyDescent="0.25">
      <c r="A560">
        <v>559</v>
      </c>
      <c r="B560" t="s">
        <v>815</v>
      </c>
      <c r="C560" t="s">
        <v>831</v>
      </c>
      <c r="D560">
        <v>6</v>
      </c>
      <c r="E560" s="203">
        <v>0.7578370432585565</v>
      </c>
      <c r="F560" s="203">
        <v>77.572572835999836</v>
      </c>
      <c r="G560" s="203" t="s">
        <v>819</v>
      </c>
      <c r="H560" s="204">
        <v>-0.27064054812501454</v>
      </c>
      <c r="I560" s="204">
        <v>39.33337531778772</v>
      </c>
      <c r="J560" s="204" t="s">
        <v>819</v>
      </c>
      <c r="K560" s="205">
        <v>2.0702102028103844</v>
      </c>
      <c r="L560" s="205">
        <v>98.078366788096687</v>
      </c>
      <c r="M560" s="205" t="s">
        <v>820</v>
      </c>
    </row>
    <row r="561" spans="1:13" x14ac:dyDescent="0.25">
      <c r="A561">
        <v>560</v>
      </c>
      <c r="B561" t="s">
        <v>815</v>
      </c>
      <c r="C561" t="s">
        <v>831</v>
      </c>
      <c r="D561">
        <v>6</v>
      </c>
      <c r="E561" s="203">
        <v>1.7125562894710467</v>
      </c>
      <c r="F561" s="203">
        <v>95.660289970237287</v>
      </c>
      <c r="G561" s="203" t="s">
        <v>816</v>
      </c>
      <c r="H561" s="204">
        <v>-0.24831927490557587</v>
      </c>
      <c r="I561" s="204">
        <v>40.194369337155322</v>
      </c>
      <c r="J561" s="204" t="s">
        <v>819</v>
      </c>
      <c r="K561" s="205">
        <v>0.89087652456571809</v>
      </c>
      <c r="L561" s="205">
        <v>81.350229220447218</v>
      </c>
      <c r="M561" s="205" t="s">
        <v>819</v>
      </c>
    </row>
    <row r="562" spans="1:13" x14ac:dyDescent="0.25">
      <c r="A562">
        <v>561</v>
      </c>
      <c r="B562" t="s">
        <v>815</v>
      </c>
      <c r="C562" t="s">
        <v>831</v>
      </c>
      <c r="D562">
        <v>7</v>
      </c>
      <c r="E562" s="203">
        <v>1.2966293765519399</v>
      </c>
      <c r="F562" s="203">
        <v>90.262063015818711</v>
      </c>
      <c r="G562" s="203" t="s">
        <v>819</v>
      </c>
      <c r="H562" s="204">
        <v>-0.40675365362755983</v>
      </c>
      <c r="I562" s="204">
        <v>34.209446476209479</v>
      </c>
      <c r="J562" s="204" t="s">
        <v>819</v>
      </c>
      <c r="K562" s="205">
        <v>1.4387501108023328</v>
      </c>
      <c r="L562" s="205">
        <v>92.488933201958233</v>
      </c>
      <c r="M562" s="205" t="s">
        <v>820</v>
      </c>
    </row>
    <row r="563" spans="1:13" x14ac:dyDescent="0.25">
      <c r="A563">
        <v>562</v>
      </c>
      <c r="B563" t="s">
        <v>815</v>
      </c>
      <c r="C563" t="s">
        <v>830</v>
      </c>
      <c r="D563">
        <v>7</v>
      </c>
      <c r="E563" s="203">
        <v>-0.11267571439188419</v>
      </c>
      <c r="F563" s="203">
        <v>45.51438278606993</v>
      </c>
      <c r="G563" s="203" t="s">
        <v>819</v>
      </c>
      <c r="H563" s="204">
        <v>-0.83754718057680355</v>
      </c>
      <c r="I563" s="204">
        <v>20.114253418940482</v>
      </c>
      <c r="J563" s="204" t="s">
        <v>819</v>
      </c>
      <c r="K563" s="205">
        <v>1.5046597676684446</v>
      </c>
      <c r="L563" s="205">
        <v>93.379421416498687</v>
      </c>
      <c r="M563" s="205" t="s">
        <v>820</v>
      </c>
    </row>
    <row r="564" spans="1:13" x14ac:dyDescent="0.25">
      <c r="A564">
        <v>563</v>
      </c>
      <c r="B564" t="s">
        <v>815</v>
      </c>
      <c r="C564" t="s">
        <v>830</v>
      </c>
      <c r="D564">
        <v>7</v>
      </c>
      <c r="E564" s="203">
        <v>-8.2224861542784619E-2</v>
      </c>
      <c r="F564" s="203">
        <v>46.723395186471485</v>
      </c>
      <c r="G564" s="203" t="s">
        <v>819</v>
      </c>
      <c r="H564" s="204">
        <v>-1.1906203243984257</v>
      </c>
      <c r="I564" s="204">
        <v>11.690133455444146</v>
      </c>
      <c r="J564" s="204" t="s">
        <v>819</v>
      </c>
      <c r="K564" s="205">
        <v>-1.5123682586182698</v>
      </c>
      <c r="L564" s="205">
        <v>6.5220102558764568</v>
      </c>
      <c r="M564" s="205" t="s">
        <v>825</v>
      </c>
    </row>
    <row r="565" spans="1:13" x14ac:dyDescent="0.25">
      <c r="A565">
        <v>564</v>
      </c>
      <c r="B565" t="s">
        <v>815</v>
      </c>
      <c r="C565" t="s">
        <v>831</v>
      </c>
      <c r="D565">
        <v>7</v>
      </c>
      <c r="E565" s="203">
        <v>-1.3603804508486625</v>
      </c>
      <c r="F565" s="203">
        <v>8.6854780763371817</v>
      </c>
      <c r="G565" s="203" t="s">
        <v>819</v>
      </c>
      <c r="H565" s="204">
        <v>-1.3168333665930179</v>
      </c>
      <c r="I565" s="204">
        <v>9.3947242883223083</v>
      </c>
      <c r="J565" s="204" t="s">
        <v>819</v>
      </c>
      <c r="K565" s="205">
        <v>1.7699827607064569</v>
      </c>
      <c r="L565" s="205">
        <v>96.163499369953669</v>
      </c>
      <c r="M565" s="205" t="s">
        <v>820</v>
      </c>
    </row>
    <row r="566" spans="1:13" x14ac:dyDescent="0.25">
      <c r="A566">
        <v>565</v>
      </c>
      <c r="B566" t="s">
        <v>815</v>
      </c>
      <c r="C566" t="s">
        <v>830</v>
      </c>
      <c r="D566">
        <v>7</v>
      </c>
      <c r="E566" s="203">
        <v>-9.8058676179082052E-2</v>
      </c>
      <c r="F566" s="203">
        <v>46.094285048040362</v>
      </c>
      <c r="G566" s="203" t="s">
        <v>819</v>
      </c>
      <c r="H566" s="204">
        <v>-1.083198566635504</v>
      </c>
      <c r="I566" s="204">
        <v>13.936014791446738</v>
      </c>
      <c r="J566" s="204" t="s">
        <v>819</v>
      </c>
      <c r="K566" s="205">
        <v>0.20331437004472144</v>
      </c>
      <c r="L566" s="205">
        <v>58.055533779111713</v>
      </c>
      <c r="M566" s="205" t="s">
        <v>819</v>
      </c>
    </row>
    <row r="567" spans="1:13" x14ac:dyDescent="0.25">
      <c r="A567">
        <v>566</v>
      </c>
      <c r="B567" t="s">
        <v>815</v>
      </c>
      <c r="C567" t="s">
        <v>830</v>
      </c>
      <c r="D567">
        <v>7</v>
      </c>
      <c r="E567" s="203">
        <v>1.7442372132682111</v>
      </c>
      <c r="F567" s="203">
        <v>95.944113258244485</v>
      </c>
      <c r="G567" s="203" t="s">
        <v>816</v>
      </c>
      <c r="H567" s="204">
        <v>-0.4232896027389596</v>
      </c>
      <c r="I567" s="204">
        <v>33.60419896065244</v>
      </c>
      <c r="J567" s="204" t="s">
        <v>819</v>
      </c>
      <c r="K567" s="205">
        <v>2.3023338918402367</v>
      </c>
      <c r="L567" s="205">
        <v>98.934182503422036</v>
      </c>
      <c r="M567" s="205" t="s">
        <v>820</v>
      </c>
    </row>
    <row r="568" spans="1:13" x14ac:dyDescent="0.25">
      <c r="A568">
        <v>567</v>
      </c>
      <c r="B568" t="s">
        <v>815</v>
      </c>
      <c r="C568" t="s">
        <v>831</v>
      </c>
      <c r="D568">
        <v>7</v>
      </c>
      <c r="E568" s="203">
        <v>0.94899947025503328</v>
      </c>
      <c r="F568" s="203">
        <v>82.868955924675589</v>
      </c>
      <c r="G568" s="203" t="s">
        <v>819</v>
      </c>
      <c r="H568" s="204">
        <v>-1.4230972721663675</v>
      </c>
      <c r="I568" s="204">
        <v>7.7353979516178351</v>
      </c>
      <c r="J568" s="204" t="s">
        <v>819</v>
      </c>
      <c r="K568" s="205">
        <v>2.0231798950845374</v>
      </c>
      <c r="L568" s="205">
        <v>97.84726981456609</v>
      </c>
      <c r="M568" s="205" t="s">
        <v>820</v>
      </c>
    </row>
    <row r="569" spans="1:13" x14ac:dyDescent="0.25">
      <c r="A569">
        <v>568</v>
      </c>
      <c r="B569" t="s">
        <v>815</v>
      </c>
      <c r="C569" t="s">
        <v>831</v>
      </c>
      <c r="D569">
        <v>7</v>
      </c>
      <c r="E569" s="203">
        <v>-0.39006596329375831</v>
      </c>
      <c r="F569" s="203">
        <v>34.824388532189985</v>
      </c>
      <c r="G569" s="203" t="s">
        <v>819</v>
      </c>
      <c r="H569" s="204">
        <v>0.25165192919437146</v>
      </c>
      <c r="I569" s="204">
        <v>59.934494186545685</v>
      </c>
      <c r="J569" s="204" t="s">
        <v>819</v>
      </c>
      <c r="K569" s="205">
        <v>-0.84846343131728486</v>
      </c>
      <c r="L569" s="205">
        <v>19.80899648883231</v>
      </c>
      <c r="M569" s="205" t="s">
        <v>819</v>
      </c>
    </row>
    <row r="570" spans="1:13" x14ac:dyDescent="0.25">
      <c r="A570">
        <v>569</v>
      </c>
      <c r="B570" t="s">
        <v>815</v>
      </c>
      <c r="C570" t="s">
        <v>831</v>
      </c>
      <c r="D570">
        <v>7</v>
      </c>
      <c r="E570" s="203">
        <v>-1.7946008818294263</v>
      </c>
      <c r="F570" s="203">
        <v>3.6358656278600021</v>
      </c>
      <c r="G570" s="203" t="s">
        <v>818</v>
      </c>
      <c r="H570" s="204">
        <v>-1.2424354487640734</v>
      </c>
      <c r="I570" s="204">
        <v>10.703797166453036</v>
      </c>
      <c r="J570" s="204" t="s">
        <v>819</v>
      </c>
      <c r="K570" s="205">
        <v>1.6337228154171128</v>
      </c>
      <c r="L570" s="205">
        <v>94.884146726879976</v>
      </c>
      <c r="M570" s="205" t="s">
        <v>820</v>
      </c>
    </row>
    <row r="571" spans="1:13" x14ac:dyDescent="0.25">
      <c r="A571">
        <v>570</v>
      </c>
      <c r="B571" t="s">
        <v>815</v>
      </c>
      <c r="C571" t="s">
        <v>831</v>
      </c>
      <c r="D571">
        <v>6</v>
      </c>
      <c r="E571" s="203">
        <v>1.1339019572448925</v>
      </c>
      <c r="F571" s="203">
        <v>87.158216198093342</v>
      </c>
      <c r="G571" s="203" t="s">
        <v>819</v>
      </c>
      <c r="H571" s="204">
        <v>0.44140326355673964</v>
      </c>
      <c r="I571" s="204">
        <v>67.05394600066758</v>
      </c>
      <c r="J571" s="204" t="s">
        <v>819</v>
      </c>
      <c r="K571" s="205">
        <v>2.9890555642798584E-2</v>
      </c>
      <c r="L571" s="205">
        <v>51.19228310045861</v>
      </c>
      <c r="M571" s="205" t="s">
        <v>819</v>
      </c>
    </row>
    <row r="572" spans="1:13" x14ac:dyDescent="0.25">
      <c r="A572">
        <v>571</v>
      </c>
      <c r="B572" t="s">
        <v>815</v>
      </c>
      <c r="C572" t="s">
        <v>830</v>
      </c>
      <c r="D572">
        <v>7</v>
      </c>
      <c r="E572" s="203">
        <v>-1.8184061672781568</v>
      </c>
      <c r="F572" s="203">
        <v>3.4501038224422067</v>
      </c>
      <c r="G572" s="203" t="s">
        <v>818</v>
      </c>
      <c r="H572" s="204">
        <v>-0.28639882877361894</v>
      </c>
      <c r="I572" s="204">
        <v>38.728633582664131</v>
      </c>
      <c r="J572" s="204" t="s">
        <v>819</v>
      </c>
      <c r="K572" s="205">
        <v>0.33132665806711559</v>
      </c>
      <c r="L572" s="205">
        <v>62.980112141030361</v>
      </c>
      <c r="M572" s="205" t="s">
        <v>819</v>
      </c>
    </row>
    <row r="573" spans="1:13" x14ac:dyDescent="0.25">
      <c r="A573">
        <v>572</v>
      </c>
      <c r="B573" t="s">
        <v>815</v>
      </c>
      <c r="C573" t="s">
        <v>831</v>
      </c>
      <c r="D573">
        <v>6</v>
      </c>
      <c r="E573" s="203">
        <v>-0.15983153159235083</v>
      </c>
      <c r="F573" s="203">
        <v>43.650689237824743</v>
      </c>
      <c r="G573" s="203" t="s">
        <v>819</v>
      </c>
      <c r="H573" s="204">
        <v>-1.0232246348769087</v>
      </c>
      <c r="I573" s="204">
        <v>15.310082389281465</v>
      </c>
      <c r="J573" s="204" t="s">
        <v>819</v>
      </c>
      <c r="K573" s="205">
        <v>0.16784401714428657</v>
      </c>
      <c r="L573" s="205">
        <v>56.664700349720306</v>
      </c>
      <c r="M573" s="205" t="s">
        <v>819</v>
      </c>
    </row>
    <row r="574" spans="1:13" x14ac:dyDescent="0.25">
      <c r="A574">
        <v>573</v>
      </c>
      <c r="B574" t="s">
        <v>815</v>
      </c>
      <c r="C574" t="s">
        <v>831</v>
      </c>
      <c r="D574">
        <v>6</v>
      </c>
      <c r="E574" s="203">
        <v>2.057997306414348</v>
      </c>
      <c r="F574" s="203">
        <v>98.020480401590291</v>
      </c>
      <c r="G574" s="203" t="s">
        <v>816</v>
      </c>
      <c r="H574" s="204">
        <v>-1.9761220777176616</v>
      </c>
      <c r="I574" s="204">
        <v>2.4070476244017933</v>
      </c>
      <c r="J574" s="204" t="s">
        <v>824</v>
      </c>
      <c r="K574" s="205">
        <v>1.4097818980305479</v>
      </c>
      <c r="L574" s="205">
        <v>92.069795334668143</v>
      </c>
      <c r="M574" s="205" t="s">
        <v>820</v>
      </c>
    </row>
    <row r="575" spans="1:13" x14ac:dyDescent="0.25">
      <c r="A575">
        <v>574</v>
      </c>
      <c r="B575" t="s">
        <v>815</v>
      </c>
      <c r="C575" t="s">
        <v>831</v>
      </c>
      <c r="D575">
        <v>7</v>
      </c>
      <c r="E575" s="203">
        <v>-0.69704160442495655</v>
      </c>
      <c r="F575" s="203">
        <v>24.28883786965207</v>
      </c>
      <c r="G575" s="203" t="s">
        <v>819</v>
      </c>
      <c r="H575" s="204">
        <v>0.2423566919923324</v>
      </c>
      <c r="I575" s="204">
        <v>59.574810553563587</v>
      </c>
      <c r="J575" s="204" t="s">
        <v>819</v>
      </c>
      <c r="K575" s="205">
        <v>1.5807982499510822</v>
      </c>
      <c r="L575" s="205">
        <v>94.303791258736638</v>
      </c>
      <c r="M575" s="205" t="s">
        <v>820</v>
      </c>
    </row>
    <row r="576" spans="1:13" x14ac:dyDescent="0.25">
      <c r="A576">
        <v>575</v>
      </c>
      <c r="B576" t="s">
        <v>815</v>
      </c>
      <c r="C576" t="s">
        <v>831</v>
      </c>
      <c r="D576">
        <v>6</v>
      </c>
      <c r="E576" s="203">
        <v>2.4987538241541766E-2</v>
      </c>
      <c r="F576" s="203">
        <v>50.996754822548482</v>
      </c>
      <c r="G576" s="203" t="s">
        <v>819</v>
      </c>
      <c r="H576" s="204">
        <v>0.63476513963420189</v>
      </c>
      <c r="I576" s="204">
        <v>73.720919881252513</v>
      </c>
      <c r="J576" s="204" t="s">
        <v>819</v>
      </c>
      <c r="K576" s="205">
        <v>1.238222707475173</v>
      </c>
      <c r="L576" s="205">
        <v>89.218325299756685</v>
      </c>
      <c r="M576" s="205" t="s">
        <v>820</v>
      </c>
    </row>
    <row r="577" spans="1:13" x14ac:dyDescent="0.25">
      <c r="A577">
        <v>576</v>
      </c>
      <c r="B577" t="s">
        <v>815</v>
      </c>
      <c r="C577" t="s">
        <v>830</v>
      </c>
      <c r="D577">
        <v>7</v>
      </c>
      <c r="E577" s="203">
        <v>-2.2206751198443548</v>
      </c>
      <c r="F577" s="203">
        <v>1.3186486889087217</v>
      </c>
      <c r="G577" s="203" t="s">
        <v>818</v>
      </c>
      <c r="H577" s="204">
        <v>1.6466242653057546</v>
      </c>
      <c r="I577" s="204">
        <v>95.018235015426853</v>
      </c>
      <c r="J577" s="204" t="s">
        <v>817</v>
      </c>
      <c r="K577" s="205">
        <v>-0.8048857001786015</v>
      </c>
      <c r="L577" s="205">
        <v>21.044282050903391</v>
      </c>
      <c r="M577" s="205" t="s">
        <v>819</v>
      </c>
    </row>
    <row r="578" spans="1:13" x14ac:dyDescent="0.25">
      <c r="A578">
        <v>577</v>
      </c>
      <c r="B578" t="s">
        <v>815</v>
      </c>
      <c r="C578" t="s">
        <v>830</v>
      </c>
      <c r="D578">
        <v>6</v>
      </c>
      <c r="E578" s="203">
        <v>0.13311078185918343</v>
      </c>
      <c r="F578" s="203">
        <v>55.294711583061428</v>
      </c>
      <c r="G578" s="203" t="s">
        <v>819</v>
      </c>
      <c r="H578" s="204">
        <v>-1.3591790932857584</v>
      </c>
      <c r="I578" s="204">
        <v>8.7044922257766686</v>
      </c>
      <c r="J578" s="204" t="s">
        <v>819</v>
      </c>
      <c r="K578" s="205">
        <v>0.30438048869503875</v>
      </c>
      <c r="L578" s="205">
        <v>61.958098459663411</v>
      </c>
      <c r="M578" s="205" t="s">
        <v>819</v>
      </c>
    </row>
    <row r="579" spans="1:13" x14ac:dyDescent="0.25">
      <c r="A579">
        <v>578</v>
      </c>
      <c r="B579" t="s">
        <v>815</v>
      </c>
      <c r="C579" t="s">
        <v>830</v>
      </c>
      <c r="D579">
        <v>7</v>
      </c>
      <c r="E579" s="203">
        <v>0.90340800956031964</v>
      </c>
      <c r="F579" s="203">
        <v>81.684530469347663</v>
      </c>
      <c r="G579" s="203" t="s">
        <v>819</v>
      </c>
      <c r="H579" s="204">
        <v>0.26662184885344892</v>
      </c>
      <c r="I579" s="204">
        <v>60.511983426667527</v>
      </c>
      <c r="J579" s="204" t="s">
        <v>819</v>
      </c>
      <c r="K579" s="205">
        <v>1.7985615795035932</v>
      </c>
      <c r="L579" s="205">
        <v>96.395597025655889</v>
      </c>
      <c r="M579" s="205" t="s">
        <v>820</v>
      </c>
    </row>
    <row r="580" spans="1:13" x14ac:dyDescent="0.25">
      <c r="A580">
        <v>579</v>
      </c>
      <c r="B580" t="s">
        <v>815</v>
      </c>
      <c r="C580" t="s">
        <v>831</v>
      </c>
      <c r="D580">
        <v>6</v>
      </c>
      <c r="E580" s="203">
        <v>0.48444708154622879</v>
      </c>
      <c r="F580" s="203">
        <v>68.596569413911084</v>
      </c>
      <c r="G580" s="203" t="s">
        <v>819</v>
      </c>
      <c r="H580" s="204">
        <v>0.34564609275215213</v>
      </c>
      <c r="I580" s="204">
        <v>63.519564922638025</v>
      </c>
      <c r="J580" s="204" t="s">
        <v>819</v>
      </c>
      <c r="K580" s="205">
        <v>1.4673193373902678</v>
      </c>
      <c r="L580" s="205">
        <v>92.885539713546009</v>
      </c>
      <c r="M580" s="205" t="s">
        <v>820</v>
      </c>
    </row>
    <row r="581" spans="1:13" x14ac:dyDescent="0.25">
      <c r="A581">
        <v>580</v>
      </c>
      <c r="B581" t="s">
        <v>815</v>
      </c>
      <c r="C581" t="s">
        <v>830</v>
      </c>
      <c r="D581">
        <v>6</v>
      </c>
      <c r="E581" s="203">
        <v>-0.23982833424249264</v>
      </c>
      <c r="F581" s="203">
        <v>40.523167017248106</v>
      </c>
      <c r="G581" s="203" t="s">
        <v>819</v>
      </c>
      <c r="H581" s="204">
        <v>-0.90980981458496035</v>
      </c>
      <c r="I581" s="204">
        <v>18.146140885114111</v>
      </c>
      <c r="J581" s="204" t="s">
        <v>819</v>
      </c>
      <c r="K581" s="205">
        <v>-0.46204263403400875</v>
      </c>
      <c r="L581" s="205">
        <v>32.202537353495487</v>
      </c>
      <c r="M581" s="205" t="s">
        <v>819</v>
      </c>
    </row>
    <row r="582" spans="1:13" x14ac:dyDescent="0.25">
      <c r="A582">
        <v>581</v>
      </c>
      <c r="B582" t="s">
        <v>815</v>
      </c>
      <c r="C582" t="s">
        <v>831</v>
      </c>
      <c r="D582">
        <v>7</v>
      </c>
      <c r="E582" s="203">
        <v>-0.37856410321285261</v>
      </c>
      <c r="F582" s="203">
        <v>35.250579147851838</v>
      </c>
      <c r="G582" s="203" t="s">
        <v>819</v>
      </c>
      <c r="H582" s="204">
        <v>-0.62574750232796872</v>
      </c>
      <c r="I582" s="204">
        <v>26.574028527565375</v>
      </c>
      <c r="J582" s="204" t="s">
        <v>819</v>
      </c>
      <c r="K582" s="205">
        <v>0.27688056216105345</v>
      </c>
      <c r="L582" s="205">
        <v>60.906409076618239</v>
      </c>
      <c r="M582" s="205" t="s">
        <v>819</v>
      </c>
    </row>
    <row r="583" spans="1:13" x14ac:dyDescent="0.25">
      <c r="A583">
        <v>582</v>
      </c>
      <c r="B583" t="s">
        <v>815</v>
      </c>
      <c r="C583" t="s">
        <v>830</v>
      </c>
      <c r="D583">
        <v>6</v>
      </c>
      <c r="E583" s="203">
        <v>-23.116042533518261</v>
      </c>
      <c r="F583" s="203">
        <v>1.596799996135726E-116</v>
      </c>
      <c r="G583" s="203" t="s">
        <v>818</v>
      </c>
      <c r="H583" s="204">
        <v>-1.8054792615797653E-2</v>
      </c>
      <c r="I583" s="204">
        <v>49.279757116640489</v>
      </c>
      <c r="J583" s="204" t="s">
        <v>819</v>
      </c>
      <c r="K583" s="205">
        <v>-0.45029048818366374</v>
      </c>
      <c r="L583" s="205">
        <v>32.625049831166642</v>
      </c>
      <c r="M583" s="205" t="s">
        <v>819</v>
      </c>
    </row>
    <row r="584" spans="1:13" x14ac:dyDescent="0.25">
      <c r="A584">
        <v>583</v>
      </c>
      <c r="B584" t="s">
        <v>815</v>
      </c>
      <c r="C584" t="s">
        <v>831</v>
      </c>
      <c r="D584">
        <v>7</v>
      </c>
      <c r="E584" s="203">
        <v>0.33437018232967752</v>
      </c>
      <c r="F584" s="203">
        <v>63.094988155879761</v>
      </c>
      <c r="G584" s="203" t="s">
        <v>819</v>
      </c>
      <c r="H584" s="204">
        <v>0.26240223788076422</v>
      </c>
      <c r="I584" s="204">
        <v>60.349432623221787</v>
      </c>
      <c r="J584" s="204" t="s">
        <v>819</v>
      </c>
      <c r="K584" s="205">
        <v>2.5388672084823622</v>
      </c>
      <c r="L584" s="205">
        <v>99.443939870631851</v>
      </c>
      <c r="M584" s="205" t="s">
        <v>820</v>
      </c>
    </row>
    <row r="585" spans="1:13" x14ac:dyDescent="0.25">
      <c r="A585">
        <v>584</v>
      </c>
      <c r="B585" t="s">
        <v>815</v>
      </c>
      <c r="C585" t="s">
        <v>830</v>
      </c>
      <c r="D585">
        <v>6</v>
      </c>
      <c r="E585" s="203">
        <v>-0.53305421494675653</v>
      </c>
      <c r="F585" s="203">
        <v>29.699802579663142</v>
      </c>
      <c r="G585" s="203" t="s">
        <v>819</v>
      </c>
      <c r="H585" s="204">
        <v>-0.95775713085687997</v>
      </c>
      <c r="I585" s="204">
        <v>16.909262038279977</v>
      </c>
      <c r="J585" s="204" t="s">
        <v>819</v>
      </c>
      <c r="K585" s="205">
        <v>0.3928429845550559</v>
      </c>
      <c r="L585" s="205">
        <v>65.27822727044132</v>
      </c>
      <c r="M585" s="205" t="s">
        <v>819</v>
      </c>
    </row>
    <row r="586" spans="1:13" x14ac:dyDescent="0.25">
      <c r="A586">
        <v>585</v>
      </c>
      <c r="B586" t="s">
        <v>815</v>
      </c>
      <c r="C586" t="s">
        <v>831</v>
      </c>
      <c r="D586">
        <v>7</v>
      </c>
      <c r="E586" s="203">
        <v>-1.1435581701334261</v>
      </c>
      <c r="F586" s="203">
        <v>12.640345879333861</v>
      </c>
      <c r="G586" s="203" t="s">
        <v>819</v>
      </c>
      <c r="H586" s="204">
        <v>-0.54558044914719173</v>
      </c>
      <c r="I586" s="204">
        <v>29.267718324051707</v>
      </c>
      <c r="J586" s="204" t="s">
        <v>819</v>
      </c>
      <c r="K586" s="205">
        <v>1.9624813731341129</v>
      </c>
      <c r="L586" s="205">
        <v>97.514676642704245</v>
      </c>
      <c r="M586" s="205" t="s">
        <v>820</v>
      </c>
    </row>
    <row r="587" spans="1:13" x14ac:dyDescent="0.25">
      <c r="A587">
        <v>586</v>
      </c>
      <c r="B587" t="s">
        <v>815</v>
      </c>
      <c r="C587" t="s">
        <v>831</v>
      </c>
      <c r="D587">
        <v>7</v>
      </c>
      <c r="E587" s="203">
        <v>0.67836734813330135</v>
      </c>
      <c r="F587" s="203">
        <v>75.123059674401873</v>
      </c>
      <c r="G587" s="203" t="s">
        <v>819</v>
      </c>
      <c r="H587" s="204">
        <v>-1.5748397225270805</v>
      </c>
      <c r="I587" s="204">
        <v>5.7646722479109931</v>
      </c>
      <c r="J587" s="204" t="s">
        <v>819</v>
      </c>
      <c r="K587" s="205">
        <v>0.44436949926262753</v>
      </c>
      <c r="L587" s="205">
        <v>67.161226929237202</v>
      </c>
      <c r="M587" s="205" t="s">
        <v>819</v>
      </c>
    </row>
    <row r="588" spans="1:13" x14ac:dyDescent="0.25">
      <c r="A588">
        <v>587</v>
      </c>
      <c r="B588" t="s">
        <v>815</v>
      </c>
      <c r="C588" t="s">
        <v>830</v>
      </c>
      <c r="D588">
        <v>7</v>
      </c>
      <c r="E588" s="203">
        <v>8.4852489982233201E-2</v>
      </c>
      <c r="F588" s="203">
        <v>53.381066849918483</v>
      </c>
      <c r="G588" s="203" t="s">
        <v>819</v>
      </c>
      <c r="H588" s="204">
        <v>-0.51018975593413507</v>
      </c>
      <c r="I588" s="204">
        <v>30.49592641515056</v>
      </c>
      <c r="J588" s="204" t="s">
        <v>819</v>
      </c>
      <c r="K588" s="205">
        <v>1.2947934852992018</v>
      </c>
      <c r="L588" s="205">
        <v>90.230426002208503</v>
      </c>
      <c r="M588" s="205" t="s">
        <v>820</v>
      </c>
    </row>
    <row r="589" spans="1:13" x14ac:dyDescent="0.25">
      <c r="A589">
        <v>588</v>
      </c>
      <c r="B589" t="s">
        <v>815</v>
      </c>
      <c r="C589" t="s">
        <v>830</v>
      </c>
      <c r="D589">
        <v>6</v>
      </c>
      <c r="E589" s="203">
        <v>0.71156937379658669</v>
      </c>
      <c r="F589" s="203">
        <v>76.163426119887006</v>
      </c>
      <c r="G589" s="203" t="s">
        <v>819</v>
      </c>
      <c r="H589" s="204">
        <v>-0.6301100794330623</v>
      </c>
      <c r="I589" s="204">
        <v>26.431128275174419</v>
      </c>
      <c r="J589" s="204" t="s">
        <v>819</v>
      </c>
      <c r="K589" s="205">
        <v>0.15155988411974416</v>
      </c>
      <c r="L589" s="205">
        <v>56.023296218053453</v>
      </c>
      <c r="M589" s="205" t="s">
        <v>819</v>
      </c>
    </row>
    <row r="590" spans="1:13" x14ac:dyDescent="0.25">
      <c r="A590">
        <v>589</v>
      </c>
      <c r="B590" t="s">
        <v>815</v>
      </c>
      <c r="C590" t="s">
        <v>830</v>
      </c>
      <c r="D590">
        <v>7</v>
      </c>
      <c r="E590" s="203">
        <v>-9.8058676179082052E-2</v>
      </c>
      <c r="F590" s="203">
        <v>46.094285048040362</v>
      </c>
      <c r="G590" s="203" t="s">
        <v>819</v>
      </c>
      <c r="H590" s="204">
        <v>-1.3284113585817752</v>
      </c>
      <c r="I590" s="204">
        <v>9.2021124555012737</v>
      </c>
      <c r="J590" s="204" t="s">
        <v>819</v>
      </c>
      <c r="K590" s="205">
        <v>-0.17847416838365676</v>
      </c>
      <c r="L590" s="205">
        <v>42.917530307045716</v>
      </c>
      <c r="M590" s="205" t="s">
        <v>819</v>
      </c>
    </row>
    <row r="591" spans="1:13" x14ac:dyDescent="0.25">
      <c r="A591">
        <v>590</v>
      </c>
      <c r="B591" t="s">
        <v>815</v>
      </c>
      <c r="C591" t="s">
        <v>831</v>
      </c>
      <c r="D591">
        <v>6</v>
      </c>
      <c r="E591" s="203">
        <v>0.48951597463480001</v>
      </c>
      <c r="F591" s="203">
        <v>68.776177611746675</v>
      </c>
      <c r="G591" s="203" t="s">
        <v>819</v>
      </c>
      <c r="H591" s="204">
        <v>-1.2097874023460042</v>
      </c>
      <c r="I591" s="204">
        <v>11.318024070925528</v>
      </c>
      <c r="J591" s="204" t="s">
        <v>819</v>
      </c>
      <c r="K591" s="205">
        <v>0.90202174408799995</v>
      </c>
      <c r="L591" s="205">
        <v>81.647734144039276</v>
      </c>
      <c r="M591" s="205" t="s">
        <v>819</v>
      </c>
    </row>
    <row r="592" spans="1:13" x14ac:dyDescent="0.25">
      <c r="A592">
        <v>591</v>
      </c>
      <c r="B592" t="s">
        <v>815</v>
      </c>
      <c r="C592" t="s">
        <v>831</v>
      </c>
      <c r="D592">
        <v>7</v>
      </c>
      <c r="E592" s="203">
        <v>-0.11795903864963644</v>
      </c>
      <c r="F592" s="203">
        <v>45.30500568229656</v>
      </c>
      <c r="G592" s="203" t="s">
        <v>819</v>
      </c>
      <c r="H592" s="204">
        <v>-0.51337886027686419</v>
      </c>
      <c r="I592" s="204">
        <v>30.384316503724062</v>
      </c>
      <c r="J592" s="204" t="s">
        <v>819</v>
      </c>
      <c r="K592" s="205">
        <v>-1.5144055875257936</v>
      </c>
      <c r="L592" s="205">
        <v>6.4961501497474208</v>
      </c>
      <c r="M592" s="205" t="s">
        <v>825</v>
      </c>
    </row>
    <row r="593" spans="1:13" x14ac:dyDescent="0.25">
      <c r="A593">
        <v>592</v>
      </c>
      <c r="B593" t="s">
        <v>815</v>
      </c>
      <c r="C593" t="s">
        <v>830</v>
      </c>
      <c r="D593">
        <v>7</v>
      </c>
      <c r="E593" s="203">
        <v>0.52572169137913416</v>
      </c>
      <c r="F593" s="203">
        <v>70.045920483929152</v>
      </c>
      <c r="G593" s="203" t="s">
        <v>819</v>
      </c>
      <c r="H593" s="204">
        <v>-0.8247629083861705</v>
      </c>
      <c r="I593" s="204">
        <v>20.475310430853085</v>
      </c>
      <c r="J593" s="204" t="s">
        <v>819</v>
      </c>
      <c r="K593" s="205">
        <v>0.74440822807021723</v>
      </c>
      <c r="L593" s="205">
        <v>77.168522866744965</v>
      </c>
      <c r="M593" s="205" t="s">
        <v>819</v>
      </c>
    </row>
    <row r="594" spans="1:13" x14ac:dyDescent="0.25">
      <c r="A594">
        <v>593</v>
      </c>
      <c r="B594" t="s">
        <v>815</v>
      </c>
      <c r="C594" t="s">
        <v>830</v>
      </c>
      <c r="D594">
        <v>7</v>
      </c>
      <c r="E594" s="203">
        <v>0.26776365614355097</v>
      </c>
      <c r="F594" s="203">
        <v>60.555937617235543</v>
      </c>
      <c r="G594" s="203" t="s">
        <v>819</v>
      </c>
      <c r="H594" s="204">
        <v>-1.5456776769922029</v>
      </c>
      <c r="I594" s="204">
        <v>6.1091215531149841</v>
      </c>
      <c r="J594" s="204" t="s">
        <v>819</v>
      </c>
      <c r="K594" s="205">
        <v>1.6164411557912626</v>
      </c>
      <c r="L594" s="205">
        <v>94.70005168733995</v>
      </c>
      <c r="M594" s="205" t="s">
        <v>820</v>
      </c>
    </row>
    <row r="595" spans="1:13" x14ac:dyDescent="0.25">
      <c r="A595">
        <v>594</v>
      </c>
      <c r="B595" t="s">
        <v>815</v>
      </c>
      <c r="C595" t="s">
        <v>830</v>
      </c>
      <c r="D595">
        <v>6</v>
      </c>
      <c r="E595" s="203">
        <v>0.42385206973847728</v>
      </c>
      <c r="F595" s="203">
        <v>66.416314939265675</v>
      </c>
      <c r="G595" s="203" t="s">
        <v>819</v>
      </c>
      <c r="H595" s="204">
        <v>-0.99100734473297925</v>
      </c>
      <c r="I595" s="204">
        <v>16.084099693564301</v>
      </c>
      <c r="J595" s="204" t="s">
        <v>819</v>
      </c>
      <c r="K595" s="205">
        <v>3.5920403163708117</v>
      </c>
      <c r="L595" s="205">
        <v>99.983595046287078</v>
      </c>
      <c r="M595" s="205" t="s">
        <v>820</v>
      </c>
    </row>
    <row r="596" spans="1:13" x14ac:dyDescent="0.25">
      <c r="A596">
        <v>595</v>
      </c>
      <c r="B596" t="s">
        <v>815</v>
      </c>
      <c r="C596" t="s">
        <v>830</v>
      </c>
      <c r="D596">
        <v>7</v>
      </c>
      <c r="E596" s="203">
        <v>0.24784067641612462</v>
      </c>
      <c r="F596" s="203">
        <v>59.787115934409506</v>
      </c>
      <c r="G596" s="203" t="s">
        <v>819</v>
      </c>
      <c r="H596" s="204">
        <v>-1.8747495140705766</v>
      </c>
      <c r="I596" s="204">
        <v>3.0413595806075842</v>
      </c>
      <c r="J596" s="204" t="s">
        <v>824</v>
      </c>
      <c r="K596" s="205">
        <v>0.19533560842360573</v>
      </c>
      <c r="L596" s="205">
        <v>57.743488877126325</v>
      </c>
      <c r="M596" s="205" t="s">
        <v>819</v>
      </c>
    </row>
    <row r="597" spans="1:13" x14ac:dyDescent="0.25">
      <c r="A597">
        <v>596</v>
      </c>
      <c r="B597" t="s">
        <v>815</v>
      </c>
      <c r="C597" t="s">
        <v>831</v>
      </c>
      <c r="D597">
        <v>7</v>
      </c>
      <c r="E597" s="203">
        <v>0.76793762104681784</v>
      </c>
      <c r="F597" s="203">
        <v>77.87378773617678</v>
      </c>
      <c r="G597" s="203" t="s">
        <v>819</v>
      </c>
      <c r="H597" s="204">
        <v>-1.461602847399325</v>
      </c>
      <c r="I597" s="204">
        <v>7.1925036835381695</v>
      </c>
      <c r="J597" s="204" t="s">
        <v>819</v>
      </c>
      <c r="K597" s="205">
        <v>1.1007575101619966</v>
      </c>
      <c r="L597" s="205">
        <v>86.44988955402907</v>
      </c>
      <c r="M597" s="205" t="s">
        <v>820</v>
      </c>
    </row>
    <row r="598" spans="1:13" x14ac:dyDescent="0.25">
      <c r="A598">
        <v>597</v>
      </c>
      <c r="B598" t="s">
        <v>815</v>
      </c>
      <c r="C598" t="s">
        <v>830</v>
      </c>
      <c r="D598">
        <v>6</v>
      </c>
      <c r="E598" s="203">
        <v>0.52128983218877445</v>
      </c>
      <c r="F598" s="203">
        <v>69.89175584810252</v>
      </c>
      <c r="G598" s="203" t="s">
        <v>819</v>
      </c>
      <c r="H598" s="204">
        <v>-1.1239650859487014</v>
      </c>
      <c r="I598" s="204">
        <v>13.051391891309095</v>
      </c>
      <c r="J598" s="204" t="s">
        <v>819</v>
      </c>
      <c r="K598" s="205">
        <v>2.401552061091405</v>
      </c>
      <c r="L598" s="205">
        <v>99.183715708567306</v>
      </c>
      <c r="M598" s="205" t="s">
        <v>820</v>
      </c>
    </row>
    <row r="599" spans="1:13" x14ac:dyDescent="0.25">
      <c r="A599">
        <v>598</v>
      </c>
      <c r="B599" t="s">
        <v>815</v>
      </c>
      <c r="C599" t="s">
        <v>830</v>
      </c>
      <c r="D599">
        <v>6</v>
      </c>
      <c r="E599" s="203">
        <v>-0.43010787585030746</v>
      </c>
      <c r="F599" s="203">
        <v>33.355858559162158</v>
      </c>
      <c r="G599" s="203" t="s">
        <v>819</v>
      </c>
      <c r="H599" s="204">
        <v>-0.4437414394927271</v>
      </c>
      <c r="I599" s="204">
        <v>32.861476570081244</v>
      </c>
      <c r="J599" s="204" t="s">
        <v>819</v>
      </c>
      <c r="K599" s="205">
        <v>0.57167460790485281</v>
      </c>
      <c r="L599" s="205">
        <v>71.622877999235087</v>
      </c>
      <c r="M599" s="205" t="s">
        <v>819</v>
      </c>
    </row>
    <row r="600" spans="1:13" x14ac:dyDescent="0.25">
      <c r="A600">
        <v>599</v>
      </c>
      <c r="B600" t="s">
        <v>815</v>
      </c>
      <c r="C600" t="s">
        <v>830</v>
      </c>
      <c r="D600">
        <v>7</v>
      </c>
      <c r="E600" s="203">
        <v>0.23955283287555718</v>
      </c>
      <c r="F600" s="203">
        <v>59.466153299520272</v>
      </c>
      <c r="G600" s="203" t="s">
        <v>819</v>
      </c>
      <c r="H600" s="204">
        <v>-1.0282452043754671</v>
      </c>
      <c r="I600" s="204">
        <v>15.191724970622245</v>
      </c>
      <c r="J600" s="204" t="s">
        <v>819</v>
      </c>
      <c r="K600" s="205">
        <v>0.80988309637070255</v>
      </c>
      <c r="L600" s="205">
        <v>79.099631607085627</v>
      </c>
      <c r="M600" s="205" t="s">
        <v>819</v>
      </c>
    </row>
    <row r="601" spans="1:13" x14ac:dyDescent="0.25">
      <c r="A601">
        <v>600</v>
      </c>
      <c r="B601" t="s">
        <v>815</v>
      </c>
      <c r="C601" t="s">
        <v>830</v>
      </c>
      <c r="D601">
        <v>7</v>
      </c>
      <c r="E601" s="203">
        <v>1.731052985434073</v>
      </c>
      <c r="F601" s="203">
        <v>95.82788426940516</v>
      </c>
      <c r="G601" s="203" t="s">
        <v>816</v>
      </c>
      <c r="H601" s="204">
        <v>1.0549780290435722</v>
      </c>
      <c r="I601" s="204">
        <v>85.428231334816473</v>
      </c>
      <c r="J601" s="204" t="s">
        <v>819</v>
      </c>
      <c r="K601" s="205">
        <v>2.2230659282536944</v>
      </c>
      <c r="L601" s="205">
        <v>98.689432264267168</v>
      </c>
      <c r="M601" s="205" t="s">
        <v>820</v>
      </c>
    </row>
    <row r="602" spans="1:13" x14ac:dyDescent="0.25">
      <c r="A602">
        <v>601</v>
      </c>
      <c r="B602" t="s">
        <v>815</v>
      </c>
      <c r="C602" t="s">
        <v>831</v>
      </c>
      <c r="D602">
        <v>7</v>
      </c>
      <c r="E602" s="203">
        <v>2.7596179623372179</v>
      </c>
      <c r="F602" s="203">
        <v>99.710655046266041</v>
      </c>
      <c r="G602" s="203" t="s">
        <v>816</v>
      </c>
      <c r="H602" s="204">
        <v>4.1990369880196727</v>
      </c>
      <c r="I602" s="204">
        <v>99.998659737316459</v>
      </c>
      <c r="J602" s="204" t="s">
        <v>817</v>
      </c>
      <c r="K602" s="205">
        <v>-2.0168733898308662</v>
      </c>
      <c r="L602" s="205">
        <v>2.1854363840532605</v>
      </c>
      <c r="M602" s="205" t="s">
        <v>818</v>
      </c>
    </row>
    <row r="603" spans="1:13" x14ac:dyDescent="0.25">
      <c r="A603">
        <v>602</v>
      </c>
      <c r="B603" t="s">
        <v>815</v>
      </c>
      <c r="C603" t="s">
        <v>831</v>
      </c>
      <c r="D603">
        <v>7</v>
      </c>
      <c r="E603" s="203">
        <v>0.21759112674543746</v>
      </c>
      <c r="F603" s="203">
        <v>58.612615065797357</v>
      </c>
      <c r="G603" s="203" t="s">
        <v>819</v>
      </c>
      <c r="H603" s="204">
        <v>-1.334030544833354</v>
      </c>
      <c r="I603" s="204">
        <v>9.1096923159098271</v>
      </c>
      <c r="J603" s="204" t="s">
        <v>819</v>
      </c>
      <c r="K603" s="205">
        <v>1.4035886459137483</v>
      </c>
      <c r="L603" s="205">
        <v>91.977931095964266</v>
      </c>
      <c r="M603" s="205" t="s">
        <v>820</v>
      </c>
    </row>
    <row r="604" spans="1:13" x14ac:dyDescent="0.25">
      <c r="A604">
        <v>603</v>
      </c>
      <c r="B604" t="s">
        <v>815</v>
      </c>
      <c r="C604" t="s">
        <v>830</v>
      </c>
      <c r="D604">
        <v>7</v>
      </c>
      <c r="E604" s="203">
        <v>-0.68740715911642503</v>
      </c>
      <c r="F604" s="203">
        <v>24.591309373481522</v>
      </c>
      <c r="G604" s="203" t="s">
        <v>819</v>
      </c>
      <c r="H604" s="204">
        <v>-1.7452436849849895</v>
      </c>
      <c r="I604" s="204">
        <v>4.0471229997195977</v>
      </c>
      <c r="J604" s="204" t="s">
        <v>824</v>
      </c>
      <c r="K604" s="205">
        <v>-0.56916382591451964</v>
      </c>
      <c r="L604" s="205">
        <v>28.462248356319648</v>
      </c>
      <c r="M604" s="205" t="s">
        <v>819</v>
      </c>
    </row>
    <row r="605" spans="1:13" x14ac:dyDescent="0.25">
      <c r="A605">
        <v>604</v>
      </c>
      <c r="B605" t="s">
        <v>815</v>
      </c>
      <c r="C605" t="s">
        <v>831</v>
      </c>
      <c r="D605">
        <v>6</v>
      </c>
      <c r="E605" s="203">
        <v>-0.42972832536294597</v>
      </c>
      <c r="F605" s="203">
        <v>33.36966381264395</v>
      </c>
      <c r="G605" s="203" t="s">
        <v>819</v>
      </c>
      <c r="H605" s="204">
        <v>-0.71000376337924909</v>
      </c>
      <c r="I605" s="204">
        <v>23.885090121710377</v>
      </c>
      <c r="J605" s="204" t="s">
        <v>819</v>
      </c>
      <c r="K605" s="205">
        <v>0.85142805129817334</v>
      </c>
      <c r="L605" s="205">
        <v>80.273419258366999</v>
      </c>
      <c r="M605" s="205" t="s">
        <v>819</v>
      </c>
    </row>
    <row r="606" spans="1:13" x14ac:dyDescent="0.25">
      <c r="A606">
        <v>605</v>
      </c>
      <c r="B606" t="s">
        <v>815</v>
      </c>
      <c r="C606" t="s">
        <v>831</v>
      </c>
      <c r="D606">
        <v>7</v>
      </c>
      <c r="E606" s="203">
        <v>-0.28535478809945419</v>
      </c>
      <c r="F606" s="203">
        <v>38.768617099293024</v>
      </c>
      <c r="G606" s="203" t="s">
        <v>819</v>
      </c>
      <c r="H606" s="204">
        <v>-1.4244112784135001</v>
      </c>
      <c r="I606" s="204">
        <v>7.7163725639022616</v>
      </c>
      <c r="J606" s="204" t="s">
        <v>819</v>
      </c>
      <c r="K606" s="205">
        <v>1.0363854495173197</v>
      </c>
      <c r="L606" s="205">
        <v>84.998882209611111</v>
      </c>
      <c r="M606" s="205" t="s">
        <v>819</v>
      </c>
    </row>
    <row r="607" spans="1:13" x14ac:dyDescent="0.25">
      <c r="A607">
        <v>606</v>
      </c>
      <c r="B607" t="s">
        <v>815</v>
      </c>
      <c r="C607" t="s">
        <v>830</v>
      </c>
      <c r="D607">
        <v>7</v>
      </c>
      <c r="E607" s="203">
        <v>-0.50035759200991614</v>
      </c>
      <c r="F607" s="203">
        <v>30.841165423500776</v>
      </c>
      <c r="G607" s="203" t="s">
        <v>819</v>
      </c>
      <c r="H607" s="204">
        <v>-0.44075999793026088</v>
      </c>
      <c r="I607" s="204">
        <v>32.969337793779651</v>
      </c>
      <c r="J607" s="204" t="s">
        <v>819</v>
      </c>
      <c r="K607" s="205">
        <v>-0.43513248150550771</v>
      </c>
      <c r="L607" s="205">
        <v>33.173313386740986</v>
      </c>
      <c r="M607" s="205" t="s">
        <v>819</v>
      </c>
    </row>
    <row r="608" spans="1:13" x14ac:dyDescent="0.25">
      <c r="A608">
        <v>607</v>
      </c>
      <c r="B608" t="s">
        <v>815</v>
      </c>
      <c r="C608" t="s">
        <v>830</v>
      </c>
      <c r="D608">
        <v>6</v>
      </c>
      <c r="E608" s="203">
        <v>-0.62038741745812487</v>
      </c>
      <c r="F608" s="203">
        <v>26.750137717408084</v>
      </c>
      <c r="G608" s="203" t="s">
        <v>819</v>
      </c>
      <c r="H608" s="204">
        <v>-0.35689290691966108</v>
      </c>
      <c r="I608" s="204">
        <v>36.05859899618725</v>
      </c>
      <c r="J608" s="204" t="s">
        <v>819</v>
      </c>
      <c r="K608" s="205">
        <v>2.734478131575437</v>
      </c>
      <c r="L608" s="205">
        <v>99.687603772835601</v>
      </c>
      <c r="M608" s="205" t="s">
        <v>820</v>
      </c>
    </row>
    <row r="609" spans="1:13" x14ac:dyDescent="0.25">
      <c r="A609">
        <v>608</v>
      </c>
      <c r="B609" t="s">
        <v>815</v>
      </c>
      <c r="C609" t="s">
        <v>831</v>
      </c>
      <c r="D609">
        <v>6</v>
      </c>
      <c r="E609" s="203">
        <v>0.30566711463525081</v>
      </c>
      <c r="F609" s="203">
        <v>62.007094283764744</v>
      </c>
      <c r="G609" s="203" t="s">
        <v>819</v>
      </c>
      <c r="H609" s="204">
        <v>-0.39483634529754963</v>
      </c>
      <c r="I609" s="204">
        <v>34.648183498221108</v>
      </c>
      <c r="J609" s="204" t="s">
        <v>819</v>
      </c>
      <c r="K609" s="205">
        <v>0.15924367467233225</v>
      </c>
      <c r="L609" s="205">
        <v>56.3261552277189</v>
      </c>
      <c r="M609" s="205" t="s">
        <v>819</v>
      </c>
    </row>
    <row r="610" spans="1:13" x14ac:dyDescent="0.25">
      <c r="A610">
        <v>609</v>
      </c>
      <c r="B610" t="s">
        <v>815</v>
      </c>
      <c r="C610" t="s">
        <v>830</v>
      </c>
      <c r="D610">
        <v>7</v>
      </c>
      <c r="E610" s="203">
        <v>1.5455054132705066</v>
      </c>
      <c r="F610" s="203">
        <v>93.888796972812187</v>
      </c>
      <c r="G610" s="203" t="s">
        <v>819</v>
      </c>
      <c r="H610" s="204">
        <v>-0.92648744130376459</v>
      </c>
      <c r="I610" s="204">
        <v>17.709636035504229</v>
      </c>
      <c r="J610" s="204" t="s">
        <v>819</v>
      </c>
      <c r="K610" s="205">
        <v>3.1019194051249328</v>
      </c>
      <c r="L610" s="205">
        <v>99.903864851435429</v>
      </c>
      <c r="M610" s="205" t="s">
        <v>820</v>
      </c>
    </row>
    <row r="611" spans="1:13" x14ac:dyDescent="0.25">
      <c r="A611">
        <v>610</v>
      </c>
      <c r="B611" t="s">
        <v>815</v>
      </c>
      <c r="C611" t="s">
        <v>831</v>
      </c>
      <c r="D611">
        <v>8</v>
      </c>
      <c r="E611" s="203">
        <v>4.578997414141476</v>
      </c>
      <c r="F611" s="203">
        <v>99.999766395013154</v>
      </c>
      <c r="G611" s="203" t="s">
        <v>816</v>
      </c>
      <c r="H611" s="204">
        <v>3.385667477353457</v>
      </c>
      <c r="I611" s="204">
        <v>99.96449731658889</v>
      </c>
      <c r="J611" s="204" t="s">
        <v>817</v>
      </c>
      <c r="K611" s="205">
        <v>-4.8743949671053688</v>
      </c>
      <c r="L611" s="205">
        <v>5.4571217290030488E-5</v>
      </c>
      <c r="M611" s="205" t="s">
        <v>818</v>
      </c>
    </row>
    <row r="612" spans="1:13" x14ac:dyDescent="0.25">
      <c r="A612">
        <v>611</v>
      </c>
      <c r="B612" t="s">
        <v>815</v>
      </c>
      <c r="C612" t="s">
        <v>831</v>
      </c>
      <c r="D612">
        <v>8</v>
      </c>
      <c r="E612" s="203">
        <v>-0.25592031713245905</v>
      </c>
      <c r="F612" s="203">
        <v>39.900618306016241</v>
      </c>
      <c r="G612" s="203" t="s">
        <v>819</v>
      </c>
      <c r="H612" s="204">
        <v>-0.39839816704536024</v>
      </c>
      <c r="I612" s="204">
        <v>34.5168354411175</v>
      </c>
      <c r="J612" s="204" t="s">
        <v>819</v>
      </c>
      <c r="K612" s="205">
        <v>1.0017949170590772</v>
      </c>
      <c r="L612" s="205">
        <v>84.17786736681505</v>
      </c>
      <c r="M612" s="205" t="s">
        <v>819</v>
      </c>
    </row>
    <row r="613" spans="1:13" x14ac:dyDescent="0.25">
      <c r="A613">
        <v>612</v>
      </c>
      <c r="B613" t="s">
        <v>815</v>
      </c>
      <c r="C613" t="s">
        <v>831</v>
      </c>
      <c r="D613">
        <v>7</v>
      </c>
      <c r="E613" s="203">
        <v>-0.98845886127785065</v>
      </c>
      <c r="F613" s="203">
        <v>16.146398626539071</v>
      </c>
      <c r="G613" s="203" t="s">
        <v>819</v>
      </c>
      <c r="H613" s="204">
        <v>-1.3521054801225616</v>
      </c>
      <c r="I613" s="204">
        <v>8.8170787240335287</v>
      </c>
      <c r="J613" s="204" t="s">
        <v>819</v>
      </c>
      <c r="K613" s="205">
        <v>-0.991334685960227</v>
      </c>
      <c r="L613" s="205">
        <v>16.076109064260415</v>
      </c>
      <c r="M613" s="205" t="s">
        <v>819</v>
      </c>
    </row>
    <row r="614" spans="1:13" x14ac:dyDescent="0.25">
      <c r="A614">
        <v>613</v>
      </c>
      <c r="B614" t="s">
        <v>815</v>
      </c>
      <c r="C614" t="s">
        <v>830</v>
      </c>
      <c r="D614">
        <v>8</v>
      </c>
      <c r="E614" s="203">
        <v>0.57890685392313046</v>
      </c>
      <c r="F614" s="203">
        <v>71.867398737077764</v>
      </c>
      <c r="G614" s="203" t="s">
        <v>819</v>
      </c>
      <c r="H614" s="204">
        <v>-0.84525217763926919</v>
      </c>
      <c r="I614" s="204">
        <v>19.898502776452244</v>
      </c>
      <c r="J614" s="204" t="s">
        <v>819</v>
      </c>
      <c r="K614" s="205">
        <v>0.38824040757763073</v>
      </c>
      <c r="L614" s="205">
        <v>65.108093356556509</v>
      </c>
      <c r="M614" s="205" t="s">
        <v>819</v>
      </c>
    </row>
    <row r="615" spans="1:13" x14ac:dyDescent="0.25">
      <c r="A615">
        <v>614</v>
      </c>
      <c r="B615" t="s">
        <v>815</v>
      </c>
      <c r="C615" t="s">
        <v>831</v>
      </c>
      <c r="D615">
        <v>8</v>
      </c>
      <c r="E615" s="203">
        <v>-0.69398687293546124</v>
      </c>
      <c r="F615" s="203">
        <v>24.384522063433501</v>
      </c>
      <c r="G615" s="203" t="s">
        <v>819</v>
      </c>
      <c r="H615" s="204">
        <v>-2.2825910343099811</v>
      </c>
      <c r="I615" s="204">
        <v>1.1227234787807017</v>
      </c>
      <c r="J615" s="204" t="s">
        <v>824</v>
      </c>
      <c r="K615" s="205">
        <v>-0.50296407869639947</v>
      </c>
      <c r="L615" s="205">
        <v>30.749476382626096</v>
      </c>
      <c r="M615" s="205" t="s">
        <v>819</v>
      </c>
    </row>
    <row r="616" spans="1:13" x14ac:dyDescent="0.25">
      <c r="A616">
        <v>615</v>
      </c>
      <c r="B616" t="s">
        <v>815</v>
      </c>
      <c r="C616" t="s">
        <v>830</v>
      </c>
      <c r="D616">
        <v>7</v>
      </c>
      <c r="E616" s="203">
        <v>2.168841131457953</v>
      </c>
      <c r="F616" s="203">
        <v>98.495262633765961</v>
      </c>
      <c r="G616" s="203" t="s">
        <v>816</v>
      </c>
      <c r="H616" s="204">
        <v>2.7948498479852648</v>
      </c>
      <c r="I616" s="204">
        <v>99.740380872491144</v>
      </c>
      <c r="J616" s="204" t="s">
        <v>817</v>
      </c>
      <c r="K616" s="205">
        <v>-0.38431507567430728</v>
      </c>
      <c r="L616" s="205">
        <v>35.037246780580247</v>
      </c>
      <c r="M616" s="205" t="s">
        <v>819</v>
      </c>
    </row>
    <row r="617" spans="1:13" x14ac:dyDescent="0.25">
      <c r="A617">
        <v>616</v>
      </c>
      <c r="B617" t="s">
        <v>815</v>
      </c>
      <c r="C617" t="s">
        <v>831</v>
      </c>
      <c r="D617">
        <v>7</v>
      </c>
      <c r="E617" s="203">
        <v>-1.7677495634223257</v>
      </c>
      <c r="F617" s="203">
        <v>3.8551390057264467</v>
      </c>
      <c r="G617" s="203" t="s">
        <v>818</v>
      </c>
      <c r="H617" s="204">
        <v>-0.54558044914719173</v>
      </c>
      <c r="I617" s="204">
        <v>29.267718324051707</v>
      </c>
      <c r="J617" s="204" t="s">
        <v>819</v>
      </c>
      <c r="K617" s="205">
        <v>-0.19074646854593333</v>
      </c>
      <c r="L617" s="205">
        <v>42.436211519821278</v>
      </c>
      <c r="M617" s="205" t="s">
        <v>819</v>
      </c>
    </row>
    <row r="618" spans="1:13" x14ac:dyDescent="0.25">
      <c r="A618">
        <v>617</v>
      </c>
      <c r="B618" t="s">
        <v>815</v>
      </c>
      <c r="C618" t="s">
        <v>830</v>
      </c>
      <c r="D618">
        <v>8</v>
      </c>
      <c r="E618" s="203">
        <v>-1.1507622027809281</v>
      </c>
      <c r="F618" s="203">
        <v>12.491503922813383</v>
      </c>
      <c r="G618" s="203" t="s">
        <v>819</v>
      </c>
      <c r="H618" s="204">
        <v>-1.2949353193842263</v>
      </c>
      <c r="I618" s="204">
        <v>9.7671271577250511</v>
      </c>
      <c r="J618" s="204" t="s">
        <v>819</v>
      </c>
      <c r="K618" s="205">
        <v>-1.2863356034398346</v>
      </c>
      <c r="L618" s="205">
        <v>9.9162981027082626</v>
      </c>
      <c r="M618" s="205" t="s">
        <v>825</v>
      </c>
    </row>
    <row r="619" spans="1:13" x14ac:dyDescent="0.25">
      <c r="A619">
        <v>618</v>
      </c>
      <c r="B619" t="s">
        <v>815</v>
      </c>
      <c r="C619" t="s">
        <v>831</v>
      </c>
      <c r="D619">
        <v>7</v>
      </c>
      <c r="E619" s="203">
        <v>1.2966293765519399</v>
      </c>
      <c r="F619" s="203">
        <v>90.262063015818711</v>
      </c>
      <c r="G619" s="203" t="s">
        <v>819</v>
      </c>
      <c r="H619" s="204">
        <v>9.9680110795145146E-2</v>
      </c>
      <c r="I619" s="204">
        <v>53.970085441340565</v>
      </c>
      <c r="J619" s="204" t="s">
        <v>819</v>
      </c>
      <c r="K619" s="205">
        <v>0.99902277407451179</v>
      </c>
      <c r="L619" s="205">
        <v>84.110817046589901</v>
      </c>
      <c r="M619" s="205" t="s">
        <v>819</v>
      </c>
    </row>
    <row r="620" spans="1:13" x14ac:dyDescent="0.25">
      <c r="A620">
        <v>619</v>
      </c>
      <c r="B620" t="s">
        <v>815</v>
      </c>
      <c r="C620" t="s">
        <v>830</v>
      </c>
      <c r="D620">
        <v>7</v>
      </c>
      <c r="E620" s="203">
        <v>-0.42306331599947705</v>
      </c>
      <c r="F620" s="203">
        <v>33.61245330928142</v>
      </c>
      <c r="G620" s="203" t="s">
        <v>819</v>
      </c>
      <c r="H620" s="204">
        <v>-0.84560477149221014</v>
      </c>
      <c r="I620" s="204">
        <v>19.888663142053122</v>
      </c>
      <c r="J620" s="204" t="s">
        <v>819</v>
      </c>
      <c r="K620" s="205">
        <v>-0.47442753016676753</v>
      </c>
      <c r="L620" s="205">
        <v>31.759753253091361</v>
      </c>
      <c r="M620" s="205" t="s">
        <v>819</v>
      </c>
    </row>
    <row r="621" spans="1:13" x14ac:dyDescent="0.25">
      <c r="A621">
        <v>620</v>
      </c>
      <c r="B621" t="s">
        <v>815</v>
      </c>
      <c r="C621" t="s">
        <v>831</v>
      </c>
      <c r="D621">
        <v>8</v>
      </c>
      <c r="E621" s="203">
        <v>0.25127426412554044</v>
      </c>
      <c r="F621" s="203">
        <v>59.919896438618039</v>
      </c>
      <c r="G621" s="203" t="s">
        <v>819</v>
      </c>
      <c r="H621" s="204">
        <v>-0.64367653787737389</v>
      </c>
      <c r="I621" s="204">
        <v>25.989260358203207</v>
      </c>
      <c r="J621" s="204" t="s">
        <v>819</v>
      </c>
      <c r="K621" s="205">
        <v>2.2614733081825595</v>
      </c>
      <c r="L621" s="205">
        <v>98.813501813327903</v>
      </c>
      <c r="M621" s="205" t="s">
        <v>820</v>
      </c>
    </row>
    <row r="622" spans="1:13" x14ac:dyDescent="0.25">
      <c r="A622">
        <v>621</v>
      </c>
      <c r="B622" t="s">
        <v>815</v>
      </c>
      <c r="C622" t="s">
        <v>830</v>
      </c>
      <c r="D622">
        <v>8</v>
      </c>
      <c r="E622" s="203">
        <v>3.220501028983698E-2</v>
      </c>
      <c r="F622" s="203">
        <v>51.284571969014571</v>
      </c>
      <c r="G622" s="203" t="s">
        <v>819</v>
      </c>
      <c r="H622" s="204">
        <v>-7.7749569014493156</v>
      </c>
      <c r="I622" s="204">
        <v>3.7736548662460159E-13</v>
      </c>
      <c r="J622" s="204" t="s">
        <v>824</v>
      </c>
      <c r="K622" s="205">
        <v>3.0949191040402191</v>
      </c>
      <c r="L622" s="205">
        <v>99.901566708368634</v>
      </c>
      <c r="M622" s="205" t="s">
        <v>820</v>
      </c>
    </row>
    <row r="623" spans="1:13" x14ac:dyDescent="0.25">
      <c r="A623">
        <v>622</v>
      </c>
      <c r="B623" t="s">
        <v>815</v>
      </c>
      <c r="C623" t="s">
        <v>831</v>
      </c>
      <c r="D623">
        <v>8</v>
      </c>
      <c r="E623" s="203">
        <v>-0.61333109074731229</v>
      </c>
      <c r="F623" s="203">
        <v>26.982871984483982</v>
      </c>
      <c r="G623" s="203" t="s">
        <v>819</v>
      </c>
      <c r="H623" s="204">
        <v>-1.18339292336357</v>
      </c>
      <c r="I623" s="204">
        <v>11.832673030708966</v>
      </c>
      <c r="J623" s="204" t="s">
        <v>819</v>
      </c>
      <c r="K623" s="205">
        <v>0.67070982916312361</v>
      </c>
      <c r="L623" s="205">
        <v>74.879730001012902</v>
      </c>
      <c r="M623" s="205" t="s">
        <v>819</v>
      </c>
    </row>
    <row r="624" spans="1:13" x14ac:dyDescent="0.25">
      <c r="A624">
        <v>623</v>
      </c>
      <c r="B624" t="s">
        <v>815</v>
      </c>
      <c r="C624" t="s">
        <v>830</v>
      </c>
      <c r="D624">
        <v>8</v>
      </c>
      <c r="E624" s="203">
        <v>-0.42919691113583019</v>
      </c>
      <c r="F624" s="203">
        <v>33.388996534627339</v>
      </c>
      <c r="G624" s="203" t="s">
        <v>819</v>
      </c>
      <c r="H624" s="204">
        <v>-1.1848889773991467</v>
      </c>
      <c r="I624" s="204">
        <v>11.803067304546854</v>
      </c>
      <c r="J624" s="204" t="s">
        <v>819</v>
      </c>
      <c r="K624" s="205">
        <v>1.9906227169056705</v>
      </c>
      <c r="L624" s="205">
        <v>97.673880956849814</v>
      </c>
      <c r="M624" s="205" t="s">
        <v>820</v>
      </c>
    </row>
    <row r="625" spans="1:13" x14ac:dyDescent="0.25">
      <c r="A625">
        <v>624</v>
      </c>
      <c r="B625" t="s">
        <v>815</v>
      </c>
      <c r="C625" t="s">
        <v>831</v>
      </c>
      <c r="D625">
        <v>8</v>
      </c>
      <c r="E625" s="203">
        <v>0.16675759106880006</v>
      </c>
      <c r="F625" s="203">
        <v>56.621960561076257</v>
      </c>
      <c r="G625" s="203" t="s">
        <v>819</v>
      </c>
      <c r="H625" s="204">
        <v>-0.95709768185266297</v>
      </c>
      <c r="I625" s="204">
        <v>16.925897678537712</v>
      </c>
      <c r="J625" s="204" t="s">
        <v>819</v>
      </c>
      <c r="K625" s="205">
        <v>-0.67324447128753184</v>
      </c>
      <c r="L625" s="205">
        <v>25.039588659611468</v>
      </c>
      <c r="M625" s="205" t="s">
        <v>819</v>
      </c>
    </row>
    <row r="626" spans="1:13" x14ac:dyDescent="0.25">
      <c r="A626">
        <v>625</v>
      </c>
      <c r="B626" t="s">
        <v>815</v>
      </c>
      <c r="C626" t="s">
        <v>830</v>
      </c>
      <c r="D626">
        <v>7</v>
      </c>
      <c r="E626" s="203">
        <v>0.38882641472347579</v>
      </c>
      <c r="F626" s="203">
        <v>65.129772035484081</v>
      </c>
      <c r="G626" s="203" t="s">
        <v>819</v>
      </c>
      <c r="H626" s="204">
        <v>-1.0521021909762518</v>
      </c>
      <c r="I626" s="204">
        <v>14.6376333523082</v>
      </c>
      <c r="J626" s="204" t="s">
        <v>819</v>
      </c>
      <c r="K626" s="205">
        <v>1.0445409719282113</v>
      </c>
      <c r="L626" s="205">
        <v>85.188241331772076</v>
      </c>
      <c r="M626" s="205" t="s">
        <v>820</v>
      </c>
    </row>
    <row r="627" spans="1:13" x14ac:dyDescent="0.25">
      <c r="A627">
        <v>626</v>
      </c>
      <c r="B627" t="s">
        <v>815</v>
      </c>
      <c r="C627" t="s">
        <v>830</v>
      </c>
      <c r="D627">
        <v>7</v>
      </c>
      <c r="E627" s="203">
        <v>-1.138906490279473</v>
      </c>
      <c r="F627" s="203">
        <v>12.737107914915969</v>
      </c>
      <c r="G627" s="203" t="s">
        <v>819</v>
      </c>
      <c r="H627" s="204">
        <v>-1.098492810537125</v>
      </c>
      <c r="I627" s="204">
        <v>13.599467766064235</v>
      </c>
      <c r="J627" s="204" t="s">
        <v>819</v>
      </c>
      <c r="K627" s="205">
        <v>0.80968235432267333</v>
      </c>
      <c r="L627" s="205">
        <v>79.093861889795434</v>
      </c>
      <c r="M627" s="205" t="s">
        <v>819</v>
      </c>
    </row>
    <row r="628" spans="1:13" x14ac:dyDescent="0.25">
      <c r="A628">
        <v>627</v>
      </c>
      <c r="B628" t="s">
        <v>815</v>
      </c>
      <c r="C628" t="s">
        <v>831</v>
      </c>
      <c r="D628">
        <v>7</v>
      </c>
      <c r="E628" s="203">
        <v>-1.2429092754054014</v>
      </c>
      <c r="F628" s="203">
        <v>10.695063366081291</v>
      </c>
      <c r="G628" s="203" t="s">
        <v>819</v>
      </c>
      <c r="H628" s="204">
        <v>-1.8637064725576056</v>
      </c>
      <c r="I628" s="204">
        <v>3.1181467976861015</v>
      </c>
      <c r="J628" s="204" t="s">
        <v>824</v>
      </c>
      <c r="K628" s="205">
        <v>-0.93503790598695391</v>
      </c>
      <c r="L628" s="205">
        <v>17.488438241087174</v>
      </c>
      <c r="M628" s="205" t="s">
        <v>819</v>
      </c>
    </row>
    <row r="629" spans="1:13" x14ac:dyDescent="0.25">
      <c r="A629">
        <v>628</v>
      </c>
      <c r="B629" t="s">
        <v>815</v>
      </c>
      <c r="C629" t="s">
        <v>831</v>
      </c>
      <c r="D629">
        <v>8</v>
      </c>
      <c r="E629" s="203">
        <v>1.3484161471306733</v>
      </c>
      <c r="F629" s="203">
        <v>91.123771330530914</v>
      </c>
      <c r="G629" s="203" t="s">
        <v>819</v>
      </c>
      <c r="H629" s="204">
        <v>-1.7953133080759847</v>
      </c>
      <c r="I629" s="204">
        <v>3.6301897949117956</v>
      </c>
      <c r="J629" s="204" t="s">
        <v>824</v>
      </c>
      <c r="K629" s="205">
        <v>3.4758870298143973</v>
      </c>
      <c r="L629" s="205">
        <v>99.974541664059899</v>
      </c>
      <c r="M629" s="205" t="s">
        <v>820</v>
      </c>
    </row>
    <row r="630" spans="1:13" x14ac:dyDescent="0.25">
      <c r="A630">
        <v>629</v>
      </c>
      <c r="B630" t="s">
        <v>815</v>
      </c>
      <c r="C630" t="s">
        <v>831</v>
      </c>
      <c r="D630">
        <v>8</v>
      </c>
      <c r="E630" s="203">
        <v>-1.0242465283900308</v>
      </c>
      <c r="F630" s="203">
        <v>15.285942354027169</v>
      </c>
      <c r="G630" s="203" t="s">
        <v>819</v>
      </c>
      <c r="H630" s="204">
        <v>-2.914416564961237</v>
      </c>
      <c r="I630" s="204">
        <v>0.17817702503787133</v>
      </c>
      <c r="J630" s="204" t="s">
        <v>824</v>
      </c>
      <c r="K630" s="205">
        <v>1.2661405033750319</v>
      </c>
      <c r="L630" s="205">
        <v>89.726860807159269</v>
      </c>
      <c r="M630" s="205" t="s">
        <v>820</v>
      </c>
    </row>
    <row r="631" spans="1:13" x14ac:dyDescent="0.25">
      <c r="A631">
        <v>630</v>
      </c>
      <c r="B631" t="s">
        <v>815</v>
      </c>
      <c r="C631" t="s">
        <v>830</v>
      </c>
      <c r="D631">
        <v>7</v>
      </c>
      <c r="E631" s="203">
        <v>-0.24410252242947808</v>
      </c>
      <c r="F631" s="203">
        <v>40.357570950777188</v>
      </c>
      <c r="G631" s="203" t="s">
        <v>819</v>
      </c>
      <c r="H631" s="204">
        <v>0.10858622587667977</v>
      </c>
      <c r="I631" s="204">
        <v>54.323465684721917</v>
      </c>
      <c r="J631" s="204" t="s">
        <v>819</v>
      </c>
      <c r="K631" s="205">
        <v>1.0886420566942572</v>
      </c>
      <c r="L631" s="205">
        <v>86.184411854771554</v>
      </c>
      <c r="M631" s="205" t="s">
        <v>820</v>
      </c>
    </row>
    <row r="632" spans="1:13" x14ac:dyDescent="0.25">
      <c r="A632">
        <v>631</v>
      </c>
      <c r="B632" t="s">
        <v>815</v>
      </c>
      <c r="C632" t="s">
        <v>831</v>
      </c>
      <c r="D632">
        <v>8</v>
      </c>
      <c r="E632" s="203">
        <v>-8.653761997681568E-2</v>
      </c>
      <c r="F632" s="203">
        <v>46.551952590414949</v>
      </c>
      <c r="G632" s="203" t="s">
        <v>819</v>
      </c>
      <c r="H632" s="204">
        <v>0.9138273986559432</v>
      </c>
      <c r="I632" s="204">
        <v>81.959622639101852</v>
      </c>
      <c r="J632" s="204" t="s">
        <v>819</v>
      </c>
      <c r="K632" s="205">
        <v>-2.721456570731601</v>
      </c>
      <c r="L632" s="205">
        <v>0.32497462316463582</v>
      </c>
      <c r="M632" s="205" t="s">
        <v>818</v>
      </c>
    </row>
    <row r="633" spans="1:13" x14ac:dyDescent="0.25">
      <c r="A633">
        <v>632</v>
      </c>
      <c r="B633" t="s">
        <v>815</v>
      </c>
      <c r="C633" t="s">
        <v>831</v>
      </c>
      <c r="D633">
        <v>8</v>
      </c>
      <c r="E633" s="203">
        <v>-1.1160988288162326</v>
      </c>
      <c r="F633" s="203">
        <v>13.218991671856827</v>
      </c>
      <c r="G633" s="203" t="s">
        <v>819</v>
      </c>
      <c r="H633" s="204">
        <v>-1.2256643850152915</v>
      </c>
      <c r="I633" s="204">
        <v>11.016249894439021</v>
      </c>
      <c r="J633" s="204" t="s">
        <v>819</v>
      </c>
      <c r="K633" s="205">
        <v>-0.96966857953836905</v>
      </c>
      <c r="L633" s="205">
        <v>16.610585848397459</v>
      </c>
      <c r="M633" s="205" t="s">
        <v>819</v>
      </c>
    </row>
    <row r="634" spans="1:13" x14ac:dyDescent="0.25">
      <c r="A634">
        <v>633</v>
      </c>
      <c r="B634" t="s">
        <v>815</v>
      </c>
      <c r="C634" t="s">
        <v>831</v>
      </c>
      <c r="D634">
        <v>8</v>
      </c>
      <c r="E634" s="203">
        <v>0.92372103876438838</v>
      </c>
      <c r="F634" s="203">
        <v>82.218421231086623</v>
      </c>
      <c r="G634" s="203" t="s">
        <v>819</v>
      </c>
      <c r="H634" s="204">
        <v>-0.19675558417454411</v>
      </c>
      <c r="I634" s="204">
        <v>42.200940514853635</v>
      </c>
      <c r="J634" s="204" t="s">
        <v>819</v>
      </c>
      <c r="K634" s="205">
        <v>1.3851891794049012</v>
      </c>
      <c r="L634" s="205">
        <v>91.700268574946008</v>
      </c>
      <c r="M634" s="205" t="s">
        <v>820</v>
      </c>
    </row>
    <row r="635" spans="1:13" x14ac:dyDescent="0.25">
      <c r="A635">
        <v>634</v>
      </c>
      <c r="B635" t="s">
        <v>815</v>
      </c>
      <c r="C635" t="s">
        <v>831</v>
      </c>
      <c r="D635">
        <v>7</v>
      </c>
      <c r="E635" s="203">
        <v>-1.2235168898350083E-2</v>
      </c>
      <c r="F635" s="203">
        <v>49.511899559943686</v>
      </c>
      <c r="G635" s="203" t="s">
        <v>819</v>
      </c>
      <c r="H635" s="204">
        <v>2.6461551430095251E-2</v>
      </c>
      <c r="I635" s="204">
        <v>51.055539981684149</v>
      </c>
      <c r="J635" s="204" t="s">
        <v>819</v>
      </c>
      <c r="K635" s="205">
        <v>-0.20196885774770576</v>
      </c>
      <c r="L635" s="205">
        <v>41.997053518437198</v>
      </c>
      <c r="M635" s="205" t="s">
        <v>819</v>
      </c>
    </row>
    <row r="636" spans="1:13" x14ac:dyDescent="0.25">
      <c r="A636">
        <v>635</v>
      </c>
      <c r="B636" t="s">
        <v>815</v>
      </c>
      <c r="C636" t="s">
        <v>830</v>
      </c>
      <c r="D636">
        <v>8</v>
      </c>
      <c r="E636" s="203">
        <v>0.40279208591390442</v>
      </c>
      <c r="F636" s="203">
        <v>65.64494081724807</v>
      </c>
      <c r="G636" s="203" t="s">
        <v>819</v>
      </c>
      <c r="H636" s="204">
        <v>-1.1754074473894618</v>
      </c>
      <c r="I636" s="204">
        <v>11.991587270036472</v>
      </c>
      <c r="J636" s="204" t="s">
        <v>819</v>
      </c>
      <c r="K636" s="205">
        <v>0.39799887370476866</v>
      </c>
      <c r="L636" s="205">
        <v>65.468449201422345</v>
      </c>
      <c r="M636" s="205" t="s">
        <v>819</v>
      </c>
    </row>
    <row r="637" spans="1:13" x14ac:dyDescent="0.25">
      <c r="A637">
        <v>636</v>
      </c>
      <c r="B637" t="s">
        <v>815</v>
      </c>
      <c r="C637" t="s">
        <v>830</v>
      </c>
      <c r="D637">
        <v>8</v>
      </c>
      <c r="E637" s="203">
        <v>-0.62795779772553439</v>
      </c>
      <c r="F637" s="203">
        <v>26.501579331127278</v>
      </c>
      <c r="G637" s="203" t="s">
        <v>819</v>
      </c>
      <c r="H637" s="204">
        <v>-0.42113555705950717</v>
      </c>
      <c r="I637" s="204">
        <v>33.682804922569176</v>
      </c>
      <c r="J637" s="204" t="s">
        <v>819</v>
      </c>
      <c r="K637" s="205">
        <v>1.0898555749479149</v>
      </c>
      <c r="L637" s="205">
        <v>86.21116157356974</v>
      </c>
      <c r="M637" s="205" t="s">
        <v>820</v>
      </c>
    </row>
    <row r="638" spans="1:13" x14ac:dyDescent="0.25">
      <c r="A638">
        <v>637</v>
      </c>
      <c r="B638" t="s">
        <v>815</v>
      </c>
      <c r="C638" t="s">
        <v>830</v>
      </c>
      <c r="D638">
        <v>8</v>
      </c>
      <c r="E638" s="203">
        <v>-0.47778175413223328</v>
      </c>
      <c r="F638" s="203">
        <v>31.640277444546179</v>
      </c>
      <c r="G638" s="203" t="s">
        <v>819</v>
      </c>
      <c r="H638" s="204">
        <v>-1.2278010200190865</v>
      </c>
      <c r="I638" s="204">
        <v>10.976083634008669</v>
      </c>
      <c r="J638" s="204" t="s">
        <v>819</v>
      </c>
      <c r="K638" s="205">
        <v>0.72652268337618697</v>
      </c>
      <c r="L638" s="205">
        <v>76.624079654828208</v>
      </c>
      <c r="M638" s="205" t="s">
        <v>819</v>
      </c>
    </row>
    <row r="639" spans="1:13" x14ac:dyDescent="0.25">
      <c r="A639">
        <v>638</v>
      </c>
      <c r="B639" t="s">
        <v>815</v>
      </c>
      <c r="C639" t="s">
        <v>830</v>
      </c>
      <c r="D639">
        <v>8</v>
      </c>
      <c r="E639" s="203">
        <v>1.0232644435598164</v>
      </c>
      <c r="F639" s="203">
        <v>84.690858477926156</v>
      </c>
      <c r="G639" s="203" t="s">
        <v>819</v>
      </c>
      <c r="H639" s="204">
        <v>-0.19840513211189742</v>
      </c>
      <c r="I639" s="204">
        <v>42.136405120827725</v>
      </c>
      <c r="J639" s="204" t="s">
        <v>819</v>
      </c>
      <c r="K639" s="205">
        <v>1.6346747093255127</v>
      </c>
      <c r="L639" s="205">
        <v>94.894137152808412</v>
      </c>
      <c r="M639" s="205" t="s">
        <v>820</v>
      </c>
    </row>
    <row r="640" spans="1:13" x14ac:dyDescent="0.25">
      <c r="A640">
        <v>639</v>
      </c>
      <c r="B640" t="s">
        <v>815</v>
      </c>
      <c r="C640" t="s">
        <v>831</v>
      </c>
      <c r="D640">
        <v>8</v>
      </c>
      <c r="E640" s="203">
        <v>-0.9138819685710563</v>
      </c>
      <c r="F640" s="203">
        <v>18.038943466772405</v>
      </c>
      <c r="G640" s="203" t="s">
        <v>819</v>
      </c>
      <c r="H640" s="204">
        <v>-1.1425316589265833</v>
      </c>
      <c r="I640" s="204">
        <v>12.661654712787374</v>
      </c>
      <c r="J640" s="204" t="s">
        <v>819</v>
      </c>
      <c r="K640" s="205">
        <v>-0.14574352335601129</v>
      </c>
      <c r="L640" s="205">
        <v>44.206193075601107</v>
      </c>
      <c r="M640" s="205" t="s">
        <v>819</v>
      </c>
    </row>
    <row r="641" spans="1:13" x14ac:dyDescent="0.25">
      <c r="A641">
        <v>640</v>
      </c>
      <c r="B641" t="s">
        <v>815</v>
      </c>
      <c r="C641" t="s">
        <v>831</v>
      </c>
      <c r="D641">
        <v>8</v>
      </c>
      <c r="E641" s="203">
        <v>0.33666139407820683</v>
      </c>
      <c r="F641" s="203">
        <v>63.181391541637254</v>
      </c>
      <c r="G641" s="203" t="s">
        <v>819</v>
      </c>
      <c r="H641" s="204">
        <v>-2.1631532942838874</v>
      </c>
      <c r="I641" s="204">
        <v>1.5264695597147329</v>
      </c>
      <c r="J641" s="204" t="s">
        <v>824</v>
      </c>
      <c r="K641" s="205">
        <v>2.196845247315462</v>
      </c>
      <c r="L641" s="205">
        <v>98.598424984046375</v>
      </c>
      <c r="M641" s="205" t="s">
        <v>820</v>
      </c>
    </row>
    <row r="642" spans="1:13" x14ac:dyDescent="0.25">
      <c r="A642">
        <v>641</v>
      </c>
      <c r="B642" t="s">
        <v>815</v>
      </c>
      <c r="C642" t="s">
        <v>830</v>
      </c>
      <c r="D642">
        <v>8</v>
      </c>
      <c r="E642" s="203">
        <v>-0.65389652214146177</v>
      </c>
      <c r="F642" s="203">
        <v>25.658923737614899</v>
      </c>
      <c r="G642" s="203" t="s">
        <v>819</v>
      </c>
      <c r="H642" s="204">
        <v>-2.3717788643960702</v>
      </c>
      <c r="I642" s="204">
        <v>0.88513411244542717</v>
      </c>
      <c r="J642" s="204" t="s">
        <v>824</v>
      </c>
      <c r="K642" s="205">
        <v>-0.56771127476590033</v>
      </c>
      <c r="L642" s="205">
        <v>28.511551724178307</v>
      </c>
      <c r="M642" s="205" t="s">
        <v>819</v>
      </c>
    </row>
    <row r="643" spans="1:13" x14ac:dyDescent="0.25">
      <c r="A643">
        <v>642</v>
      </c>
      <c r="B643" t="s">
        <v>815</v>
      </c>
      <c r="C643" t="s">
        <v>830</v>
      </c>
      <c r="D643">
        <v>8</v>
      </c>
      <c r="E643" s="203">
        <v>-0.22398979627204485</v>
      </c>
      <c r="F643" s="203">
        <v>41.138262146473366</v>
      </c>
      <c r="G643" s="203" t="s">
        <v>819</v>
      </c>
      <c r="H643" s="204">
        <v>-0.5117660833898543</v>
      </c>
      <c r="I643" s="204">
        <v>30.44073650743012</v>
      </c>
      <c r="J643" s="204" t="s">
        <v>819</v>
      </c>
      <c r="K643" s="205">
        <v>1.576295389552042</v>
      </c>
      <c r="L643" s="205">
        <v>94.252112816264642</v>
      </c>
      <c r="M643" s="205" t="s">
        <v>820</v>
      </c>
    </row>
    <row r="644" spans="1:13" x14ac:dyDescent="0.25">
      <c r="A644">
        <v>643</v>
      </c>
      <c r="B644" t="s">
        <v>815</v>
      </c>
      <c r="C644" t="s">
        <v>830</v>
      </c>
      <c r="D644">
        <v>8</v>
      </c>
      <c r="E644" s="203">
        <v>-1.1507622027809281</v>
      </c>
      <c r="F644" s="203">
        <v>12.491503922813383</v>
      </c>
      <c r="G644" s="203" t="s">
        <v>819</v>
      </c>
      <c r="H644" s="204">
        <v>-1.5198535839156981</v>
      </c>
      <c r="I644" s="204">
        <v>6.4273889190483127</v>
      </c>
      <c r="J644" s="204" t="s">
        <v>819</v>
      </c>
      <c r="K644" s="205">
        <v>0.85550824653079061</v>
      </c>
      <c r="L644" s="205">
        <v>80.386507946564862</v>
      </c>
      <c r="M644" s="205" t="s">
        <v>819</v>
      </c>
    </row>
    <row r="645" spans="1:13" x14ac:dyDescent="0.25">
      <c r="A645">
        <v>644</v>
      </c>
      <c r="B645" t="s">
        <v>815</v>
      </c>
      <c r="C645" t="s">
        <v>830</v>
      </c>
      <c r="D645">
        <v>8</v>
      </c>
      <c r="E645" s="203">
        <v>-0.80222593274399978</v>
      </c>
      <c r="F645" s="203">
        <v>21.121113900435429</v>
      </c>
      <c r="G645" s="203" t="s">
        <v>819</v>
      </c>
      <c r="H645" s="204">
        <v>-0.70478783135398237</v>
      </c>
      <c r="I645" s="204">
        <v>24.047114121638476</v>
      </c>
      <c r="J645" s="204" t="s">
        <v>819</v>
      </c>
      <c r="K645" s="205">
        <v>1.7390921494977871</v>
      </c>
      <c r="L645" s="205">
        <v>95.899072233824285</v>
      </c>
      <c r="M645" s="205" t="s">
        <v>820</v>
      </c>
    </row>
    <row r="646" spans="1:13" x14ac:dyDescent="0.25">
      <c r="A646">
        <v>645</v>
      </c>
      <c r="B646" t="s">
        <v>815</v>
      </c>
      <c r="C646" t="s">
        <v>831</v>
      </c>
      <c r="D646">
        <v>8</v>
      </c>
      <c r="E646" s="203">
        <v>1.3384178850565418</v>
      </c>
      <c r="F646" s="203">
        <v>90.961987405224434</v>
      </c>
      <c r="G646" s="203" t="s">
        <v>819</v>
      </c>
      <c r="H646" s="204">
        <v>-2.1356072929509171</v>
      </c>
      <c r="I646" s="204">
        <v>1.6355718242641952</v>
      </c>
      <c r="J646" s="204" t="s">
        <v>824</v>
      </c>
      <c r="K646" s="205">
        <v>2.2460639546665115</v>
      </c>
      <c r="L646" s="205">
        <v>98.765004413383338</v>
      </c>
      <c r="M646" s="205" t="s">
        <v>820</v>
      </c>
    </row>
    <row r="647" spans="1:13" x14ac:dyDescent="0.25">
      <c r="A647">
        <v>646</v>
      </c>
      <c r="B647" t="s">
        <v>815</v>
      </c>
      <c r="C647" t="s">
        <v>831</v>
      </c>
      <c r="D647">
        <v>7</v>
      </c>
      <c r="E647" s="203">
        <v>-0.1932286993715624</v>
      </c>
      <c r="F647" s="203">
        <v>42.338993170601633</v>
      </c>
      <c r="G647" s="203" t="s">
        <v>819</v>
      </c>
      <c r="H647" s="204">
        <v>-0.55139177290538077</v>
      </c>
      <c r="I647" s="204">
        <v>29.068256961088125</v>
      </c>
      <c r="J647" s="204" t="s">
        <v>819</v>
      </c>
      <c r="K647" s="205">
        <v>1.00900081882597</v>
      </c>
      <c r="L647" s="205">
        <v>84.351287925562346</v>
      </c>
      <c r="M647" s="205" t="s">
        <v>819</v>
      </c>
    </row>
    <row r="648" spans="1:13" x14ac:dyDescent="0.25">
      <c r="A648">
        <v>647</v>
      </c>
      <c r="B648" t="s">
        <v>815</v>
      </c>
      <c r="C648" t="s">
        <v>831</v>
      </c>
      <c r="D648">
        <v>7</v>
      </c>
      <c r="E648" s="203">
        <v>-1.2429092754054014</v>
      </c>
      <c r="F648" s="203">
        <v>10.695063366081291</v>
      </c>
      <c r="G648" s="203" t="s">
        <v>819</v>
      </c>
      <c r="H648" s="204">
        <v>-1.5594603935836282</v>
      </c>
      <c r="I648" s="204">
        <v>5.9443725869262796</v>
      </c>
      <c r="J648" s="204" t="s">
        <v>819</v>
      </c>
      <c r="K648" s="205">
        <v>0.86967077864246156</v>
      </c>
      <c r="L648" s="205">
        <v>80.77598271112403</v>
      </c>
      <c r="M648" s="205" t="s">
        <v>819</v>
      </c>
    </row>
    <row r="649" spans="1:13" x14ac:dyDescent="0.25">
      <c r="A649">
        <v>648</v>
      </c>
      <c r="B649" t="s">
        <v>815</v>
      </c>
      <c r="C649" t="s">
        <v>831</v>
      </c>
      <c r="D649">
        <v>8</v>
      </c>
      <c r="E649" s="203">
        <v>-1.912587310882425</v>
      </c>
      <c r="F649" s="203">
        <v>2.790045269882365</v>
      </c>
      <c r="G649" s="203" t="s">
        <v>818</v>
      </c>
      <c r="H649" s="204">
        <v>-2.1053131202198467</v>
      </c>
      <c r="I649" s="204">
        <v>1.7632030389725952</v>
      </c>
      <c r="J649" s="204" t="s">
        <v>824</v>
      </c>
      <c r="K649" s="205">
        <v>0.69214725437530467</v>
      </c>
      <c r="L649" s="205">
        <v>75.557757064173629</v>
      </c>
      <c r="M649" s="205" t="s">
        <v>819</v>
      </c>
    </row>
    <row r="650" spans="1:13" x14ac:dyDescent="0.25">
      <c r="A650">
        <v>649</v>
      </c>
      <c r="B650" t="s">
        <v>815</v>
      </c>
      <c r="C650" t="s">
        <v>831</v>
      </c>
      <c r="D650">
        <v>7</v>
      </c>
      <c r="E650" s="203">
        <v>-0.10219239270680235</v>
      </c>
      <c r="F650" s="203">
        <v>45.930198294234877</v>
      </c>
      <c r="G650" s="203" t="s">
        <v>819</v>
      </c>
      <c r="H650" s="204">
        <v>-0.53357397025553011</v>
      </c>
      <c r="I650" s="204">
        <v>29.681816060429544</v>
      </c>
      <c r="J650" s="204" t="s">
        <v>819</v>
      </c>
      <c r="K650" s="205">
        <v>-0.43036320715111875</v>
      </c>
      <c r="L650" s="205">
        <v>33.346572753310177</v>
      </c>
      <c r="M650" s="205" t="s">
        <v>819</v>
      </c>
    </row>
    <row r="651" spans="1:13" x14ac:dyDescent="0.25">
      <c r="A651">
        <v>650</v>
      </c>
      <c r="B651" t="s">
        <v>815</v>
      </c>
      <c r="C651" t="s">
        <v>831</v>
      </c>
      <c r="D651">
        <v>8</v>
      </c>
      <c r="E651" s="203">
        <v>8.4254324701043673E-2</v>
      </c>
      <c r="F651" s="203">
        <v>53.357288658696753</v>
      </c>
      <c r="G651" s="203" t="s">
        <v>819</v>
      </c>
      <c r="H651" s="204">
        <v>0.52782035387729731</v>
      </c>
      <c r="I651" s="204">
        <v>70.118798563441175</v>
      </c>
      <c r="J651" s="204" t="s">
        <v>819</v>
      </c>
      <c r="K651" s="205">
        <v>-0.39099059814302539</v>
      </c>
      <c r="L651" s="205">
        <v>34.790209270506601</v>
      </c>
      <c r="M651" s="205" t="s">
        <v>819</v>
      </c>
    </row>
    <row r="652" spans="1:13" x14ac:dyDescent="0.25">
      <c r="A652">
        <v>651</v>
      </c>
      <c r="B652" t="s">
        <v>815</v>
      </c>
      <c r="C652" t="s">
        <v>831</v>
      </c>
      <c r="D652">
        <v>9</v>
      </c>
      <c r="E652" s="203">
        <v>192.84789006980191</v>
      </c>
      <c r="F652" s="203">
        <v>100</v>
      </c>
      <c r="G652" s="203" t="s">
        <v>816</v>
      </c>
      <c r="H652" s="204">
        <v>21.023558812535303</v>
      </c>
      <c r="I652" s="204">
        <v>100</v>
      </c>
      <c r="J652" s="204" t="s">
        <v>817</v>
      </c>
      <c r="K652" s="205">
        <v>-4194.4938673192501</v>
      </c>
      <c r="L652" s="205">
        <v>0</v>
      </c>
      <c r="M652" s="205" t="s">
        <v>818</v>
      </c>
    </row>
    <row r="653" spans="1:13" x14ac:dyDescent="0.25">
      <c r="A653">
        <v>652</v>
      </c>
      <c r="B653" t="s">
        <v>815</v>
      </c>
      <c r="C653" t="s">
        <v>830</v>
      </c>
      <c r="D653">
        <v>9</v>
      </c>
      <c r="E653" s="203">
        <v>0.2568142132559687</v>
      </c>
      <c r="F653" s="203">
        <v>60.133890130499957</v>
      </c>
      <c r="G653" s="203" t="s">
        <v>819</v>
      </c>
      <c r="H653" s="204">
        <v>-0.45983388832990069</v>
      </c>
      <c r="I653" s="204">
        <v>32.281772839342246</v>
      </c>
      <c r="J653" s="204" t="s">
        <v>819</v>
      </c>
      <c r="K653" s="205">
        <v>2.157699877735769</v>
      </c>
      <c r="L653" s="205">
        <v>98.452441326302434</v>
      </c>
      <c r="M653" s="205" t="s">
        <v>820</v>
      </c>
    </row>
    <row r="654" spans="1:13" x14ac:dyDescent="0.25">
      <c r="A654">
        <v>653</v>
      </c>
      <c r="B654" t="s">
        <v>815</v>
      </c>
      <c r="C654" t="s">
        <v>830</v>
      </c>
      <c r="D654">
        <v>9</v>
      </c>
      <c r="E654" s="203">
        <v>1.0703559568304764</v>
      </c>
      <c r="F654" s="203">
        <v>85.777044200932835</v>
      </c>
      <c r="G654" s="203" t="s">
        <v>819</v>
      </c>
      <c r="H654" s="204">
        <v>-0.69858561633407867</v>
      </c>
      <c r="I654" s="204">
        <v>24.240551764119527</v>
      </c>
      <c r="J654" s="204" t="s">
        <v>819</v>
      </c>
      <c r="K654" s="205">
        <v>1.447098734523337</v>
      </c>
      <c r="L654" s="205">
        <v>92.606536379125643</v>
      </c>
      <c r="M654" s="205" t="s">
        <v>820</v>
      </c>
    </row>
    <row r="655" spans="1:13" x14ac:dyDescent="0.25">
      <c r="A655">
        <v>654</v>
      </c>
      <c r="B655" t="s">
        <v>815</v>
      </c>
      <c r="C655" t="s">
        <v>831</v>
      </c>
      <c r="D655">
        <v>9</v>
      </c>
      <c r="E655" s="203">
        <v>-0.32580636488126313</v>
      </c>
      <c r="F655" s="203">
        <v>37.228543139782964</v>
      </c>
      <c r="G655" s="203" t="s">
        <v>819</v>
      </c>
      <c r="H655" s="204">
        <v>-1.1298013385581731</v>
      </c>
      <c r="I655" s="204">
        <v>12.927997203354538</v>
      </c>
      <c r="J655" s="204" t="s">
        <v>819</v>
      </c>
      <c r="K655" s="205">
        <v>1.6020445206033029</v>
      </c>
      <c r="L655" s="205">
        <v>94.542711755381021</v>
      </c>
      <c r="M655" s="205" t="s">
        <v>820</v>
      </c>
    </row>
    <row r="656" spans="1:13" x14ac:dyDescent="0.25">
      <c r="A656">
        <v>655</v>
      </c>
      <c r="B656" t="s">
        <v>815</v>
      </c>
      <c r="C656" t="s">
        <v>831</v>
      </c>
      <c r="D656">
        <v>9</v>
      </c>
      <c r="E656" s="203">
        <v>1.1411290915854848</v>
      </c>
      <c r="F656" s="203">
        <v>87.309189665551841</v>
      </c>
      <c r="G656" s="203" t="s">
        <v>819</v>
      </c>
      <c r="H656" s="204">
        <v>0.12736233227613036</v>
      </c>
      <c r="I656" s="204">
        <v>55.067318605455625</v>
      </c>
      <c r="J656" s="204" t="s">
        <v>819</v>
      </c>
      <c r="K656" s="205">
        <v>-0.8127431388944294</v>
      </c>
      <c r="L656" s="205">
        <v>20.818267118254678</v>
      </c>
      <c r="M656" s="205" t="s">
        <v>819</v>
      </c>
    </row>
    <row r="657" spans="1:13" x14ac:dyDescent="0.25">
      <c r="A657">
        <v>656</v>
      </c>
      <c r="B657" t="s">
        <v>815</v>
      </c>
      <c r="C657" t="s">
        <v>830</v>
      </c>
      <c r="D657">
        <v>9</v>
      </c>
      <c r="E657" s="203">
        <v>-1.0632036466936436</v>
      </c>
      <c r="F657" s="203">
        <v>14.384480451042418</v>
      </c>
      <c r="G657" s="203" t="s">
        <v>819</v>
      </c>
      <c r="H657" s="204">
        <v>-1.1551645064310565</v>
      </c>
      <c r="I657" s="204">
        <v>12.401153325244708</v>
      </c>
      <c r="J657" s="204" t="s">
        <v>819</v>
      </c>
      <c r="K657" s="205">
        <v>-0.69229434366255482</v>
      </c>
      <c r="L657" s="205">
        <v>24.437625076009407</v>
      </c>
      <c r="M657" s="205" t="s">
        <v>819</v>
      </c>
    </row>
    <row r="658" spans="1:13" x14ac:dyDescent="0.25">
      <c r="A658">
        <v>657</v>
      </c>
      <c r="B658" t="s">
        <v>815</v>
      </c>
      <c r="C658" t="s">
        <v>830</v>
      </c>
      <c r="D658">
        <v>9</v>
      </c>
      <c r="E658" s="203">
        <v>-1.3555134268570064</v>
      </c>
      <c r="F658" s="203">
        <v>8.7627016834382445</v>
      </c>
      <c r="G658" s="203" t="s">
        <v>819</v>
      </c>
      <c r="H658" s="204">
        <v>-2.5277245152384231</v>
      </c>
      <c r="I658" s="204">
        <v>0.57402197257634069</v>
      </c>
      <c r="J658" s="204" t="s">
        <v>824</v>
      </c>
      <c r="K658" s="205">
        <v>1.8462457897224716</v>
      </c>
      <c r="L658" s="205">
        <v>96.757173746001399</v>
      </c>
      <c r="M658" s="205" t="s">
        <v>820</v>
      </c>
    </row>
    <row r="659" spans="1:13" x14ac:dyDescent="0.25">
      <c r="A659">
        <v>658</v>
      </c>
      <c r="B659" t="s">
        <v>815</v>
      </c>
      <c r="C659" t="s">
        <v>830</v>
      </c>
      <c r="D659">
        <v>9</v>
      </c>
      <c r="E659" s="203">
        <v>1.7357105641721018</v>
      </c>
      <c r="F659" s="203">
        <v>95.869248768579112</v>
      </c>
      <c r="G659" s="203" t="s">
        <v>816</v>
      </c>
      <c r="H659" s="204">
        <v>-9.6068966291466773E-2</v>
      </c>
      <c r="I659" s="204">
        <v>46.173289929380658</v>
      </c>
      <c r="J659" s="204" t="s">
        <v>819</v>
      </c>
      <c r="K659" s="205">
        <v>3.2510978924473322</v>
      </c>
      <c r="L659" s="205">
        <v>99.942519866408048</v>
      </c>
      <c r="M659" s="205" t="s">
        <v>820</v>
      </c>
    </row>
    <row r="660" spans="1:13" x14ac:dyDescent="0.25">
      <c r="A660">
        <v>659</v>
      </c>
      <c r="B660" t="s">
        <v>815</v>
      </c>
      <c r="C660" t="s">
        <v>830</v>
      </c>
      <c r="D660">
        <v>9</v>
      </c>
      <c r="E660" s="203">
        <v>-0.74183874320747378</v>
      </c>
      <c r="F660" s="203">
        <v>22.909252185027633</v>
      </c>
      <c r="G660" s="203" t="s">
        <v>819</v>
      </c>
      <c r="H660" s="204">
        <v>-0.50899205870761954</v>
      </c>
      <c r="I660" s="204">
        <v>30.537889525084534</v>
      </c>
      <c r="J660" s="204" t="s">
        <v>819</v>
      </c>
      <c r="K660" s="205">
        <v>2.3187115105192535</v>
      </c>
      <c r="L660" s="205">
        <v>98.979465800700481</v>
      </c>
      <c r="M660" s="205" t="s">
        <v>820</v>
      </c>
    </row>
    <row r="661" spans="1:13" x14ac:dyDescent="0.25">
      <c r="A661">
        <v>660</v>
      </c>
      <c r="B661" t="s">
        <v>815</v>
      </c>
      <c r="C661" t="s">
        <v>831</v>
      </c>
      <c r="D661">
        <v>9</v>
      </c>
      <c r="E661" s="203">
        <v>-1.6004410708802943</v>
      </c>
      <c r="F661" s="203">
        <v>5.4750385010032003</v>
      </c>
      <c r="G661" s="203" t="s">
        <v>819</v>
      </c>
      <c r="H661" s="204">
        <v>-6.1256719289344073</v>
      </c>
      <c r="I661" s="204">
        <v>4.515085068379251E-8</v>
      </c>
      <c r="J661" s="204" t="s">
        <v>824</v>
      </c>
      <c r="K661" s="205">
        <v>3.1923207255730461</v>
      </c>
      <c r="L661" s="205">
        <v>99.929432737555828</v>
      </c>
      <c r="M661" s="205" t="s">
        <v>820</v>
      </c>
    </row>
    <row r="662" spans="1:13" x14ac:dyDescent="0.25">
      <c r="A662">
        <v>661</v>
      </c>
      <c r="B662" t="s">
        <v>815</v>
      </c>
      <c r="C662" t="s">
        <v>830</v>
      </c>
      <c r="D662">
        <v>9</v>
      </c>
      <c r="E662" s="203">
        <v>1.7357105641721018</v>
      </c>
      <c r="F662" s="203">
        <v>95.869248768579112</v>
      </c>
      <c r="G662" s="203" t="s">
        <v>816</v>
      </c>
      <c r="H662" s="204">
        <v>0.26511416442280128</v>
      </c>
      <c r="I662" s="204">
        <v>60.453924199331667</v>
      </c>
      <c r="J662" s="204" t="s">
        <v>819</v>
      </c>
      <c r="K662" s="205">
        <v>1.0850574143310785</v>
      </c>
      <c r="L662" s="205">
        <v>86.105188646796847</v>
      </c>
      <c r="M662" s="205" t="s">
        <v>820</v>
      </c>
    </row>
    <row r="663" spans="1:13" x14ac:dyDescent="0.25">
      <c r="A663">
        <v>662</v>
      </c>
      <c r="B663" t="s">
        <v>815</v>
      </c>
      <c r="C663" t="s">
        <v>831</v>
      </c>
      <c r="D663">
        <v>9</v>
      </c>
      <c r="E663" s="203">
        <v>-0.24482029883436127</v>
      </c>
      <c r="F663" s="203">
        <v>40.329778796247354</v>
      </c>
      <c r="G663" s="203" t="s">
        <v>819</v>
      </c>
      <c r="H663" s="204">
        <v>-0.52879692725249849</v>
      </c>
      <c r="I663" s="204">
        <v>29.847316477721353</v>
      </c>
      <c r="J663" s="204" t="s">
        <v>819</v>
      </c>
      <c r="K663" s="205">
        <v>-0.16610992947048051</v>
      </c>
      <c r="L663" s="205">
        <v>43.403522006493191</v>
      </c>
      <c r="M663" s="205" t="s">
        <v>819</v>
      </c>
    </row>
    <row r="664" spans="1:13" x14ac:dyDescent="0.25">
      <c r="A664">
        <v>663</v>
      </c>
      <c r="B664" t="s">
        <v>815</v>
      </c>
      <c r="C664" t="s">
        <v>830</v>
      </c>
      <c r="D664">
        <v>8</v>
      </c>
      <c r="E664" s="203">
        <v>-0.28371707975052435</v>
      </c>
      <c r="F664" s="203">
        <v>38.831360231031297</v>
      </c>
      <c r="G664" s="203" t="s">
        <v>819</v>
      </c>
      <c r="H664" s="204">
        <v>0.20428096684430547</v>
      </c>
      <c r="I664" s="204">
        <v>58.093302868991628</v>
      </c>
      <c r="J664" s="204" t="s">
        <v>819</v>
      </c>
      <c r="K664" s="205">
        <v>-0.40181274020717306</v>
      </c>
      <c r="L664" s="205">
        <v>34.391092263530268</v>
      </c>
      <c r="M664" s="205" t="s">
        <v>819</v>
      </c>
    </row>
    <row r="665" spans="1:13" x14ac:dyDescent="0.25">
      <c r="A665">
        <v>664</v>
      </c>
      <c r="B665" t="s">
        <v>815</v>
      </c>
      <c r="C665" t="s">
        <v>831</v>
      </c>
      <c r="D665">
        <v>9</v>
      </c>
      <c r="E665" s="203">
        <v>-0.89915269861489866</v>
      </c>
      <c r="F665" s="203">
        <v>18.428566570493867</v>
      </c>
      <c r="G665" s="203" t="s">
        <v>819</v>
      </c>
      <c r="H665" s="204">
        <v>-0.65969798637951438</v>
      </c>
      <c r="I665" s="204">
        <v>25.472382956757588</v>
      </c>
      <c r="J665" s="204" t="s">
        <v>819</v>
      </c>
      <c r="K665" s="205">
        <v>1.5437019701557748</v>
      </c>
      <c r="L665" s="205">
        <v>93.866972559113336</v>
      </c>
      <c r="M665" s="205" t="s">
        <v>820</v>
      </c>
    </row>
    <row r="666" spans="1:13" x14ac:dyDescent="0.25">
      <c r="A666">
        <v>665</v>
      </c>
      <c r="B666" t="s">
        <v>815</v>
      </c>
      <c r="C666" t="s">
        <v>831</v>
      </c>
      <c r="D666">
        <v>9</v>
      </c>
      <c r="E666" s="203">
        <v>0.54458068518218594</v>
      </c>
      <c r="F666" s="203">
        <v>70.69790290850591</v>
      </c>
      <c r="G666" s="203" t="s">
        <v>819</v>
      </c>
      <c r="H666" s="204">
        <v>-1.2312068486332484</v>
      </c>
      <c r="I666" s="204">
        <v>10.912275530278487</v>
      </c>
      <c r="J666" s="204" t="s">
        <v>819</v>
      </c>
      <c r="K666" s="205">
        <v>0.58202539993546643</v>
      </c>
      <c r="L666" s="205">
        <v>71.972521390194672</v>
      </c>
      <c r="M666" s="205" t="s">
        <v>819</v>
      </c>
    </row>
    <row r="667" spans="1:13" x14ac:dyDescent="0.25">
      <c r="A667">
        <v>666</v>
      </c>
      <c r="B667" t="s">
        <v>815</v>
      </c>
      <c r="C667" t="s">
        <v>830</v>
      </c>
      <c r="D667">
        <v>9</v>
      </c>
      <c r="E667" s="203">
        <v>-0.42047383972130631</v>
      </c>
      <c r="F667" s="203">
        <v>33.706966811273972</v>
      </c>
      <c r="G667" s="203" t="s">
        <v>819</v>
      </c>
      <c r="H667" s="204">
        <v>-0.78269937992210414</v>
      </c>
      <c r="I667" s="204">
        <v>21.690183322829654</v>
      </c>
      <c r="J667" s="204" t="s">
        <v>819</v>
      </c>
      <c r="K667" s="205">
        <v>0.62098758817586563</v>
      </c>
      <c r="L667" s="205">
        <v>73.269610515627875</v>
      </c>
      <c r="M667" s="205" t="s">
        <v>819</v>
      </c>
    </row>
    <row r="668" spans="1:13" x14ac:dyDescent="0.25">
      <c r="A668">
        <v>667</v>
      </c>
      <c r="B668" t="s">
        <v>815</v>
      </c>
      <c r="C668" t="s">
        <v>831</v>
      </c>
      <c r="D668">
        <v>9</v>
      </c>
      <c r="E668" s="203">
        <v>0.15071046937844887</v>
      </c>
      <c r="F668" s="203">
        <v>55.98979428982345</v>
      </c>
      <c r="G668" s="203" t="s">
        <v>819</v>
      </c>
      <c r="H668" s="204">
        <v>-0.72953511643768543</v>
      </c>
      <c r="I668" s="204">
        <v>23.283719756630802</v>
      </c>
      <c r="J668" s="204" t="s">
        <v>819</v>
      </c>
      <c r="K668" s="205">
        <v>0.50719729428789651</v>
      </c>
      <c r="L668" s="205">
        <v>69.399180334809955</v>
      </c>
      <c r="M668" s="205" t="s">
        <v>819</v>
      </c>
    </row>
    <row r="669" spans="1:13" x14ac:dyDescent="0.25">
      <c r="A669">
        <v>668</v>
      </c>
      <c r="B669" t="s">
        <v>815</v>
      </c>
      <c r="C669" t="s">
        <v>830</v>
      </c>
      <c r="D669">
        <v>9</v>
      </c>
      <c r="E669" s="203">
        <v>-0.63521425692507849</v>
      </c>
      <c r="F669" s="203">
        <v>26.264434305772621</v>
      </c>
      <c r="G669" s="203" t="s">
        <v>819</v>
      </c>
      <c r="H669" s="204">
        <v>-1.6073942631063707</v>
      </c>
      <c r="I669" s="204">
        <v>5.3983953883655147</v>
      </c>
      <c r="J669" s="204" t="s">
        <v>819</v>
      </c>
      <c r="K669" s="205">
        <v>0.78135000843554447</v>
      </c>
      <c r="L669" s="205">
        <v>78.270166745264802</v>
      </c>
      <c r="M669" s="205" t="s">
        <v>819</v>
      </c>
    </row>
    <row r="670" spans="1:13" x14ac:dyDescent="0.25">
      <c r="A670">
        <v>669</v>
      </c>
      <c r="B670" t="s">
        <v>815</v>
      </c>
      <c r="C670" t="s">
        <v>831</v>
      </c>
      <c r="D670">
        <v>9</v>
      </c>
      <c r="E670" s="203">
        <v>0.32147360733456298</v>
      </c>
      <c r="F670" s="203">
        <v>62.607424501381089</v>
      </c>
      <c r="G670" s="203" t="s">
        <v>819</v>
      </c>
      <c r="H670" s="204">
        <v>-0.29405257414219832</v>
      </c>
      <c r="I670" s="204">
        <v>38.435886494085423</v>
      </c>
      <c r="J670" s="204" t="s">
        <v>819</v>
      </c>
      <c r="K670" s="205">
        <v>2.9399961823444905E-2</v>
      </c>
      <c r="L670" s="205">
        <v>51.172719837341788</v>
      </c>
      <c r="M670" s="205" t="s">
        <v>819</v>
      </c>
    </row>
    <row r="671" spans="1:13" x14ac:dyDescent="0.25">
      <c r="A671">
        <v>670</v>
      </c>
      <c r="B671" t="s">
        <v>815</v>
      </c>
      <c r="C671" t="s">
        <v>830</v>
      </c>
      <c r="D671">
        <v>8</v>
      </c>
      <c r="E671" s="203">
        <v>0.98189637227990323</v>
      </c>
      <c r="F671" s="203">
        <v>83.692454842204583</v>
      </c>
      <c r="G671" s="203" t="s">
        <v>819</v>
      </c>
      <c r="H671" s="204">
        <v>-0.48653676431966986</v>
      </c>
      <c r="I671" s="204">
        <v>31.329332286722533</v>
      </c>
      <c r="J671" s="204" t="s">
        <v>819</v>
      </c>
      <c r="K671" s="205">
        <v>-1.1749012534643377</v>
      </c>
      <c r="L671" s="205">
        <v>12.001711204317964</v>
      </c>
      <c r="M671" s="205" t="s">
        <v>825</v>
      </c>
    </row>
    <row r="672" spans="1:13" x14ac:dyDescent="0.25">
      <c r="A672">
        <v>671</v>
      </c>
      <c r="B672" t="s">
        <v>815</v>
      </c>
      <c r="C672" t="s">
        <v>831</v>
      </c>
      <c r="D672">
        <v>8</v>
      </c>
      <c r="E672" s="203">
        <v>1.8062303169626003E-3</v>
      </c>
      <c r="F672" s="203">
        <v>50.072058124976706</v>
      </c>
      <c r="G672" s="203" t="s">
        <v>819</v>
      </c>
      <c r="H672" s="204">
        <v>-1.2941475566183465</v>
      </c>
      <c r="I672" s="204">
        <v>9.7807228719142234</v>
      </c>
      <c r="J672" s="204" t="s">
        <v>819</v>
      </c>
      <c r="K672" s="205">
        <v>1.6697789040059967</v>
      </c>
      <c r="L672" s="205">
        <v>95.25184421335419</v>
      </c>
      <c r="M672" s="205" t="s">
        <v>820</v>
      </c>
    </row>
    <row r="673" spans="1:13" x14ac:dyDescent="0.25">
      <c r="A673">
        <v>672</v>
      </c>
      <c r="B673" t="s">
        <v>815</v>
      </c>
      <c r="C673" t="s">
        <v>830</v>
      </c>
      <c r="D673">
        <v>8</v>
      </c>
      <c r="E673" s="203">
        <v>5.2360958333487334E-2</v>
      </c>
      <c r="F673" s="203">
        <v>52.087945892170893</v>
      </c>
      <c r="G673" s="203" t="s">
        <v>819</v>
      </c>
      <c r="H673" s="204">
        <v>-0.5742048022635956</v>
      </c>
      <c r="I673" s="204">
        <v>28.291461001106178</v>
      </c>
      <c r="J673" s="204" t="s">
        <v>819</v>
      </c>
      <c r="K673" s="205">
        <v>3.150418065876528</v>
      </c>
      <c r="L673" s="205">
        <v>99.918481510237328</v>
      </c>
      <c r="M673" s="205" t="s">
        <v>820</v>
      </c>
    </row>
    <row r="674" spans="1:13" x14ac:dyDescent="0.25">
      <c r="A674">
        <v>673</v>
      </c>
      <c r="B674" t="s">
        <v>815</v>
      </c>
      <c r="C674" t="s">
        <v>830</v>
      </c>
      <c r="D674">
        <v>9</v>
      </c>
      <c r="E674" s="203">
        <v>1.4889783841135837</v>
      </c>
      <c r="F674" s="203">
        <v>93.175346954422025</v>
      </c>
      <c r="G674" s="203" t="s">
        <v>819</v>
      </c>
      <c r="H674" s="204">
        <v>-0.94065010319923525</v>
      </c>
      <c r="I674" s="204">
        <v>17.344209847593</v>
      </c>
      <c r="J674" s="204" t="s">
        <v>819</v>
      </c>
      <c r="K674" s="205">
        <v>3.5335000535889467</v>
      </c>
      <c r="L674" s="205">
        <v>99.979495199663248</v>
      </c>
      <c r="M674" s="205" t="s">
        <v>820</v>
      </c>
    </row>
    <row r="675" spans="1:13" x14ac:dyDescent="0.25">
      <c r="A675">
        <v>674</v>
      </c>
      <c r="B675" t="s">
        <v>815</v>
      </c>
      <c r="C675" t="s">
        <v>831</v>
      </c>
      <c r="D675">
        <v>9</v>
      </c>
      <c r="E675" s="203">
        <v>0.80654594512939037</v>
      </c>
      <c r="F675" s="203">
        <v>79.003593634851143</v>
      </c>
      <c r="G675" s="203" t="s">
        <v>819</v>
      </c>
      <c r="H675" s="204">
        <v>-0.85073117422601141</v>
      </c>
      <c r="I675" s="204">
        <v>19.745935090516863</v>
      </c>
      <c r="J675" s="204" t="s">
        <v>819</v>
      </c>
      <c r="K675" s="205">
        <v>2.933301398304466</v>
      </c>
      <c r="L675" s="205">
        <v>99.832310928156275</v>
      </c>
      <c r="M675" s="205" t="s">
        <v>820</v>
      </c>
    </row>
    <row r="676" spans="1:13" x14ac:dyDescent="0.25">
      <c r="A676">
        <v>675</v>
      </c>
      <c r="B676" t="s">
        <v>815</v>
      </c>
      <c r="C676" t="s">
        <v>831</v>
      </c>
      <c r="D676">
        <v>9</v>
      </c>
      <c r="E676" s="203">
        <v>0.80654594512939037</v>
      </c>
      <c r="F676" s="203">
        <v>79.003593634851143</v>
      </c>
      <c r="G676" s="203" t="s">
        <v>819</v>
      </c>
      <c r="H676" s="204">
        <v>-0.75215421377901004</v>
      </c>
      <c r="I676" s="204">
        <v>22.597916224122923</v>
      </c>
      <c r="J676" s="204" t="s">
        <v>819</v>
      </c>
      <c r="K676" s="205">
        <v>2.7588843805148686</v>
      </c>
      <c r="L676" s="205">
        <v>99.710004743902431</v>
      </c>
      <c r="M676" s="205" t="s">
        <v>820</v>
      </c>
    </row>
    <row r="677" spans="1:13" x14ac:dyDescent="0.25">
      <c r="A677">
        <v>676</v>
      </c>
      <c r="B677" t="s">
        <v>815</v>
      </c>
      <c r="C677" t="s">
        <v>830</v>
      </c>
      <c r="D677">
        <v>9</v>
      </c>
      <c r="E677" s="203">
        <v>0.18399422505206503</v>
      </c>
      <c r="F677" s="203">
        <v>57.299100733853315</v>
      </c>
      <c r="G677" s="203" t="s">
        <v>819</v>
      </c>
      <c r="H677" s="204">
        <v>-0.70459770487300066</v>
      </c>
      <c r="I677" s="204">
        <v>24.053031360694234</v>
      </c>
      <c r="J677" s="204" t="s">
        <v>819</v>
      </c>
      <c r="K677" s="205">
        <v>0.93003181308101568</v>
      </c>
      <c r="L677" s="205">
        <v>82.382269342071581</v>
      </c>
      <c r="M677" s="205" t="s">
        <v>819</v>
      </c>
    </row>
    <row r="678" spans="1:13" x14ac:dyDescent="0.25">
      <c r="A678">
        <v>677</v>
      </c>
      <c r="B678" t="s">
        <v>815</v>
      </c>
      <c r="C678" t="s">
        <v>830</v>
      </c>
      <c r="D678">
        <v>9</v>
      </c>
      <c r="E678" s="203">
        <v>-1.3845685501798113</v>
      </c>
      <c r="F678" s="203">
        <v>8.3092216801809951</v>
      </c>
      <c r="G678" s="203" t="s">
        <v>819</v>
      </c>
      <c r="H678" s="204">
        <v>-0.87504519238796541</v>
      </c>
      <c r="I678" s="204">
        <v>19.077465828056596</v>
      </c>
      <c r="J678" s="204" t="s">
        <v>819</v>
      </c>
      <c r="K678" s="205">
        <v>-1.4262519194672176</v>
      </c>
      <c r="L678" s="205">
        <v>7.6897818879922335</v>
      </c>
      <c r="M678" s="205" t="s">
        <v>825</v>
      </c>
    </row>
    <row r="679" spans="1:13" x14ac:dyDescent="0.25">
      <c r="A679">
        <v>678</v>
      </c>
      <c r="B679" t="s">
        <v>815</v>
      </c>
      <c r="C679" t="s">
        <v>831</v>
      </c>
      <c r="D679">
        <v>9</v>
      </c>
      <c r="E679" s="203">
        <v>3.070216854838598</v>
      </c>
      <c r="F679" s="203">
        <v>99.893048300680761</v>
      </c>
      <c r="G679" s="203" t="s">
        <v>816</v>
      </c>
      <c r="H679" s="204">
        <v>-0.27205284095244803</v>
      </c>
      <c r="I679" s="204">
        <v>39.279069489077187</v>
      </c>
      <c r="J679" s="204" t="s">
        <v>819</v>
      </c>
      <c r="K679" s="205">
        <v>2.3193777925783348</v>
      </c>
      <c r="L679" s="205">
        <v>98.981271965134994</v>
      </c>
      <c r="M679" s="205" t="s">
        <v>820</v>
      </c>
    </row>
    <row r="680" spans="1:13" x14ac:dyDescent="0.25">
      <c r="A680">
        <v>679</v>
      </c>
      <c r="B680" t="s">
        <v>815</v>
      </c>
      <c r="C680" t="s">
        <v>831</v>
      </c>
      <c r="D680">
        <v>9</v>
      </c>
      <c r="E680" s="203">
        <v>-0.64867106825509913</v>
      </c>
      <c r="F680" s="203">
        <v>25.827550433056434</v>
      </c>
      <c r="G680" s="203" t="s">
        <v>819</v>
      </c>
      <c r="H680" s="204">
        <v>-1.2006671420711459</v>
      </c>
      <c r="I680" s="204">
        <v>11.494017238739556</v>
      </c>
      <c r="J680" s="204" t="s">
        <v>819</v>
      </c>
      <c r="K680" s="205">
        <v>-0.5645049728110404</v>
      </c>
      <c r="L680" s="205">
        <v>28.620525840800838</v>
      </c>
      <c r="M680" s="205" t="s">
        <v>819</v>
      </c>
    </row>
    <row r="681" spans="1:13" x14ac:dyDescent="0.25">
      <c r="A681">
        <v>680</v>
      </c>
      <c r="B681" t="s">
        <v>815</v>
      </c>
      <c r="C681" t="s">
        <v>831</v>
      </c>
      <c r="D681">
        <v>9</v>
      </c>
      <c r="E681" s="203">
        <v>-0.24624764097436619</v>
      </c>
      <c r="F681" s="203">
        <v>40.274526926615131</v>
      </c>
      <c r="G681" s="203" t="s">
        <v>819</v>
      </c>
      <c r="H681" s="204">
        <v>-0.66891445685091733</v>
      </c>
      <c r="I681" s="204">
        <v>25.177502380122586</v>
      </c>
      <c r="J681" s="204" t="s">
        <v>819</v>
      </c>
      <c r="K681" s="205">
        <v>-0.91217628851704502</v>
      </c>
      <c r="L681" s="205">
        <v>18.083796195493306</v>
      </c>
      <c r="M681" s="205" t="s">
        <v>819</v>
      </c>
    </row>
    <row r="682" spans="1:13" x14ac:dyDescent="0.25">
      <c r="A682">
        <v>681</v>
      </c>
      <c r="B682" t="s">
        <v>815</v>
      </c>
      <c r="C682" t="s">
        <v>830</v>
      </c>
      <c r="D682">
        <v>8</v>
      </c>
      <c r="E682" s="203">
        <v>-2.3001853082545969</v>
      </c>
      <c r="F682" s="203">
        <v>1.0718861906260457</v>
      </c>
      <c r="G682" s="203" t="s">
        <v>818</v>
      </c>
      <c r="H682" s="204">
        <v>-1.8586216750893803</v>
      </c>
      <c r="I682" s="204">
        <v>3.1540391286957208</v>
      </c>
      <c r="J682" s="204" t="s">
        <v>824</v>
      </c>
      <c r="K682" s="205">
        <v>0.51840513509191233</v>
      </c>
      <c r="L682" s="205">
        <v>69.7912183675638</v>
      </c>
      <c r="M682" s="205" t="s">
        <v>819</v>
      </c>
    </row>
    <row r="683" spans="1:13" x14ac:dyDescent="0.25">
      <c r="A683">
        <v>682</v>
      </c>
      <c r="B683" t="s">
        <v>815</v>
      </c>
      <c r="C683" t="s">
        <v>831</v>
      </c>
      <c r="D683">
        <v>9</v>
      </c>
      <c r="E683" s="203">
        <v>-0.24425712298690319</v>
      </c>
      <c r="F683" s="203">
        <v>40.351584437082913</v>
      </c>
      <c r="G683" s="203" t="s">
        <v>819</v>
      </c>
      <c r="H683" s="204">
        <v>-0.54117259669324647</v>
      </c>
      <c r="I683" s="204">
        <v>29.419431184513869</v>
      </c>
      <c r="J683" s="204" t="s">
        <v>819</v>
      </c>
      <c r="K683" s="205">
        <v>0.83917179487037763</v>
      </c>
      <c r="L683" s="205">
        <v>79.931354380150083</v>
      </c>
      <c r="M683" s="205" t="s">
        <v>819</v>
      </c>
    </row>
    <row r="684" spans="1:13" x14ac:dyDescent="0.25">
      <c r="A684">
        <v>683</v>
      </c>
      <c r="B684" t="s">
        <v>815</v>
      </c>
      <c r="C684" t="s">
        <v>831</v>
      </c>
      <c r="D684">
        <v>8</v>
      </c>
      <c r="E684" s="203">
        <v>-1.1581581934217091</v>
      </c>
      <c r="F684" s="203">
        <v>12.339974277442048</v>
      </c>
      <c r="G684" s="203" t="s">
        <v>819</v>
      </c>
      <c r="H684" s="204">
        <v>-1.3321560640545593</v>
      </c>
      <c r="I684" s="204">
        <v>9.1404455324120235</v>
      </c>
      <c r="J684" s="204" t="s">
        <v>819</v>
      </c>
      <c r="K684" s="205">
        <v>1.6674992000006146</v>
      </c>
      <c r="L684" s="205">
        <v>95.229240832089317</v>
      </c>
      <c r="M684" s="205" t="s">
        <v>820</v>
      </c>
    </row>
    <row r="685" spans="1:13" x14ac:dyDescent="0.25">
      <c r="A685">
        <v>684</v>
      </c>
      <c r="B685" t="s">
        <v>815</v>
      </c>
      <c r="C685" t="s">
        <v>831</v>
      </c>
      <c r="D685">
        <v>9</v>
      </c>
      <c r="E685" s="203">
        <v>-1.1228542871733644</v>
      </c>
      <c r="F685" s="203">
        <v>13.074969238311294</v>
      </c>
      <c r="G685" s="203" t="s">
        <v>819</v>
      </c>
      <c r="H685" s="204">
        <v>-2.0935048369937537</v>
      </c>
      <c r="I685" s="204">
        <v>1.815205636687417</v>
      </c>
      <c r="J685" s="204" t="s">
        <v>824</v>
      </c>
      <c r="K685" s="205">
        <v>1.2958678758564659</v>
      </c>
      <c r="L685" s="205">
        <v>90.248949581497811</v>
      </c>
      <c r="M685" s="205" t="s">
        <v>820</v>
      </c>
    </row>
    <row r="686" spans="1:13" x14ac:dyDescent="0.25">
      <c r="A686">
        <v>685</v>
      </c>
      <c r="B686" t="s">
        <v>815</v>
      </c>
      <c r="C686" t="s">
        <v>831</v>
      </c>
      <c r="D686">
        <v>9</v>
      </c>
      <c r="E686" s="203">
        <v>0.24276359279184498</v>
      </c>
      <c r="F686" s="203">
        <v>59.590572964893028</v>
      </c>
      <c r="G686" s="203" t="s">
        <v>819</v>
      </c>
      <c r="H686" s="204">
        <v>-0.65572139579603672</v>
      </c>
      <c r="I686" s="204">
        <v>25.600169989927281</v>
      </c>
      <c r="J686" s="204" t="s">
        <v>819</v>
      </c>
      <c r="K686" s="205">
        <v>0.95811891778461122</v>
      </c>
      <c r="L686" s="205">
        <v>83.099860145137455</v>
      </c>
      <c r="M686" s="205" t="s">
        <v>819</v>
      </c>
    </row>
    <row r="687" spans="1:13" x14ac:dyDescent="0.25">
      <c r="A687">
        <v>686</v>
      </c>
      <c r="B687" t="s">
        <v>815</v>
      </c>
      <c r="C687" t="s">
        <v>830</v>
      </c>
      <c r="D687">
        <v>9</v>
      </c>
      <c r="E687" s="203">
        <v>-1.5545196837789637</v>
      </c>
      <c r="F687" s="203">
        <v>6.0030252580267165</v>
      </c>
      <c r="G687" s="203" t="s">
        <v>819</v>
      </c>
      <c r="H687" s="204">
        <v>-0.65626867073886885</v>
      </c>
      <c r="I687" s="204">
        <v>25.582563581715501</v>
      </c>
      <c r="J687" s="204" t="s">
        <v>819</v>
      </c>
      <c r="K687" s="205">
        <v>2.4693138167237856</v>
      </c>
      <c r="L687" s="205">
        <v>99.323137785063338</v>
      </c>
      <c r="M687" s="205" t="s">
        <v>820</v>
      </c>
    </row>
    <row r="688" spans="1:13" x14ac:dyDescent="0.25">
      <c r="A688">
        <v>687</v>
      </c>
      <c r="B688" t="s">
        <v>815</v>
      </c>
      <c r="C688" t="s">
        <v>831</v>
      </c>
      <c r="D688">
        <v>9</v>
      </c>
      <c r="E688" s="203">
        <v>-0.48698028899015505</v>
      </c>
      <c r="F688" s="203">
        <v>31.31361497341959</v>
      </c>
      <c r="G688" s="203" t="s">
        <v>819</v>
      </c>
      <c r="H688" s="204">
        <v>6.2131920717397086E-2</v>
      </c>
      <c r="I688" s="204">
        <v>52.477111148006038</v>
      </c>
      <c r="J688" s="204" t="s">
        <v>819</v>
      </c>
      <c r="K688" s="205">
        <v>5.4210924160355036</v>
      </c>
      <c r="L688" s="205">
        <v>99.999997038203745</v>
      </c>
      <c r="M688" s="205" t="s">
        <v>820</v>
      </c>
    </row>
    <row r="689" spans="1:13" x14ac:dyDescent="0.25">
      <c r="A689">
        <v>688</v>
      </c>
      <c r="B689" t="s">
        <v>815</v>
      </c>
      <c r="C689" t="s">
        <v>830</v>
      </c>
      <c r="D689">
        <v>9</v>
      </c>
      <c r="E689" s="203">
        <v>-0.16790254899984222</v>
      </c>
      <c r="F689" s="203">
        <v>43.332997239360829</v>
      </c>
      <c r="G689" s="203" t="s">
        <v>819</v>
      </c>
      <c r="H689" s="204">
        <v>-1.5528065392182044</v>
      </c>
      <c r="I689" s="204">
        <v>6.0234679999200322</v>
      </c>
      <c r="J689" s="204" t="s">
        <v>819</v>
      </c>
      <c r="K689" s="205">
        <v>-0.1010234592097729</v>
      </c>
      <c r="L689" s="205">
        <v>45.976591884239262</v>
      </c>
      <c r="M689" s="205" t="s">
        <v>819</v>
      </c>
    </row>
    <row r="690" spans="1:13" x14ac:dyDescent="0.25">
      <c r="A690">
        <v>689</v>
      </c>
      <c r="B690" t="s">
        <v>815</v>
      </c>
      <c r="C690" t="s">
        <v>830</v>
      </c>
      <c r="D690">
        <v>9</v>
      </c>
      <c r="E690" s="203">
        <v>0.43814081293934576</v>
      </c>
      <c r="F690" s="203">
        <v>66.935789478048932</v>
      </c>
      <c r="G690" s="203" t="s">
        <v>819</v>
      </c>
      <c r="H690" s="204">
        <v>-2.8901354856413737</v>
      </c>
      <c r="I690" s="204">
        <v>0.19253791231088141</v>
      </c>
      <c r="J690" s="204" t="s">
        <v>824</v>
      </c>
      <c r="K690" s="205">
        <v>3.3374094672336958</v>
      </c>
      <c r="L690" s="205">
        <v>99.957718367010699</v>
      </c>
      <c r="M690" s="205" t="s">
        <v>820</v>
      </c>
    </row>
    <row r="691" spans="1:13" x14ac:dyDescent="0.25">
      <c r="A691">
        <v>690</v>
      </c>
      <c r="B691" t="s">
        <v>815</v>
      </c>
      <c r="C691" t="s">
        <v>831</v>
      </c>
      <c r="D691">
        <v>8</v>
      </c>
      <c r="E691" s="203">
        <v>-0.24583117853516676</v>
      </c>
      <c r="F691" s="203">
        <v>40.290646027303865</v>
      </c>
      <c r="G691" s="203" t="s">
        <v>819</v>
      </c>
      <c r="H691" s="204">
        <v>-1.26081738813466</v>
      </c>
      <c r="I691" s="204">
        <v>10.368732378440949</v>
      </c>
      <c r="J691" s="204" t="s">
        <v>819</v>
      </c>
      <c r="K691" s="205">
        <v>1.4854707353091383</v>
      </c>
      <c r="L691" s="205">
        <v>93.129041498841332</v>
      </c>
      <c r="M691" s="205" t="s">
        <v>820</v>
      </c>
    </row>
    <row r="692" spans="1:13" x14ac:dyDescent="0.25">
      <c r="A692">
        <v>691</v>
      </c>
      <c r="B692" t="s">
        <v>815</v>
      </c>
      <c r="C692" t="s">
        <v>831</v>
      </c>
      <c r="D692">
        <v>9</v>
      </c>
      <c r="E692" s="203">
        <v>1.5115226709776299</v>
      </c>
      <c r="F692" s="203">
        <v>93.467233153088642</v>
      </c>
      <c r="G692" s="203" t="s">
        <v>819</v>
      </c>
      <c r="H692" s="204">
        <v>-0.48729096336102101</v>
      </c>
      <c r="I692" s="204">
        <v>31.302607536408988</v>
      </c>
      <c r="J692" s="204" t="s">
        <v>819</v>
      </c>
      <c r="K692" s="205">
        <v>5.736089401271615E-2</v>
      </c>
      <c r="L692" s="205">
        <v>52.287114312852012</v>
      </c>
      <c r="M692" s="205" t="s">
        <v>819</v>
      </c>
    </row>
    <row r="693" spans="1:13" x14ac:dyDescent="0.25">
      <c r="A693">
        <v>692</v>
      </c>
      <c r="B693" t="s">
        <v>815</v>
      </c>
      <c r="C693" t="s">
        <v>831</v>
      </c>
      <c r="D693">
        <v>9</v>
      </c>
      <c r="E693" s="203">
        <v>-0.24857498796402144</v>
      </c>
      <c r="F693" s="203">
        <v>40.184477901147261</v>
      </c>
      <c r="G693" s="203" t="s">
        <v>819</v>
      </c>
      <c r="H693" s="204">
        <v>-0.65572139579603672</v>
      </c>
      <c r="I693" s="204">
        <v>25.600169989927281</v>
      </c>
      <c r="J693" s="204" t="s">
        <v>819</v>
      </c>
      <c r="K693" s="205">
        <v>0.7665889092454008</v>
      </c>
      <c r="L693" s="205">
        <v>77.833701418207937</v>
      </c>
      <c r="M693" s="205" t="s">
        <v>819</v>
      </c>
    </row>
    <row r="694" spans="1:13" x14ac:dyDescent="0.25">
      <c r="A694">
        <v>693</v>
      </c>
      <c r="B694" t="s">
        <v>815</v>
      </c>
      <c r="C694" t="s">
        <v>830</v>
      </c>
      <c r="D694">
        <v>8</v>
      </c>
      <c r="E694" s="203">
        <v>-0.21104048474406709</v>
      </c>
      <c r="F694" s="203">
        <v>41.642784022778436</v>
      </c>
      <c r="G694" s="203" t="s">
        <v>819</v>
      </c>
      <c r="H694" s="204">
        <v>1.520606091790486</v>
      </c>
      <c r="I694" s="204">
        <v>93.582064140834234</v>
      </c>
      <c r="J694" s="204" t="s">
        <v>819</v>
      </c>
      <c r="K694" s="205">
        <v>3.0045866122448901</v>
      </c>
      <c r="L694" s="205">
        <v>99.867028985798711</v>
      </c>
      <c r="M694" s="205" t="s">
        <v>820</v>
      </c>
    </row>
    <row r="695" spans="1:13" x14ac:dyDescent="0.25">
      <c r="A695">
        <v>694</v>
      </c>
      <c r="B695" t="s">
        <v>815</v>
      </c>
      <c r="C695" t="s">
        <v>830</v>
      </c>
      <c r="D695">
        <v>9</v>
      </c>
      <c r="E695" s="203">
        <v>0.34783592144749231</v>
      </c>
      <c r="F695" s="203">
        <v>63.60182946110158</v>
      </c>
      <c r="G695" s="203" t="s">
        <v>819</v>
      </c>
      <c r="H695" s="204">
        <v>-2.0902774192134213</v>
      </c>
      <c r="I695" s="204">
        <v>1.8296443242566056</v>
      </c>
      <c r="J695" s="204" t="s">
        <v>824</v>
      </c>
      <c r="K695" s="205">
        <v>2.0061884401909773</v>
      </c>
      <c r="L695" s="205">
        <v>97.758192662936679</v>
      </c>
      <c r="M695" s="205" t="s">
        <v>820</v>
      </c>
    </row>
    <row r="696" spans="1:13" x14ac:dyDescent="0.25">
      <c r="A696">
        <v>695</v>
      </c>
      <c r="B696" t="s">
        <v>815</v>
      </c>
      <c r="C696" t="s">
        <v>830</v>
      </c>
      <c r="D696">
        <v>9</v>
      </c>
      <c r="E696" s="203">
        <v>-0.16601209495540967</v>
      </c>
      <c r="F696" s="203">
        <v>43.407371592736062</v>
      </c>
      <c r="G696" s="203" t="s">
        <v>819</v>
      </c>
      <c r="H696" s="204">
        <v>-1.6161769876109875</v>
      </c>
      <c r="I696" s="204">
        <v>5.3028026360326281</v>
      </c>
      <c r="J696" s="204" t="s">
        <v>819</v>
      </c>
      <c r="K696" s="205">
        <v>2.0928321544785984</v>
      </c>
      <c r="L696" s="205">
        <v>98.18179298165721</v>
      </c>
      <c r="M696" s="205" t="s">
        <v>820</v>
      </c>
    </row>
    <row r="697" spans="1:13" x14ac:dyDescent="0.25">
      <c r="A697">
        <v>696</v>
      </c>
      <c r="B697" t="s">
        <v>815</v>
      </c>
      <c r="C697" t="s">
        <v>831</v>
      </c>
      <c r="D697">
        <v>9</v>
      </c>
      <c r="E697" s="203">
        <v>0.81514343459287419</v>
      </c>
      <c r="F697" s="203">
        <v>79.25048940888108</v>
      </c>
      <c r="G697" s="203" t="s">
        <v>819</v>
      </c>
      <c r="H697" s="204">
        <v>-1.4681826972639798</v>
      </c>
      <c r="I697" s="204">
        <v>7.1027301476889475</v>
      </c>
      <c r="J697" s="204" t="s">
        <v>819</v>
      </c>
      <c r="K697" s="205">
        <v>2.4411012001201962</v>
      </c>
      <c r="L697" s="205">
        <v>99.267872458060197</v>
      </c>
      <c r="M697" s="205" t="s">
        <v>820</v>
      </c>
    </row>
    <row r="698" spans="1:13" x14ac:dyDescent="0.25">
      <c r="A698">
        <v>697</v>
      </c>
      <c r="B698" t="s">
        <v>815</v>
      </c>
      <c r="C698" t="s">
        <v>831</v>
      </c>
      <c r="D698">
        <v>9</v>
      </c>
      <c r="E698" s="203">
        <v>1.5115226709776299</v>
      </c>
      <c r="F698" s="203">
        <v>93.467233153088642</v>
      </c>
      <c r="G698" s="203" t="s">
        <v>819</v>
      </c>
      <c r="H698" s="204">
        <v>-0.76912680554440305</v>
      </c>
      <c r="I698" s="204">
        <v>22.090901829036515</v>
      </c>
      <c r="J698" s="204" t="s">
        <v>819</v>
      </c>
      <c r="K698" s="205">
        <v>2.7994849424788328</v>
      </c>
      <c r="L698" s="205">
        <v>99.744078981568506</v>
      </c>
      <c r="M698" s="205" t="s">
        <v>820</v>
      </c>
    </row>
    <row r="699" spans="1:13" x14ac:dyDescent="0.25">
      <c r="A699">
        <v>698</v>
      </c>
      <c r="B699" t="s">
        <v>815</v>
      </c>
      <c r="C699" t="s">
        <v>830</v>
      </c>
      <c r="D699">
        <v>9</v>
      </c>
      <c r="E699" s="203">
        <v>-2.1708108085826243</v>
      </c>
      <c r="F699" s="203">
        <v>1.4972738286011595</v>
      </c>
      <c r="G699" s="203" t="s">
        <v>818</v>
      </c>
      <c r="H699" s="204">
        <v>-7.6101192120174082</v>
      </c>
      <c r="I699" s="204">
        <v>1.3692160983285001E-12</v>
      </c>
      <c r="J699" s="204" t="s">
        <v>824</v>
      </c>
      <c r="K699" s="205">
        <v>-0.15771584022950758</v>
      </c>
      <c r="L699" s="205">
        <v>43.734035900949372</v>
      </c>
      <c r="M699" s="205" t="s">
        <v>819</v>
      </c>
    </row>
    <row r="700" spans="1:13" x14ac:dyDescent="0.25">
      <c r="A700">
        <v>699</v>
      </c>
      <c r="B700" t="s">
        <v>815</v>
      </c>
      <c r="C700" t="s">
        <v>830</v>
      </c>
      <c r="D700">
        <v>9</v>
      </c>
      <c r="E700" s="203">
        <v>-0.82800828658300452</v>
      </c>
      <c r="F700" s="203">
        <v>20.383290349694917</v>
      </c>
      <c r="G700" s="203" t="s">
        <v>819</v>
      </c>
      <c r="H700" s="204">
        <v>-2.5224627358310157</v>
      </c>
      <c r="I700" s="204">
        <v>0.58268148315387802</v>
      </c>
      <c r="J700" s="204" t="s">
        <v>824</v>
      </c>
      <c r="K700" s="205">
        <v>0.70173367826219468</v>
      </c>
      <c r="L700" s="205">
        <v>75.857736701233918</v>
      </c>
      <c r="M700" s="205" t="s">
        <v>819</v>
      </c>
    </row>
    <row r="701" spans="1:13" x14ac:dyDescent="0.25">
      <c r="A701">
        <v>700</v>
      </c>
      <c r="B701" t="s">
        <v>815</v>
      </c>
      <c r="C701" t="s">
        <v>831</v>
      </c>
      <c r="D701">
        <v>9</v>
      </c>
      <c r="E701" s="203">
        <v>-1.0389107815960827</v>
      </c>
      <c r="F701" s="203">
        <v>14.942311581790976</v>
      </c>
      <c r="G701" s="203" t="s">
        <v>819</v>
      </c>
      <c r="H701" s="204">
        <v>6.2131920717397086E-2</v>
      </c>
      <c r="I701" s="204">
        <v>52.477111148006038</v>
      </c>
      <c r="J701" s="204" t="s">
        <v>819</v>
      </c>
      <c r="K701" s="205">
        <v>-2.1538725025961303</v>
      </c>
      <c r="L701" s="205">
        <v>1.5625085953067936</v>
      </c>
      <c r="M701" s="205" t="s">
        <v>818</v>
      </c>
    </row>
    <row r="702" spans="1:13" x14ac:dyDescent="0.25">
      <c r="A702">
        <v>701</v>
      </c>
      <c r="B702" t="s">
        <v>815</v>
      </c>
      <c r="C702" t="s">
        <v>830</v>
      </c>
      <c r="D702">
        <v>10</v>
      </c>
      <c r="E702" s="203">
        <v>-0.58314083844685682</v>
      </c>
      <c r="F702" s="203">
        <v>27.989924692899553</v>
      </c>
      <c r="G702" s="203" t="s">
        <v>819</v>
      </c>
      <c r="H702" s="204">
        <v>0.1885568925215593</v>
      </c>
      <c r="I702" s="204">
        <v>57.477993928077552</v>
      </c>
      <c r="J702" s="204" t="s">
        <v>819</v>
      </c>
      <c r="K702" s="205">
        <v>-0.60172185529737932</v>
      </c>
      <c r="L702" s="205">
        <v>27.367964976548109</v>
      </c>
      <c r="M702" s="205" t="s">
        <v>819</v>
      </c>
    </row>
    <row r="703" spans="1:13" x14ac:dyDescent="0.25">
      <c r="A703">
        <v>702</v>
      </c>
      <c r="B703" t="s">
        <v>815</v>
      </c>
      <c r="C703" t="s">
        <v>831</v>
      </c>
      <c r="D703">
        <v>10</v>
      </c>
      <c r="E703" s="203">
        <v>1.3075066224654683</v>
      </c>
      <c r="F703" s="203">
        <v>90.447964637775726</v>
      </c>
      <c r="G703" s="203" t="s">
        <v>819</v>
      </c>
      <c r="H703" s="204">
        <v>-1.1370506684042754</v>
      </c>
      <c r="I703" s="204">
        <v>12.775855240217449</v>
      </c>
      <c r="J703" s="204" t="s">
        <v>819</v>
      </c>
      <c r="K703" s="205">
        <v>0.93027808615828089</v>
      </c>
      <c r="L703" s="205">
        <v>82.388643954213762</v>
      </c>
      <c r="M703" s="205" t="s">
        <v>819</v>
      </c>
    </row>
    <row r="704" spans="1:13" x14ac:dyDescent="0.25">
      <c r="A704">
        <v>703</v>
      </c>
      <c r="B704" t="s">
        <v>815</v>
      </c>
      <c r="C704" t="s">
        <v>830</v>
      </c>
      <c r="D704">
        <v>10</v>
      </c>
      <c r="E704" s="203">
        <v>-0.14624598647895667</v>
      </c>
      <c r="F704" s="203">
        <v>44.18636019137945</v>
      </c>
      <c r="G704" s="203" t="s">
        <v>819</v>
      </c>
      <c r="H704" s="204">
        <v>0.90162338404350184</v>
      </c>
      <c r="I704" s="204">
        <v>81.637151761066363</v>
      </c>
      <c r="J704" s="204" t="s">
        <v>819</v>
      </c>
      <c r="K704" s="205">
        <v>0.18368387714179185</v>
      </c>
      <c r="L704" s="205">
        <v>57.286927106361276</v>
      </c>
      <c r="M704" s="205" t="s">
        <v>819</v>
      </c>
    </row>
    <row r="705" spans="1:13" x14ac:dyDescent="0.25">
      <c r="A705">
        <v>704</v>
      </c>
      <c r="B705" t="s">
        <v>815</v>
      </c>
      <c r="C705" t="s">
        <v>831</v>
      </c>
      <c r="D705">
        <v>9</v>
      </c>
      <c r="E705" s="203">
        <v>-0.6451149263019853</v>
      </c>
      <c r="F705" s="203">
        <v>25.942635585175992</v>
      </c>
      <c r="G705" s="203" t="s">
        <v>819</v>
      </c>
      <c r="H705" s="204">
        <v>-2.2629229621407303</v>
      </c>
      <c r="I705" s="204">
        <v>1.1820219319807952</v>
      </c>
      <c r="J705" s="204" t="s">
        <v>824</v>
      </c>
      <c r="K705" s="205">
        <v>2.1107576568148025</v>
      </c>
      <c r="L705" s="205">
        <v>98.260342631344926</v>
      </c>
      <c r="M705" s="205" t="s">
        <v>820</v>
      </c>
    </row>
    <row r="706" spans="1:13" x14ac:dyDescent="0.25">
      <c r="A706">
        <v>705</v>
      </c>
      <c r="B706" t="s">
        <v>815</v>
      </c>
      <c r="C706" t="s">
        <v>831</v>
      </c>
      <c r="D706">
        <v>9</v>
      </c>
      <c r="E706" s="203">
        <v>-0.33207899892836557</v>
      </c>
      <c r="F706" s="203">
        <v>36.99148037973616</v>
      </c>
      <c r="G706" s="203" t="s">
        <v>819</v>
      </c>
      <c r="H706" s="204">
        <v>-0.89432572239106134</v>
      </c>
      <c r="I706" s="204">
        <v>18.55738206273579</v>
      </c>
      <c r="J706" s="204" t="s">
        <v>819</v>
      </c>
      <c r="K706" s="205">
        <v>1.7100085178410422</v>
      </c>
      <c r="L706" s="205">
        <v>95.636785102243365</v>
      </c>
      <c r="M706" s="205" t="s">
        <v>820</v>
      </c>
    </row>
    <row r="707" spans="1:13" x14ac:dyDescent="0.25">
      <c r="A707">
        <v>706</v>
      </c>
      <c r="B707" t="s">
        <v>815</v>
      </c>
      <c r="C707" t="s">
        <v>831</v>
      </c>
      <c r="D707">
        <v>10</v>
      </c>
      <c r="E707" s="203">
        <v>-1.4234291453461871</v>
      </c>
      <c r="F707" s="203">
        <v>7.730589427478705</v>
      </c>
      <c r="G707" s="203" t="s">
        <v>819</v>
      </c>
      <c r="H707" s="204">
        <v>0.85054442223457483</v>
      </c>
      <c r="I707" s="204">
        <v>80.248876301088785</v>
      </c>
      <c r="J707" s="204" t="s">
        <v>819</v>
      </c>
      <c r="K707" s="205">
        <v>5.9555004147925972E-2</v>
      </c>
      <c r="L707" s="205">
        <v>52.374497189659444</v>
      </c>
      <c r="M707" s="205" t="s">
        <v>819</v>
      </c>
    </row>
    <row r="708" spans="1:13" x14ac:dyDescent="0.25">
      <c r="A708">
        <v>707</v>
      </c>
      <c r="B708" t="s">
        <v>815</v>
      </c>
      <c r="C708" t="s">
        <v>830</v>
      </c>
      <c r="D708">
        <v>10</v>
      </c>
      <c r="E708" s="203">
        <v>0.53660325621993799</v>
      </c>
      <c r="F708" s="203">
        <v>70.422915279552086</v>
      </c>
      <c r="G708" s="203" t="s">
        <v>819</v>
      </c>
      <c r="H708" s="204">
        <v>-0.1519231936448743</v>
      </c>
      <c r="I708" s="204">
        <v>43.962375737334789</v>
      </c>
      <c r="J708" s="204" t="s">
        <v>819</v>
      </c>
      <c r="K708" s="205">
        <v>0.37801800727890605</v>
      </c>
      <c r="L708" s="205">
        <v>64.729139152882681</v>
      </c>
      <c r="M708" s="205" t="s">
        <v>819</v>
      </c>
    </row>
    <row r="709" spans="1:13" x14ac:dyDescent="0.25">
      <c r="A709">
        <v>708</v>
      </c>
      <c r="B709" t="s">
        <v>815</v>
      </c>
      <c r="C709" t="s">
        <v>830</v>
      </c>
      <c r="D709">
        <v>10</v>
      </c>
      <c r="E709" s="203">
        <v>-3.9251833126779472</v>
      </c>
      <c r="F709" s="203">
        <v>4.3331858079929363E-3</v>
      </c>
      <c r="G709" s="203" t="s">
        <v>818</v>
      </c>
      <c r="H709" s="204">
        <v>-11.315036717714175</v>
      </c>
      <c r="I709" s="204">
        <v>5.5278007992010519E-28</v>
      </c>
      <c r="J709" s="204" t="s">
        <v>824</v>
      </c>
      <c r="K709" s="205">
        <v>4.2410426307249072</v>
      </c>
      <c r="L709" s="205">
        <v>99.99888758064823</v>
      </c>
      <c r="M709" s="205" t="s">
        <v>820</v>
      </c>
    </row>
    <row r="710" spans="1:13" x14ac:dyDescent="0.25">
      <c r="A710">
        <v>709</v>
      </c>
      <c r="B710" t="s">
        <v>815</v>
      </c>
      <c r="C710" t="s">
        <v>830</v>
      </c>
      <c r="D710">
        <v>10</v>
      </c>
      <c r="E710" s="203">
        <v>-0.34571048557582318</v>
      </c>
      <c r="F710" s="203">
        <v>36.478015163786118</v>
      </c>
      <c r="G710" s="203" t="s">
        <v>819</v>
      </c>
      <c r="H710" s="204">
        <v>-1.0602711218455207</v>
      </c>
      <c r="I710" s="204">
        <v>14.451063653919437</v>
      </c>
      <c r="J710" s="204" t="s">
        <v>819</v>
      </c>
      <c r="K710" s="205">
        <v>2.0155899285324494</v>
      </c>
      <c r="L710" s="205">
        <v>97.807856309952882</v>
      </c>
      <c r="M710" s="205" t="s">
        <v>820</v>
      </c>
    </row>
    <row r="711" spans="1:13" x14ac:dyDescent="0.25">
      <c r="A711">
        <v>710</v>
      </c>
      <c r="B711" t="s">
        <v>815</v>
      </c>
      <c r="C711" t="s">
        <v>831</v>
      </c>
      <c r="D711">
        <v>9</v>
      </c>
      <c r="E711" s="203">
        <v>-0.88146904586085129</v>
      </c>
      <c r="F711" s="203">
        <v>18.903200041444236</v>
      </c>
      <c r="G711" s="203" t="s">
        <v>819</v>
      </c>
      <c r="H711" s="204">
        <v>-0.95564290281123199</v>
      </c>
      <c r="I711" s="204">
        <v>16.962633913798147</v>
      </c>
      <c r="J711" s="204" t="s">
        <v>819</v>
      </c>
      <c r="K711" s="205">
        <v>0.68999833417065337</v>
      </c>
      <c r="L711" s="205">
        <v>75.490238253590775</v>
      </c>
      <c r="M711" s="205" t="s">
        <v>819</v>
      </c>
    </row>
    <row r="712" spans="1:13" x14ac:dyDescent="0.25">
      <c r="A712">
        <v>711</v>
      </c>
      <c r="B712" t="s">
        <v>815</v>
      </c>
      <c r="C712" t="s">
        <v>830</v>
      </c>
      <c r="D712">
        <v>10</v>
      </c>
      <c r="E712" s="203">
        <v>1.9999215299836914</v>
      </c>
      <c r="F712" s="203">
        <v>97.724563104733321</v>
      </c>
      <c r="G712" s="203" t="s">
        <v>816</v>
      </c>
      <c r="H712" s="204">
        <v>1.4845448908504781</v>
      </c>
      <c r="I712" s="204">
        <v>93.11677884263041</v>
      </c>
      <c r="J712" s="204" t="s">
        <v>819</v>
      </c>
      <c r="K712" s="205">
        <v>2.5293665780513259</v>
      </c>
      <c r="L712" s="205">
        <v>99.428656948773792</v>
      </c>
      <c r="M712" s="205" t="s">
        <v>820</v>
      </c>
    </row>
    <row r="713" spans="1:13" x14ac:dyDescent="0.25">
      <c r="A713">
        <v>712</v>
      </c>
      <c r="B713" t="s">
        <v>815</v>
      </c>
      <c r="C713" t="s">
        <v>830</v>
      </c>
      <c r="D713">
        <v>9</v>
      </c>
      <c r="E713" s="203">
        <v>0.73337704375687496</v>
      </c>
      <c r="F713" s="203">
        <v>76.833575171348087</v>
      </c>
      <c r="G713" s="203" t="s">
        <v>819</v>
      </c>
      <c r="H713" s="204">
        <v>-0.98781536401036263</v>
      </c>
      <c r="I713" s="204">
        <v>16.16215408189969</v>
      </c>
      <c r="J713" s="204" t="s">
        <v>819</v>
      </c>
      <c r="K713" s="205">
        <v>0.25403777615780299</v>
      </c>
      <c r="L713" s="205">
        <v>60.026681299977348</v>
      </c>
      <c r="M713" s="205" t="s">
        <v>819</v>
      </c>
    </row>
    <row r="714" spans="1:13" x14ac:dyDescent="0.25">
      <c r="A714">
        <v>713</v>
      </c>
      <c r="B714" t="s">
        <v>815</v>
      </c>
      <c r="C714" t="s">
        <v>831</v>
      </c>
      <c r="D714">
        <v>10</v>
      </c>
      <c r="E714" s="203">
        <v>1.4295847735218947</v>
      </c>
      <c r="F714" s="203">
        <v>92.358188588179047</v>
      </c>
      <c r="G714" s="203" t="s">
        <v>819</v>
      </c>
      <c r="H714" s="204">
        <v>-0.23345827635846883</v>
      </c>
      <c r="I714" s="204">
        <v>40.770278253951361</v>
      </c>
      <c r="J714" s="204" t="s">
        <v>819</v>
      </c>
      <c r="K714" s="205">
        <v>2.9877972428181754</v>
      </c>
      <c r="L714" s="205">
        <v>99.859502048521236</v>
      </c>
      <c r="M714" s="205" t="s">
        <v>820</v>
      </c>
    </row>
    <row r="715" spans="1:13" x14ac:dyDescent="0.25">
      <c r="A715">
        <v>714</v>
      </c>
      <c r="B715" t="s">
        <v>815</v>
      </c>
      <c r="C715" t="s">
        <v>830</v>
      </c>
      <c r="D715">
        <v>10</v>
      </c>
      <c r="E715" s="203">
        <v>-1.2331670265869173E-2</v>
      </c>
      <c r="F715" s="203">
        <v>49.508050002809348</v>
      </c>
      <c r="G715" s="203" t="s">
        <v>819</v>
      </c>
      <c r="H715" s="204">
        <v>-0.52094588010323895</v>
      </c>
      <c r="I715" s="204">
        <v>30.120223651490925</v>
      </c>
      <c r="J715" s="204" t="s">
        <v>819</v>
      </c>
      <c r="K715" s="205">
        <v>1.6635734745181661</v>
      </c>
      <c r="L715" s="205">
        <v>95.190115179941984</v>
      </c>
      <c r="M715" s="205" t="s">
        <v>820</v>
      </c>
    </row>
    <row r="716" spans="1:13" x14ac:dyDescent="0.25">
      <c r="A716">
        <v>715</v>
      </c>
      <c r="B716" t="s">
        <v>815</v>
      </c>
      <c r="C716" t="s">
        <v>830</v>
      </c>
      <c r="D716">
        <v>9</v>
      </c>
      <c r="E716" s="203">
        <v>0.73337704375687496</v>
      </c>
      <c r="F716" s="203">
        <v>76.833575171348087</v>
      </c>
      <c r="G716" s="203" t="s">
        <v>819</v>
      </c>
      <c r="H716" s="204">
        <v>-0.10470927220229585</v>
      </c>
      <c r="I716" s="204">
        <v>45.830325212917884</v>
      </c>
      <c r="J716" s="204" t="s">
        <v>819</v>
      </c>
      <c r="K716" s="205">
        <v>3.5286774313294273</v>
      </c>
      <c r="L716" s="205">
        <v>99.979117906687591</v>
      </c>
      <c r="M716" s="205" t="s">
        <v>820</v>
      </c>
    </row>
    <row r="717" spans="1:13" x14ac:dyDescent="0.25">
      <c r="A717">
        <v>716</v>
      </c>
      <c r="B717" t="s">
        <v>815</v>
      </c>
      <c r="C717" t="s">
        <v>830</v>
      </c>
      <c r="D717">
        <v>10</v>
      </c>
      <c r="E717" s="203">
        <v>0.84462418281424223</v>
      </c>
      <c r="F717" s="203">
        <v>80.0839648685497</v>
      </c>
      <c r="G717" s="203" t="s">
        <v>819</v>
      </c>
      <c r="H717" s="204">
        <v>9.1827646370737731E-2</v>
      </c>
      <c r="I717" s="204">
        <v>53.658251088501139</v>
      </c>
      <c r="J717" s="204" t="s">
        <v>819</v>
      </c>
      <c r="K717" s="205">
        <v>1.535295433371711</v>
      </c>
      <c r="L717" s="205">
        <v>93.764436231407714</v>
      </c>
      <c r="M717" s="205" t="s">
        <v>820</v>
      </c>
    </row>
    <row r="718" spans="1:13" x14ac:dyDescent="0.25">
      <c r="A718">
        <v>717</v>
      </c>
      <c r="B718" t="s">
        <v>815</v>
      </c>
      <c r="C718" t="s">
        <v>830</v>
      </c>
      <c r="D718">
        <v>10</v>
      </c>
      <c r="E718" s="203">
        <v>0.60657273454561511</v>
      </c>
      <c r="F718" s="203">
        <v>72.793275038249035</v>
      </c>
      <c r="G718" s="203" t="s">
        <v>819</v>
      </c>
      <c r="H718" s="204">
        <v>-1.6834018970805371</v>
      </c>
      <c r="I718" s="204">
        <v>4.6148658136444007</v>
      </c>
      <c r="J718" s="204" t="s">
        <v>824</v>
      </c>
      <c r="K718" s="205">
        <v>1.9224130449687769</v>
      </c>
      <c r="L718" s="205">
        <v>97.272309727891866</v>
      </c>
      <c r="M718" s="205" t="s">
        <v>820</v>
      </c>
    </row>
    <row r="719" spans="1:13" x14ac:dyDescent="0.25">
      <c r="A719">
        <v>718</v>
      </c>
      <c r="B719" t="s">
        <v>815</v>
      </c>
      <c r="C719" t="s">
        <v>831</v>
      </c>
      <c r="D719">
        <v>10</v>
      </c>
      <c r="E719" s="203">
        <v>0.82595590033967692</v>
      </c>
      <c r="F719" s="203">
        <v>79.558544577952389</v>
      </c>
      <c r="G719" s="203" t="s">
        <v>819</v>
      </c>
      <c r="H719" s="204">
        <v>-1.3101186382900611</v>
      </c>
      <c r="I719" s="204">
        <v>9.5077852072112563</v>
      </c>
      <c r="J719" s="204" t="s">
        <v>819</v>
      </c>
      <c r="K719" s="205">
        <v>0.55990664300025872</v>
      </c>
      <c r="L719" s="205">
        <v>71.222844130713341</v>
      </c>
      <c r="M719" s="205" t="s">
        <v>819</v>
      </c>
    </row>
    <row r="720" spans="1:13" x14ac:dyDescent="0.25">
      <c r="A720">
        <v>719</v>
      </c>
      <c r="B720" t="s">
        <v>815</v>
      </c>
      <c r="C720" t="s">
        <v>831</v>
      </c>
      <c r="D720">
        <v>9</v>
      </c>
      <c r="E720" s="203">
        <v>1.3227152544324101</v>
      </c>
      <c r="F720" s="203">
        <v>90.703495566081997</v>
      </c>
      <c r="G720" s="203" t="s">
        <v>819</v>
      </c>
      <c r="H720" s="204">
        <v>-2.4432419887119763</v>
      </c>
      <c r="I720" s="204">
        <v>0.72779867507194396</v>
      </c>
      <c r="J720" s="204" t="s">
        <v>824</v>
      </c>
      <c r="K720" s="205">
        <v>3.0646468021759334</v>
      </c>
      <c r="L720" s="205">
        <v>99.891036403755777</v>
      </c>
      <c r="M720" s="205" t="s">
        <v>820</v>
      </c>
    </row>
    <row r="721" spans="1:13" x14ac:dyDescent="0.25">
      <c r="A721">
        <v>720</v>
      </c>
      <c r="B721" t="s">
        <v>815</v>
      </c>
      <c r="C721" t="s">
        <v>831</v>
      </c>
      <c r="D721">
        <v>9</v>
      </c>
      <c r="E721" s="203">
        <v>0.13857673725772285</v>
      </c>
      <c r="F721" s="203">
        <v>55.510768655073818</v>
      </c>
      <c r="G721" s="203" t="s">
        <v>819</v>
      </c>
      <c r="H721" s="204">
        <v>-1.0986209805056606</v>
      </c>
      <c r="I721" s="204">
        <v>13.596671122391568</v>
      </c>
      <c r="J721" s="204" t="s">
        <v>819</v>
      </c>
      <c r="K721" s="205">
        <v>1.9478433019977459</v>
      </c>
      <c r="L721" s="205">
        <v>97.428314214979522</v>
      </c>
      <c r="M721" s="205" t="s">
        <v>820</v>
      </c>
    </row>
    <row r="722" spans="1:13" x14ac:dyDescent="0.25">
      <c r="A722">
        <v>721</v>
      </c>
      <c r="B722" t="s">
        <v>815</v>
      </c>
      <c r="C722" t="s">
        <v>830</v>
      </c>
      <c r="D722">
        <v>10</v>
      </c>
      <c r="E722" s="203">
        <v>0.16034937301570598</v>
      </c>
      <c r="F722" s="203">
        <v>56.369706601988433</v>
      </c>
      <c r="G722" s="203" t="s">
        <v>819</v>
      </c>
      <c r="H722" s="204">
        <v>-0.26194011847677251</v>
      </c>
      <c r="I722" s="204">
        <v>39.668380453058248</v>
      </c>
      <c r="J722" s="204" t="s">
        <v>819</v>
      </c>
      <c r="K722" s="205">
        <v>-1.6660277154431253</v>
      </c>
      <c r="L722" s="205">
        <v>4.7853947163719148</v>
      </c>
      <c r="M722" s="205" t="s">
        <v>818</v>
      </c>
    </row>
    <row r="723" spans="1:13" x14ac:dyDescent="0.25">
      <c r="A723">
        <v>722</v>
      </c>
      <c r="B723" t="s">
        <v>815</v>
      </c>
      <c r="C723" t="s">
        <v>830</v>
      </c>
      <c r="D723">
        <v>10</v>
      </c>
      <c r="E723" s="203">
        <v>0.84462418281424223</v>
      </c>
      <c r="F723" s="203">
        <v>80.0839648685497</v>
      </c>
      <c r="G723" s="203" t="s">
        <v>819</v>
      </c>
      <c r="H723" s="204">
        <v>-0.4142547739454146</v>
      </c>
      <c r="I723" s="204">
        <v>33.93437657990831</v>
      </c>
      <c r="J723" s="204" t="s">
        <v>819</v>
      </c>
      <c r="K723" s="205">
        <v>0.67287950494094828</v>
      </c>
      <c r="L723" s="205">
        <v>74.948802402616337</v>
      </c>
      <c r="M723" s="205" t="s">
        <v>819</v>
      </c>
    </row>
    <row r="724" spans="1:13" x14ac:dyDescent="0.25">
      <c r="A724">
        <v>723</v>
      </c>
      <c r="B724" t="s">
        <v>815</v>
      </c>
      <c r="C724" t="s">
        <v>830</v>
      </c>
      <c r="D724">
        <v>10</v>
      </c>
      <c r="E724" s="203">
        <v>0.62024241225770349</v>
      </c>
      <c r="F724" s="203">
        <v>73.245089876100494</v>
      </c>
      <c r="G724" s="203" t="s">
        <v>819</v>
      </c>
      <c r="H724" s="204">
        <v>-0.75262738571278742</v>
      </c>
      <c r="I724" s="204">
        <v>22.583692813666893</v>
      </c>
      <c r="J724" s="204" t="s">
        <v>819</v>
      </c>
      <c r="K724" s="205">
        <v>0.56587744043092103</v>
      </c>
      <c r="L724" s="205">
        <v>71.426145082874683</v>
      </c>
      <c r="M724" s="205" t="s">
        <v>819</v>
      </c>
    </row>
    <row r="725" spans="1:13" x14ac:dyDescent="0.25">
      <c r="A725">
        <v>724</v>
      </c>
      <c r="B725" t="s">
        <v>815</v>
      </c>
      <c r="C725" t="s">
        <v>831</v>
      </c>
      <c r="D725">
        <v>10</v>
      </c>
      <c r="E725" s="203">
        <v>-0.80545724047494927</v>
      </c>
      <c r="F725" s="203">
        <v>21.027793589766226</v>
      </c>
      <c r="G725" s="203" t="s">
        <v>819</v>
      </c>
      <c r="H725" s="204">
        <v>-1.3811203279661182</v>
      </c>
      <c r="I725" s="204">
        <v>8.3620983137205442</v>
      </c>
      <c r="J725" s="204" t="s">
        <v>819</v>
      </c>
      <c r="K725" s="205">
        <v>2.1479790142328929</v>
      </c>
      <c r="L725" s="205">
        <v>98.414228868771829</v>
      </c>
      <c r="M725" s="205" t="s">
        <v>820</v>
      </c>
    </row>
    <row r="726" spans="1:13" x14ac:dyDescent="0.25">
      <c r="A726">
        <v>725</v>
      </c>
      <c r="B726" t="s">
        <v>815</v>
      </c>
      <c r="C726" t="s">
        <v>830</v>
      </c>
      <c r="D726">
        <v>10</v>
      </c>
      <c r="E726" s="203">
        <v>-0.23344906026582521</v>
      </c>
      <c r="F726" s="203">
        <v>40.770636039042309</v>
      </c>
      <c r="G726" s="203" t="s">
        <v>819</v>
      </c>
      <c r="H726" s="204">
        <v>-0.92576169644794015</v>
      </c>
      <c r="I726" s="204">
        <v>17.728491853757866</v>
      </c>
      <c r="J726" s="204" t="s">
        <v>819</v>
      </c>
      <c r="K726" s="205">
        <v>-0.31064287544782754</v>
      </c>
      <c r="L726" s="205">
        <v>37.803606436232386</v>
      </c>
      <c r="M726" s="205" t="s">
        <v>819</v>
      </c>
    </row>
    <row r="727" spans="1:13" x14ac:dyDescent="0.25">
      <c r="A727">
        <v>726</v>
      </c>
      <c r="B727" t="s">
        <v>815</v>
      </c>
      <c r="C727" t="s">
        <v>831</v>
      </c>
      <c r="D727">
        <v>10</v>
      </c>
      <c r="E727" s="203">
        <v>0.36951987798720987</v>
      </c>
      <c r="F727" s="203">
        <v>64.41298702699585</v>
      </c>
      <c r="G727" s="203" t="s">
        <v>819</v>
      </c>
      <c r="H727" s="204">
        <v>-0.69384590133724322</v>
      </c>
      <c r="I727" s="204">
        <v>24.388942660793205</v>
      </c>
      <c r="J727" s="204" t="s">
        <v>819</v>
      </c>
      <c r="K727" s="205">
        <v>1.429381741927239</v>
      </c>
      <c r="L727" s="205">
        <v>92.355272839017104</v>
      </c>
      <c r="M727" s="205" t="s">
        <v>820</v>
      </c>
    </row>
    <row r="728" spans="1:13" x14ac:dyDescent="0.25">
      <c r="A728">
        <v>727</v>
      </c>
      <c r="B728" t="s">
        <v>815</v>
      </c>
      <c r="C728" t="s">
        <v>831</v>
      </c>
      <c r="D728">
        <v>10</v>
      </c>
      <c r="E728" s="203">
        <v>-0.35446608633575755</v>
      </c>
      <c r="F728" s="203">
        <v>36.149480771114796</v>
      </c>
      <c r="G728" s="203" t="s">
        <v>819</v>
      </c>
      <c r="H728" s="204">
        <v>-1.1957916355724962</v>
      </c>
      <c r="I728" s="204">
        <v>11.588894042401423</v>
      </c>
      <c r="J728" s="204" t="s">
        <v>819</v>
      </c>
      <c r="K728" s="205">
        <v>-0.91591758175984583</v>
      </c>
      <c r="L728" s="205">
        <v>17.985506224691566</v>
      </c>
      <c r="M728" s="205" t="s">
        <v>819</v>
      </c>
    </row>
    <row r="729" spans="1:13" x14ac:dyDescent="0.25">
      <c r="A729">
        <v>728</v>
      </c>
      <c r="B729" t="s">
        <v>815</v>
      </c>
      <c r="C729" t="s">
        <v>831</v>
      </c>
      <c r="D729">
        <v>10</v>
      </c>
      <c r="E729" s="203">
        <v>-0.88194396313691203</v>
      </c>
      <c r="F729" s="203">
        <v>18.890355565582556</v>
      </c>
      <c r="G729" s="203" t="s">
        <v>819</v>
      </c>
      <c r="H729" s="204">
        <v>-0.9352288501001168</v>
      </c>
      <c r="I729" s="204">
        <v>17.483518676931993</v>
      </c>
      <c r="J729" s="204" t="s">
        <v>819</v>
      </c>
      <c r="K729" s="205">
        <v>1.7113012025348482</v>
      </c>
      <c r="L729" s="205">
        <v>95.648723775393321</v>
      </c>
      <c r="M729" s="205" t="s">
        <v>820</v>
      </c>
    </row>
    <row r="730" spans="1:13" x14ac:dyDescent="0.25">
      <c r="A730">
        <v>729</v>
      </c>
      <c r="B730" t="s">
        <v>815</v>
      </c>
      <c r="C730" t="s">
        <v>830</v>
      </c>
      <c r="D730">
        <v>10</v>
      </c>
      <c r="E730" s="203">
        <v>0.67693254635474009</v>
      </c>
      <c r="F730" s="203">
        <v>75.077562346938649</v>
      </c>
      <c r="G730" s="203" t="s">
        <v>819</v>
      </c>
      <c r="H730" s="204">
        <v>-0.71695085726275543</v>
      </c>
      <c r="I730" s="204">
        <v>23.67022098954039</v>
      </c>
      <c r="J730" s="204" t="s">
        <v>819</v>
      </c>
      <c r="K730" s="205">
        <v>8.7923436463412288E-2</v>
      </c>
      <c r="L730" s="205">
        <v>53.503123543321387</v>
      </c>
      <c r="M730" s="205" t="s">
        <v>819</v>
      </c>
    </row>
    <row r="731" spans="1:13" x14ac:dyDescent="0.25">
      <c r="A731">
        <v>730</v>
      </c>
      <c r="B731" t="s">
        <v>815</v>
      </c>
      <c r="C731" t="s">
        <v>830</v>
      </c>
      <c r="D731">
        <v>10</v>
      </c>
      <c r="E731" s="203">
        <v>-1.0035013767515883</v>
      </c>
      <c r="F731" s="203">
        <v>15.780950649591672</v>
      </c>
      <c r="G731" s="203" t="s">
        <v>819</v>
      </c>
      <c r="H731" s="204">
        <v>-1.1519336102295779</v>
      </c>
      <c r="I731" s="204">
        <v>12.46741778106526</v>
      </c>
      <c r="J731" s="204" t="s">
        <v>819</v>
      </c>
      <c r="K731" s="205">
        <v>2.0217802128910081</v>
      </c>
      <c r="L731" s="205">
        <v>97.840046858280814</v>
      </c>
      <c r="M731" s="205" t="s">
        <v>820</v>
      </c>
    </row>
    <row r="732" spans="1:13" x14ac:dyDescent="0.25">
      <c r="A732">
        <v>731</v>
      </c>
      <c r="B732" t="s">
        <v>815</v>
      </c>
      <c r="C732" t="s">
        <v>830</v>
      </c>
      <c r="D732">
        <v>10</v>
      </c>
      <c r="E732" s="203">
        <v>0.62024241225770349</v>
      </c>
      <c r="F732" s="203">
        <v>73.245089876100494</v>
      </c>
      <c r="G732" s="203" t="s">
        <v>819</v>
      </c>
      <c r="H732" s="204">
        <v>0.1778617826994692</v>
      </c>
      <c r="I732" s="204">
        <v>57.058423739379769</v>
      </c>
      <c r="J732" s="204" t="s">
        <v>819</v>
      </c>
      <c r="K732" s="205">
        <v>1.2075566662113004</v>
      </c>
      <c r="L732" s="205">
        <v>88.639108198519693</v>
      </c>
      <c r="M732" s="205" t="s">
        <v>820</v>
      </c>
    </row>
    <row r="733" spans="1:13" x14ac:dyDescent="0.25">
      <c r="A733">
        <v>732</v>
      </c>
      <c r="B733" t="s">
        <v>815</v>
      </c>
      <c r="C733" t="s">
        <v>830</v>
      </c>
      <c r="D733">
        <v>10</v>
      </c>
      <c r="E733" s="203">
        <v>0.8554650870006818</v>
      </c>
      <c r="F733" s="203">
        <v>80.385313777132069</v>
      </c>
      <c r="G733" s="203" t="s">
        <v>819</v>
      </c>
      <c r="H733" s="204">
        <v>-0.22132135614805964</v>
      </c>
      <c r="I733" s="204">
        <v>41.24211112315416</v>
      </c>
      <c r="J733" s="204" t="s">
        <v>819</v>
      </c>
      <c r="K733" s="205">
        <v>2.3752893160220596</v>
      </c>
      <c r="L733" s="205">
        <v>99.123240013360729</v>
      </c>
      <c r="M733" s="205" t="s">
        <v>820</v>
      </c>
    </row>
    <row r="734" spans="1:13" x14ac:dyDescent="0.25">
      <c r="A734">
        <v>733</v>
      </c>
      <c r="B734" t="s">
        <v>815</v>
      </c>
      <c r="C734" t="s">
        <v>831</v>
      </c>
      <c r="D734">
        <v>10</v>
      </c>
      <c r="E734" s="203">
        <v>-0.11279417230858349</v>
      </c>
      <c r="F734" s="203">
        <v>45.509686934127153</v>
      </c>
      <c r="G734" s="203" t="s">
        <v>819</v>
      </c>
      <c r="H734" s="204">
        <v>-0.70590502170228731</v>
      </c>
      <c r="I734" s="204">
        <v>24.012360223171708</v>
      </c>
      <c r="J734" s="204" t="s">
        <v>819</v>
      </c>
      <c r="K734" s="205">
        <v>0.58706822582149953</v>
      </c>
      <c r="L734" s="205">
        <v>72.142105679229076</v>
      </c>
      <c r="M734" s="205" t="s">
        <v>819</v>
      </c>
    </row>
    <row r="735" spans="1:13" x14ac:dyDescent="0.25">
      <c r="A735">
        <v>734</v>
      </c>
      <c r="B735" t="s">
        <v>815</v>
      </c>
      <c r="C735" t="s">
        <v>830</v>
      </c>
      <c r="D735">
        <v>9</v>
      </c>
      <c r="E735" s="203">
        <v>0.17177832323451273</v>
      </c>
      <c r="F735" s="203">
        <v>56.819409612721181</v>
      </c>
      <c r="G735" s="203" t="s">
        <v>819</v>
      </c>
      <c r="H735" s="204">
        <v>-1.1483480586564176</v>
      </c>
      <c r="I735" s="204">
        <v>12.541245346277918</v>
      </c>
      <c r="J735" s="204" t="s">
        <v>819</v>
      </c>
      <c r="K735" s="205">
        <v>1.545968565426715</v>
      </c>
      <c r="L735" s="205">
        <v>93.89439201340717</v>
      </c>
      <c r="M735" s="205" t="s">
        <v>820</v>
      </c>
    </row>
    <row r="736" spans="1:13" x14ac:dyDescent="0.25">
      <c r="A736">
        <v>735</v>
      </c>
      <c r="B736" t="s">
        <v>815</v>
      </c>
      <c r="C736" t="s">
        <v>830</v>
      </c>
      <c r="D736">
        <v>10</v>
      </c>
      <c r="E736" s="203">
        <v>1.372420677344464</v>
      </c>
      <c r="F736" s="203">
        <v>91.503374159974527</v>
      </c>
      <c r="G736" s="203" t="s">
        <v>819</v>
      </c>
      <c r="H736" s="204">
        <v>0.14793847151816389</v>
      </c>
      <c r="I736" s="204">
        <v>55.880433681995775</v>
      </c>
      <c r="J736" s="204" t="s">
        <v>819</v>
      </c>
      <c r="K736" s="205">
        <v>2.2612630874732922</v>
      </c>
      <c r="L736" s="205">
        <v>98.81285147250226</v>
      </c>
      <c r="M736" s="205" t="s">
        <v>820</v>
      </c>
    </row>
    <row r="737" spans="1:13" x14ac:dyDescent="0.25">
      <c r="A737">
        <v>736</v>
      </c>
      <c r="B737" t="s">
        <v>815</v>
      </c>
      <c r="C737" t="s">
        <v>830</v>
      </c>
      <c r="D737">
        <v>9</v>
      </c>
      <c r="E737" s="203">
        <v>-0.71342035185652941</v>
      </c>
      <c r="F737" s="203">
        <v>23.779284154546446</v>
      </c>
      <c r="G737" s="203" t="s">
        <v>819</v>
      </c>
      <c r="H737" s="204">
        <v>-1.6161769876109875</v>
      </c>
      <c r="I737" s="204">
        <v>5.3028026360326281</v>
      </c>
      <c r="J737" s="204" t="s">
        <v>819</v>
      </c>
      <c r="K737" s="205">
        <v>0.89179108237354077</v>
      </c>
      <c r="L737" s="205">
        <v>81.374753878691436</v>
      </c>
      <c r="M737" s="205" t="s">
        <v>819</v>
      </c>
    </row>
    <row r="738" spans="1:13" x14ac:dyDescent="0.25">
      <c r="A738">
        <v>737</v>
      </c>
      <c r="B738" t="s">
        <v>815</v>
      </c>
      <c r="C738" t="s">
        <v>830</v>
      </c>
      <c r="D738">
        <v>10</v>
      </c>
      <c r="E738" s="203">
        <v>-0.41118351511379342</v>
      </c>
      <c r="F738" s="203">
        <v>34.046898753520871</v>
      </c>
      <c r="G738" s="203" t="s">
        <v>819</v>
      </c>
      <c r="H738" s="204">
        <v>-1.4617426969916818</v>
      </c>
      <c r="I738" s="204">
        <v>7.1905866092166342</v>
      </c>
      <c r="J738" s="204" t="s">
        <v>819</v>
      </c>
      <c r="K738" s="205">
        <v>0.36258416654342107</v>
      </c>
      <c r="L738" s="205">
        <v>64.154223010940086</v>
      </c>
      <c r="M738" s="205" t="s">
        <v>819</v>
      </c>
    </row>
    <row r="739" spans="1:13" x14ac:dyDescent="0.25">
      <c r="A739">
        <v>738</v>
      </c>
      <c r="B739" t="s">
        <v>815</v>
      </c>
      <c r="C739" t="s">
        <v>831</v>
      </c>
      <c r="D739">
        <v>10</v>
      </c>
      <c r="E739" s="203">
        <v>0.74204077192672546</v>
      </c>
      <c r="F739" s="203">
        <v>77.09686834643415</v>
      </c>
      <c r="G739" s="203" t="s">
        <v>819</v>
      </c>
      <c r="H739" s="204">
        <v>-0.18270175007263897</v>
      </c>
      <c r="I739" s="204">
        <v>42.751602125787734</v>
      </c>
      <c r="J739" s="204" t="s">
        <v>819</v>
      </c>
      <c r="K739" s="205">
        <v>2.0377739093817424</v>
      </c>
      <c r="L739" s="205">
        <v>97.92137256172596</v>
      </c>
      <c r="M739" s="205" t="s">
        <v>820</v>
      </c>
    </row>
    <row r="740" spans="1:13" x14ac:dyDescent="0.25">
      <c r="A740">
        <v>739</v>
      </c>
      <c r="B740" t="s">
        <v>815</v>
      </c>
      <c r="C740" t="s">
        <v>831</v>
      </c>
      <c r="D740">
        <v>10</v>
      </c>
      <c r="E740" s="203">
        <v>0.67069227638725559</v>
      </c>
      <c r="F740" s="203">
        <v>74.879170791720441</v>
      </c>
      <c r="G740" s="203" t="s">
        <v>819</v>
      </c>
      <c r="H740" s="204">
        <v>0.40695190249281449</v>
      </c>
      <c r="I740" s="204">
        <v>65.797834281353289</v>
      </c>
      <c r="J740" s="204" t="s">
        <v>819</v>
      </c>
      <c r="K740" s="205">
        <v>-0.65362537328330195</v>
      </c>
      <c r="L740" s="205">
        <v>25.667659652237017</v>
      </c>
      <c r="M740" s="205" t="s">
        <v>819</v>
      </c>
    </row>
    <row r="741" spans="1:13" x14ac:dyDescent="0.25">
      <c r="A741">
        <v>740</v>
      </c>
      <c r="B741" t="s">
        <v>815</v>
      </c>
      <c r="C741" t="s">
        <v>831</v>
      </c>
      <c r="D741">
        <v>11</v>
      </c>
      <c r="E741" s="203">
        <v>0.88838601215520041</v>
      </c>
      <c r="F741" s="203">
        <v>81.283342651843455</v>
      </c>
      <c r="G741" s="203" t="s">
        <v>819</v>
      </c>
      <c r="H741" s="204">
        <v>-1.9669583467882588</v>
      </c>
      <c r="I741" s="204">
        <v>2.4594006510972108</v>
      </c>
      <c r="J741" s="204" t="s">
        <v>824</v>
      </c>
      <c r="K741" s="205">
        <v>1.5595086713044248</v>
      </c>
      <c r="L741" s="205">
        <v>94.056198308377276</v>
      </c>
      <c r="M741" s="205" t="s">
        <v>820</v>
      </c>
    </row>
    <row r="742" spans="1:13" x14ac:dyDescent="0.25">
      <c r="A742">
        <v>741</v>
      </c>
      <c r="B742" t="s">
        <v>815</v>
      </c>
      <c r="C742" t="s">
        <v>830</v>
      </c>
      <c r="D742">
        <v>11</v>
      </c>
      <c r="E742" s="203">
        <v>-0.38151744865392334</v>
      </c>
      <c r="F742" s="203">
        <v>35.14096631871999</v>
      </c>
      <c r="G742" s="203" t="s">
        <v>819</v>
      </c>
      <c r="H742" s="204">
        <v>-0.71539914943707295</v>
      </c>
      <c r="I742" s="204">
        <v>23.718121896256591</v>
      </c>
      <c r="J742" s="204" t="s">
        <v>819</v>
      </c>
      <c r="K742" s="205">
        <v>0.28824316381800319</v>
      </c>
      <c r="L742" s="205">
        <v>61.341969488769401</v>
      </c>
      <c r="M742" s="205" t="s">
        <v>819</v>
      </c>
    </row>
    <row r="743" spans="1:13" x14ac:dyDescent="0.25">
      <c r="A743">
        <v>742</v>
      </c>
      <c r="B743" t="s">
        <v>815</v>
      </c>
      <c r="C743" t="s">
        <v>831</v>
      </c>
      <c r="D743">
        <v>10</v>
      </c>
      <c r="E743" s="203">
        <v>0.53449833299135985</v>
      </c>
      <c r="F743" s="203">
        <v>70.350159875208377</v>
      </c>
      <c r="G743" s="203" t="s">
        <v>819</v>
      </c>
      <c r="H743" s="204">
        <v>0.81746933710447667</v>
      </c>
      <c r="I743" s="204">
        <v>79.316986729841432</v>
      </c>
      <c r="J743" s="204" t="s">
        <v>819</v>
      </c>
      <c r="K743" s="205">
        <v>0.25101513768237521</v>
      </c>
      <c r="L743" s="205">
        <v>59.909879718776857</v>
      </c>
      <c r="M743" s="205" t="s">
        <v>819</v>
      </c>
    </row>
    <row r="744" spans="1:13" x14ac:dyDescent="0.25">
      <c r="A744">
        <v>743</v>
      </c>
      <c r="B744" t="s">
        <v>815</v>
      </c>
      <c r="C744" t="s">
        <v>830</v>
      </c>
      <c r="D744">
        <v>11</v>
      </c>
      <c r="E744" s="203">
        <v>-0.16530508186935369</v>
      </c>
      <c r="F744" s="203">
        <v>43.435192954783481</v>
      </c>
      <c r="G744" s="203" t="s">
        <v>819</v>
      </c>
      <c r="H744" s="204">
        <v>-1.1500389822765069</v>
      </c>
      <c r="I744" s="204">
        <v>12.506390795252258</v>
      </c>
      <c r="J744" s="204" t="s">
        <v>819</v>
      </c>
      <c r="K744" s="205">
        <v>2.3637239284112321</v>
      </c>
      <c r="L744" s="205">
        <v>99.095385545894771</v>
      </c>
      <c r="M744" s="205" t="s">
        <v>820</v>
      </c>
    </row>
    <row r="745" spans="1:13" x14ac:dyDescent="0.25">
      <c r="A745">
        <v>744</v>
      </c>
      <c r="B745" t="s">
        <v>815</v>
      </c>
      <c r="C745" t="s">
        <v>830</v>
      </c>
      <c r="D745">
        <v>10</v>
      </c>
      <c r="E745" s="203">
        <v>-0.95065468361742145</v>
      </c>
      <c r="F745" s="203">
        <v>17.088984973140537</v>
      </c>
      <c r="G745" s="203" t="s">
        <v>819</v>
      </c>
      <c r="H745" s="204">
        <v>-1.0694355994243516</v>
      </c>
      <c r="I745" s="204">
        <v>14.24367166693759</v>
      </c>
      <c r="J745" s="204" t="s">
        <v>819</v>
      </c>
      <c r="K745" s="205">
        <v>0.73270050386434593</v>
      </c>
      <c r="L745" s="205">
        <v>76.812944170133136</v>
      </c>
      <c r="M745" s="205" t="s">
        <v>819</v>
      </c>
    </row>
    <row r="746" spans="1:13" x14ac:dyDescent="0.25">
      <c r="A746">
        <v>745</v>
      </c>
      <c r="B746" t="s">
        <v>815</v>
      </c>
      <c r="C746" t="s">
        <v>831</v>
      </c>
      <c r="D746">
        <v>10</v>
      </c>
      <c r="E746" s="203">
        <v>-0.97431841504353223</v>
      </c>
      <c r="F746" s="203">
        <v>16.494923198058583</v>
      </c>
      <c r="G746" s="203" t="s">
        <v>819</v>
      </c>
      <c r="H746" s="204">
        <v>-1.0779151424750142</v>
      </c>
      <c r="I746" s="204">
        <v>14.053581357470851</v>
      </c>
      <c r="J746" s="204" t="s">
        <v>819</v>
      </c>
      <c r="K746" s="205">
        <v>-0.76152508565227839</v>
      </c>
      <c r="L746" s="205">
        <v>22.317175064862223</v>
      </c>
      <c r="M746" s="205" t="s">
        <v>819</v>
      </c>
    </row>
    <row r="747" spans="1:13" x14ac:dyDescent="0.25">
      <c r="A747">
        <v>746</v>
      </c>
      <c r="B747" t="s">
        <v>815</v>
      </c>
      <c r="C747" t="s">
        <v>830</v>
      </c>
      <c r="D747">
        <v>11</v>
      </c>
      <c r="E747" s="203">
        <v>2.0633271561679885</v>
      </c>
      <c r="F747" s="203">
        <v>98.045922217817065</v>
      </c>
      <c r="G747" s="203" t="s">
        <v>816</v>
      </c>
      <c r="H747" s="204">
        <v>-1.9662283321916811</v>
      </c>
      <c r="I747" s="204">
        <v>2.4636120559457257</v>
      </c>
      <c r="J747" s="204" t="s">
        <v>824</v>
      </c>
      <c r="K747" s="205">
        <v>2.8784954783034693</v>
      </c>
      <c r="L747" s="205">
        <v>99.800211495510297</v>
      </c>
      <c r="M747" s="205" t="s">
        <v>820</v>
      </c>
    </row>
    <row r="748" spans="1:13" x14ac:dyDescent="0.25">
      <c r="A748">
        <v>747</v>
      </c>
      <c r="B748" t="s">
        <v>815</v>
      </c>
      <c r="C748" t="s">
        <v>831</v>
      </c>
      <c r="D748">
        <v>11</v>
      </c>
      <c r="E748" s="203">
        <v>1.5527703700496764</v>
      </c>
      <c r="F748" s="203">
        <v>93.976099811198537</v>
      </c>
      <c r="G748" s="203" t="s">
        <v>819</v>
      </c>
      <c r="H748" s="204">
        <v>-2.0059343136129386</v>
      </c>
      <c r="I748" s="204">
        <v>2.2431628334707825</v>
      </c>
      <c r="J748" s="204" t="s">
        <v>824</v>
      </c>
      <c r="K748" s="205">
        <v>-0.11961863469523697</v>
      </c>
      <c r="L748" s="205">
        <v>45.239262868283092</v>
      </c>
      <c r="M748" s="205" t="s">
        <v>819</v>
      </c>
    </row>
    <row r="749" spans="1:13" x14ac:dyDescent="0.25">
      <c r="A749">
        <v>748</v>
      </c>
      <c r="B749" t="s">
        <v>815</v>
      </c>
      <c r="C749" t="s">
        <v>831</v>
      </c>
      <c r="D749">
        <v>11</v>
      </c>
      <c r="E749" s="203">
        <v>-0.53651306186177705</v>
      </c>
      <c r="F749" s="203">
        <v>29.580200551545165</v>
      </c>
      <c r="G749" s="203" t="s">
        <v>819</v>
      </c>
      <c r="H749" s="204">
        <v>-0.22541890621205368</v>
      </c>
      <c r="I749" s="204">
        <v>41.082670253535078</v>
      </c>
      <c r="J749" s="204" t="s">
        <v>819</v>
      </c>
      <c r="K749" s="205">
        <v>-6.5440885204006011E-3</v>
      </c>
      <c r="L749" s="205">
        <v>49.738930503641235</v>
      </c>
      <c r="M749" s="205" t="s">
        <v>819</v>
      </c>
    </row>
    <row r="750" spans="1:13" x14ac:dyDescent="0.25">
      <c r="A750">
        <v>749</v>
      </c>
      <c r="B750" t="s">
        <v>815</v>
      </c>
      <c r="C750" t="s">
        <v>830</v>
      </c>
      <c r="D750">
        <v>11</v>
      </c>
      <c r="E750" s="203">
        <v>-7.5251427529348441E-3</v>
      </c>
      <c r="F750" s="203">
        <v>49.699793072324105</v>
      </c>
      <c r="G750" s="203" t="s">
        <v>819</v>
      </c>
      <c r="H750" s="204">
        <v>8.0164338201137955E-2</v>
      </c>
      <c r="I750" s="204">
        <v>53.194672357947638</v>
      </c>
      <c r="J750" s="204" t="s">
        <v>819</v>
      </c>
      <c r="K750" s="205">
        <v>2.1181062903906671</v>
      </c>
      <c r="L750" s="205">
        <v>98.291696653737972</v>
      </c>
      <c r="M750" s="205" t="s">
        <v>820</v>
      </c>
    </row>
    <row r="751" spans="1:13" x14ac:dyDescent="0.25">
      <c r="A751">
        <v>750</v>
      </c>
      <c r="B751" t="s">
        <v>815</v>
      </c>
      <c r="C751" t="s">
        <v>830</v>
      </c>
      <c r="D751">
        <v>10</v>
      </c>
      <c r="E751" s="203">
        <v>-1.97726796196586</v>
      </c>
      <c r="F751" s="203">
        <v>2.4005674539180397</v>
      </c>
      <c r="G751" s="203" t="s">
        <v>818</v>
      </c>
      <c r="H751" s="204">
        <v>-1.9780716194506953</v>
      </c>
      <c r="I751" s="204">
        <v>2.396031385198472</v>
      </c>
      <c r="J751" s="204" t="s">
        <v>824</v>
      </c>
      <c r="K751" s="205">
        <v>-0.65641233932941279</v>
      </c>
      <c r="L751" s="205">
        <v>25.577942660249864</v>
      </c>
      <c r="M751" s="205" t="s">
        <v>819</v>
      </c>
    </row>
    <row r="752" spans="1:13" x14ac:dyDescent="0.25">
      <c r="A752">
        <v>751</v>
      </c>
      <c r="B752" t="s">
        <v>815</v>
      </c>
      <c r="C752" t="s">
        <v>831</v>
      </c>
      <c r="D752">
        <v>10</v>
      </c>
      <c r="E752" s="203">
        <v>2.0665175714756714</v>
      </c>
      <c r="F752" s="203">
        <v>98.061018250175351</v>
      </c>
      <c r="G752" s="203" t="s">
        <v>816</v>
      </c>
      <c r="H752" s="204">
        <v>3.2357584641658277E-2</v>
      </c>
      <c r="I752" s="204">
        <v>51.290655634327784</v>
      </c>
      <c r="J752" s="204" t="s">
        <v>819</v>
      </c>
      <c r="K752" s="205">
        <v>-0.63818396695296686</v>
      </c>
      <c r="L752" s="205">
        <v>26.167696637018256</v>
      </c>
      <c r="M752" s="205" t="s">
        <v>819</v>
      </c>
    </row>
    <row r="753" spans="1:13" x14ac:dyDescent="0.25">
      <c r="A753">
        <v>752</v>
      </c>
      <c r="B753" t="s">
        <v>815</v>
      </c>
      <c r="C753" t="s">
        <v>830</v>
      </c>
      <c r="D753">
        <v>11</v>
      </c>
      <c r="E753" s="203">
        <v>-1.6712143280432632</v>
      </c>
      <c r="F753" s="203">
        <v>4.7339675582252045</v>
      </c>
      <c r="G753" s="203" t="s">
        <v>818</v>
      </c>
      <c r="H753" s="204">
        <v>-2.9537531447384548</v>
      </c>
      <c r="I753" s="204">
        <v>0.15696750719382116</v>
      </c>
      <c r="J753" s="204" t="s">
        <v>824</v>
      </c>
      <c r="K753" s="205">
        <v>1.7019083692975774</v>
      </c>
      <c r="L753" s="205">
        <v>95.561372668148991</v>
      </c>
      <c r="M753" s="205" t="s">
        <v>820</v>
      </c>
    </row>
    <row r="754" spans="1:13" x14ac:dyDescent="0.25">
      <c r="A754">
        <v>753</v>
      </c>
      <c r="B754" t="s">
        <v>815</v>
      </c>
      <c r="C754" t="s">
        <v>830</v>
      </c>
      <c r="D754">
        <v>11</v>
      </c>
      <c r="E754" s="203">
        <v>0.29108867345104167</v>
      </c>
      <c r="F754" s="203">
        <v>61.45082488440643</v>
      </c>
      <c r="G754" s="203" t="s">
        <v>819</v>
      </c>
      <c r="H754" s="204">
        <v>0.91341905420872616</v>
      </c>
      <c r="I754" s="204">
        <v>81.948890598408525</v>
      </c>
      <c r="J754" s="204" t="s">
        <v>819</v>
      </c>
      <c r="K754" s="205">
        <v>2.2717279413234728</v>
      </c>
      <c r="L754" s="205">
        <v>98.844852626409832</v>
      </c>
      <c r="M754" s="205" t="s">
        <v>820</v>
      </c>
    </row>
    <row r="755" spans="1:13" x14ac:dyDescent="0.25">
      <c r="A755">
        <v>754</v>
      </c>
      <c r="B755" t="s">
        <v>815</v>
      </c>
      <c r="C755" t="s">
        <v>830</v>
      </c>
      <c r="D755">
        <v>11</v>
      </c>
      <c r="E755" s="203">
        <v>-0.36289790269364358</v>
      </c>
      <c r="F755" s="203">
        <v>35.834057675787875</v>
      </c>
      <c r="G755" s="203" t="s">
        <v>819</v>
      </c>
      <c r="H755" s="204">
        <v>-0.45189989336140496</v>
      </c>
      <c r="I755" s="204">
        <v>32.567055063886812</v>
      </c>
      <c r="J755" s="204" t="s">
        <v>819</v>
      </c>
      <c r="K755" s="205">
        <v>-1.6948608625032178</v>
      </c>
      <c r="L755" s="205">
        <v>4.5050909238523964</v>
      </c>
      <c r="M755" s="205" t="s">
        <v>818</v>
      </c>
    </row>
    <row r="756" spans="1:13" x14ac:dyDescent="0.25">
      <c r="A756">
        <v>755</v>
      </c>
      <c r="B756" t="s">
        <v>815</v>
      </c>
      <c r="C756" t="s">
        <v>830</v>
      </c>
      <c r="D756">
        <v>11</v>
      </c>
      <c r="E756" s="203">
        <v>0.86219442815752789</v>
      </c>
      <c r="F756" s="203">
        <v>80.570973234975867</v>
      </c>
      <c r="G756" s="203" t="s">
        <v>819</v>
      </c>
      <c r="H756" s="204">
        <v>-1.4391075478969216E-2</v>
      </c>
      <c r="I756" s="204">
        <v>49.425898969513547</v>
      </c>
      <c r="J756" s="204" t="s">
        <v>819</v>
      </c>
      <c r="K756" s="205">
        <v>1.0006275261178253E-2</v>
      </c>
      <c r="L756" s="205">
        <v>50.399185965638736</v>
      </c>
      <c r="M756" s="205" t="s">
        <v>819</v>
      </c>
    </row>
    <row r="757" spans="1:13" x14ac:dyDescent="0.25">
      <c r="A757">
        <v>756</v>
      </c>
      <c r="B757" t="s">
        <v>815</v>
      </c>
      <c r="C757" t="s">
        <v>831</v>
      </c>
      <c r="D757">
        <v>11</v>
      </c>
      <c r="E757" s="203">
        <v>-0.16760790331086481</v>
      </c>
      <c r="F757" s="203">
        <v>43.344587661072566</v>
      </c>
      <c r="G757" s="203" t="s">
        <v>819</v>
      </c>
      <c r="H757" s="204">
        <v>0.61138751472891317</v>
      </c>
      <c r="I757" s="204">
        <v>72.952846688735178</v>
      </c>
      <c r="J757" s="204" t="s">
        <v>819</v>
      </c>
      <c r="K757" s="205">
        <v>0.1084248105878373</v>
      </c>
      <c r="L757" s="205">
        <v>54.317063942812084</v>
      </c>
      <c r="M757" s="205" t="s">
        <v>819</v>
      </c>
    </row>
    <row r="758" spans="1:13" x14ac:dyDescent="0.25">
      <c r="A758">
        <v>757</v>
      </c>
      <c r="B758" t="s">
        <v>815</v>
      </c>
      <c r="C758" t="s">
        <v>831</v>
      </c>
      <c r="D758">
        <v>11</v>
      </c>
      <c r="E758" s="203">
        <v>0.19970273283255241</v>
      </c>
      <c r="F758" s="203">
        <v>57.914346183120045</v>
      </c>
      <c r="G758" s="203" t="s">
        <v>819</v>
      </c>
      <c r="H758" s="204">
        <v>-0.95041491636876496</v>
      </c>
      <c r="I758" s="204">
        <v>17.09507338230156</v>
      </c>
      <c r="J758" s="204" t="s">
        <v>819</v>
      </c>
      <c r="K758" s="205">
        <v>1.8882335965525427</v>
      </c>
      <c r="L758" s="205">
        <v>97.050270130235489</v>
      </c>
      <c r="M758" s="205" t="s">
        <v>820</v>
      </c>
    </row>
    <row r="759" spans="1:13" x14ac:dyDescent="0.25">
      <c r="A759">
        <v>758</v>
      </c>
      <c r="B759" t="s">
        <v>815</v>
      </c>
      <c r="C759" t="s">
        <v>830</v>
      </c>
      <c r="D759">
        <v>10</v>
      </c>
      <c r="E759" s="203">
        <v>0.64907395106800247</v>
      </c>
      <c r="F759" s="203">
        <v>74.18547109947508</v>
      </c>
      <c r="G759" s="203" t="s">
        <v>819</v>
      </c>
      <c r="H759" s="204">
        <v>-0.21353558739151099</v>
      </c>
      <c r="I759" s="204">
        <v>41.545461720972696</v>
      </c>
      <c r="J759" s="204" t="s">
        <v>819</v>
      </c>
      <c r="K759" s="205">
        <v>2.3872959188182818</v>
      </c>
      <c r="L759" s="205">
        <v>99.15135883533253</v>
      </c>
      <c r="M759" s="205" t="s">
        <v>820</v>
      </c>
    </row>
    <row r="760" spans="1:13" x14ac:dyDescent="0.25">
      <c r="A760">
        <v>759</v>
      </c>
      <c r="B760" t="s">
        <v>815</v>
      </c>
      <c r="C760" t="s">
        <v>831</v>
      </c>
      <c r="D760">
        <v>11</v>
      </c>
      <c r="E760" s="203">
        <v>0.11502864739152639</v>
      </c>
      <c r="F760" s="203">
        <v>54.578879229213449</v>
      </c>
      <c r="G760" s="203" t="s">
        <v>819</v>
      </c>
      <c r="H760" s="204">
        <v>-1.2129339351592592</v>
      </c>
      <c r="I760" s="204">
        <v>11.257753998865153</v>
      </c>
      <c r="J760" s="204" t="s">
        <v>819</v>
      </c>
      <c r="K760" s="205">
        <v>2.5094177982983661</v>
      </c>
      <c r="L760" s="205">
        <v>99.395348209841885</v>
      </c>
      <c r="M760" s="205" t="s">
        <v>820</v>
      </c>
    </row>
    <row r="761" spans="1:13" x14ac:dyDescent="0.25">
      <c r="A761">
        <v>760</v>
      </c>
      <c r="B761" t="s">
        <v>815</v>
      </c>
      <c r="C761" t="s">
        <v>830</v>
      </c>
      <c r="D761">
        <v>11</v>
      </c>
      <c r="E761" s="203">
        <v>6.2193482131798643E-2</v>
      </c>
      <c r="F761" s="203">
        <v>52.479562352558027</v>
      </c>
      <c r="G761" s="203" t="s">
        <v>819</v>
      </c>
      <c r="H761" s="204">
        <v>-2.9421010337210198</v>
      </c>
      <c r="I761" s="204">
        <v>0.16299677430101142</v>
      </c>
      <c r="J761" s="204" t="s">
        <v>824</v>
      </c>
      <c r="K761" s="205">
        <v>2.6820745969271389</v>
      </c>
      <c r="L761" s="205">
        <v>99.634164288025445</v>
      </c>
      <c r="M761" s="205" t="s">
        <v>820</v>
      </c>
    </row>
    <row r="762" spans="1:13" x14ac:dyDescent="0.25">
      <c r="A762">
        <v>761</v>
      </c>
      <c r="B762" t="s">
        <v>815</v>
      </c>
      <c r="C762" t="s">
        <v>830</v>
      </c>
      <c r="D762">
        <v>10</v>
      </c>
      <c r="E762" s="203">
        <v>-0.32849544145095178</v>
      </c>
      <c r="F762" s="203">
        <v>37.126854521817521</v>
      </c>
      <c r="G762" s="203" t="s">
        <v>819</v>
      </c>
      <c r="H762" s="204">
        <v>-0.99672180646427799</v>
      </c>
      <c r="I762" s="204">
        <v>15.944978096966988</v>
      </c>
      <c r="J762" s="204" t="s">
        <v>819</v>
      </c>
      <c r="K762" s="205">
        <v>2.632399964415614</v>
      </c>
      <c r="L762" s="205">
        <v>99.576080066393914</v>
      </c>
      <c r="M762" s="205" t="s">
        <v>820</v>
      </c>
    </row>
    <row r="763" spans="1:13" x14ac:dyDescent="0.25">
      <c r="A763">
        <v>762</v>
      </c>
      <c r="B763" t="s">
        <v>815</v>
      </c>
      <c r="C763" t="s">
        <v>831</v>
      </c>
      <c r="D763">
        <v>11</v>
      </c>
      <c r="E763" s="203">
        <v>0.56565039312995813</v>
      </c>
      <c r="F763" s="203">
        <v>71.418426812164782</v>
      </c>
      <c r="G763" s="203" t="s">
        <v>819</v>
      </c>
      <c r="H763" s="204">
        <v>-2.3900906410035914</v>
      </c>
      <c r="I763" s="204">
        <v>0.84221075597729289</v>
      </c>
      <c r="J763" s="204" t="s">
        <v>824</v>
      </c>
      <c r="K763" s="205">
        <v>2.4697344764663622</v>
      </c>
      <c r="L763" s="205">
        <v>99.323933134236356</v>
      </c>
      <c r="M763" s="205" t="s">
        <v>820</v>
      </c>
    </row>
    <row r="764" spans="1:13" x14ac:dyDescent="0.25">
      <c r="A764">
        <v>763</v>
      </c>
      <c r="B764" t="s">
        <v>815</v>
      </c>
      <c r="C764" t="s">
        <v>830</v>
      </c>
      <c r="D764">
        <v>11</v>
      </c>
      <c r="E764" s="203">
        <v>-0.64687496529090016</v>
      </c>
      <c r="F764" s="203">
        <v>25.885643477058263</v>
      </c>
      <c r="G764" s="203" t="s">
        <v>819</v>
      </c>
      <c r="H764" s="204">
        <v>-7.3134273371804268E-2</v>
      </c>
      <c r="I764" s="204">
        <v>47.084963423309325</v>
      </c>
      <c r="J764" s="204" t="s">
        <v>819</v>
      </c>
      <c r="K764" s="205">
        <v>-0.5291158626822644</v>
      </c>
      <c r="L764" s="205">
        <v>29.836253904771716</v>
      </c>
      <c r="M764" s="205" t="s">
        <v>819</v>
      </c>
    </row>
    <row r="765" spans="1:13" x14ac:dyDescent="0.25">
      <c r="A765">
        <v>764</v>
      </c>
      <c r="B765" t="s">
        <v>815</v>
      </c>
      <c r="C765" t="s">
        <v>831</v>
      </c>
      <c r="D765">
        <v>11</v>
      </c>
      <c r="E765" s="203">
        <v>0.2694673409098543</v>
      </c>
      <c r="F765" s="203">
        <v>60.621496441012027</v>
      </c>
      <c r="G765" s="203" t="s">
        <v>819</v>
      </c>
      <c r="H765" s="204">
        <v>-1.2129339351592592</v>
      </c>
      <c r="I765" s="204">
        <v>11.257753998865153</v>
      </c>
      <c r="J765" s="204" t="s">
        <v>819</v>
      </c>
      <c r="K765" s="205">
        <v>1.3320820062740661</v>
      </c>
      <c r="L765" s="205">
        <v>90.858337878129575</v>
      </c>
      <c r="M765" s="205" t="s">
        <v>820</v>
      </c>
    </row>
    <row r="766" spans="1:13" x14ac:dyDescent="0.25">
      <c r="A766">
        <v>765</v>
      </c>
      <c r="B766" t="s">
        <v>815</v>
      </c>
      <c r="C766" t="s">
        <v>830</v>
      </c>
      <c r="D766">
        <v>11</v>
      </c>
      <c r="E766" s="203">
        <v>-0.37060184615518021</v>
      </c>
      <c r="F766" s="203">
        <v>35.54670534021561</v>
      </c>
      <c r="G766" s="203" t="s">
        <v>819</v>
      </c>
      <c r="H766" s="204">
        <v>-0.85260392894014037</v>
      </c>
      <c r="I766" s="204">
        <v>19.693949152487335</v>
      </c>
      <c r="J766" s="204" t="s">
        <v>819</v>
      </c>
      <c r="K766" s="205">
        <v>-0.14242650709229232</v>
      </c>
      <c r="L766" s="205">
        <v>44.337156308792558</v>
      </c>
      <c r="M766" s="205" t="s">
        <v>819</v>
      </c>
    </row>
    <row r="767" spans="1:13" x14ac:dyDescent="0.25">
      <c r="A767">
        <v>766</v>
      </c>
      <c r="B767" t="s">
        <v>815</v>
      </c>
      <c r="C767" t="s">
        <v>830</v>
      </c>
      <c r="D767">
        <v>10</v>
      </c>
      <c r="E767" s="203">
        <v>2.1474945199864135</v>
      </c>
      <c r="F767" s="203">
        <v>98.412303350131836</v>
      </c>
      <c r="G767" s="203" t="s">
        <v>816</v>
      </c>
      <c r="H767" s="204">
        <v>6.4914676741073707E-2</v>
      </c>
      <c r="I767" s="204">
        <v>52.587903255384205</v>
      </c>
      <c r="J767" s="204" t="s">
        <v>819</v>
      </c>
      <c r="K767" s="205">
        <v>1.7733378660233308</v>
      </c>
      <c r="L767" s="205">
        <v>96.191363095518227</v>
      </c>
      <c r="M767" s="205" t="s">
        <v>820</v>
      </c>
    </row>
    <row r="768" spans="1:13" x14ac:dyDescent="0.25">
      <c r="A768">
        <v>767</v>
      </c>
      <c r="B768" t="s">
        <v>815</v>
      </c>
      <c r="C768" t="s">
        <v>830</v>
      </c>
      <c r="D768">
        <v>11</v>
      </c>
      <c r="E768" s="203">
        <v>1.9753506536402201</v>
      </c>
      <c r="F768" s="203">
        <v>97.588581568816082</v>
      </c>
      <c r="G768" s="203" t="s">
        <v>816</v>
      </c>
      <c r="H768" s="204">
        <v>-0.12006023277735618</v>
      </c>
      <c r="I768" s="204">
        <v>45.221771705443665</v>
      </c>
      <c r="J768" s="204" t="s">
        <v>819</v>
      </c>
      <c r="K768" s="205">
        <v>2.8346362232829625</v>
      </c>
      <c r="L768" s="205">
        <v>99.770610531252331</v>
      </c>
      <c r="M768" s="205" t="s">
        <v>820</v>
      </c>
    </row>
    <row r="769" spans="1:13" x14ac:dyDescent="0.25">
      <c r="A769">
        <v>768</v>
      </c>
      <c r="B769" t="s">
        <v>815</v>
      </c>
      <c r="C769" t="s">
        <v>830</v>
      </c>
      <c r="D769">
        <v>10</v>
      </c>
      <c r="E769" s="203">
        <v>-0.8430843768659787</v>
      </c>
      <c r="F769" s="203">
        <v>19.959062784466731</v>
      </c>
      <c r="G769" s="203" t="s">
        <v>819</v>
      </c>
      <c r="H769" s="204">
        <v>-0.54223116975885355</v>
      </c>
      <c r="I769" s="204">
        <v>29.382963263735597</v>
      </c>
      <c r="J769" s="204" t="s">
        <v>819</v>
      </c>
      <c r="K769" s="205">
        <v>1.8120235240919851</v>
      </c>
      <c r="L769" s="205">
        <v>96.500871912321941</v>
      </c>
      <c r="M769" s="205" t="s">
        <v>820</v>
      </c>
    </row>
    <row r="770" spans="1:13" x14ac:dyDescent="0.25">
      <c r="A770">
        <v>769</v>
      </c>
      <c r="B770" t="s">
        <v>815</v>
      </c>
      <c r="C770" t="s">
        <v>831</v>
      </c>
      <c r="D770">
        <v>11</v>
      </c>
      <c r="E770" s="203">
        <v>-0.61908181575046206</v>
      </c>
      <c r="F770" s="203">
        <v>26.793123100280681</v>
      </c>
      <c r="G770" s="203" t="s">
        <v>819</v>
      </c>
      <c r="H770" s="204">
        <v>-1.8892586328170944</v>
      </c>
      <c r="I770" s="204">
        <v>2.9428590816747153</v>
      </c>
      <c r="J770" s="204" t="s">
        <v>824</v>
      </c>
      <c r="K770" s="205">
        <v>1.1400782019981619</v>
      </c>
      <c r="L770" s="205">
        <v>87.287313879648835</v>
      </c>
      <c r="M770" s="205" t="s">
        <v>820</v>
      </c>
    </row>
    <row r="771" spans="1:13" x14ac:dyDescent="0.25">
      <c r="A771">
        <v>770</v>
      </c>
      <c r="B771" t="s">
        <v>815</v>
      </c>
      <c r="C771" t="s">
        <v>831</v>
      </c>
      <c r="D771">
        <v>11</v>
      </c>
      <c r="E771" s="203">
        <v>0.49661431896480274</v>
      </c>
      <c r="F771" s="203">
        <v>69.026947316783833</v>
      </c>
      <c r="G771" s="203" t="s">
        <v>819</v>
      </c>
      <c r="H771" s="204">
        <v>-0.83423826310896021</v>
      </c>
      <c r="I771" s="204">
        <v>20.207336671453952</v>
      </c>
      <c r="J771" s="204" t="s">
        <v>819</v>
      </c>
      <c r="K771" s="205">
        <v>1.5433578125177376</v>
      </c>
      <c r="L771" s="205">
        <v>93.862800816170392</v>
      </c>
      <c r="M771" s="205" t="s">
        <v>820</v>
      </c>
    </row>
    <row r="772" spans="1:13" x14ac:dyDescent="0.25">
      <c r="A772">
        <v>771</v>
      </c>
      <c r="B772" t="s">
        <v>815</v>
      </c>
      <c r="C772" t="s">
        <v>830</v>
      </c>
      <c r="D772">
        <v>11</v>
      </c>
      <c r="E772" s="203">
        <v>0.28809662837557709</v>
      </c>
      <c r="F772" s="203">
        <v>61.336361328345987</v>
      </c>
      <c r="G772" s="203" t="s">
        <v>819</v>
      </c>
      <c r="H772" s="204">
        <v>-1.6804071764384481</v>
      </c>
      <c r="I772" s="204">
        <v>4.6439060361870528</v>
      </c>
      <c r="J772" s="204" t="s">
        <v>824</v>
      </c>
      <c r="K772" s="205">
        <v>3.4876825291617353</v>
      </c>
      <c r="L772" s="205">
        <v>99.975638688604491</v>
      </c>
      <c r="M772" s="205" t="s">
        <v>820</v>
      </c>
    </row>
    <row r="773" spans="1:13" x14ac:dyDescent="0.25">
      <c r="A773">
        <v>772</v>
      </c>
      <c r="B773" t="s">
        <v>815</v>
      </c>
      <c r="C773" t="s">
        <v>830</v>
      </c>
      <c r="D773">
        <v>11</v>
      </c>
      <c r="E773" s="203">
        <v>3.1861970672154736</v>
      </c>
      <c r="F773" s="203">
        <v>99.927921816376525</v>
      </c>
      <c r="G773" s="203" t="s">
        <v>816</v>
      </c>
      <c r="H773" s="204">
        <v>-0.27250867836960674</v>
      </c>
      <c r="I773" s="204">
        <v>39.261545965821412</v>
      </c>
      <c r="J773" s="204" t="s">
        <v>819</v>
      </c>
      <c r="K773" s="205">
        <v>3.2359957510566577</v>
      </c>
      <c r="L773" s="205">
        <v>99.939390405735509</v>
      </c>
      <c r="M773" s="205" t="s">
        <v>820</v>
      </c>
    </row>
    <row r="774" spans="1:13" x14ac:dyDescent="0.25">
      <c r="A774">
        <v>773</v>
      </c>
      <c r="B774" t="s">
        <v>815</v>
      </c>
      <c r="C774" t="s">
        <v>830</v>
      </c>
      <c r="D774">
        <v>11</v>
      </c>
      <c r="E774" s="203">
        <v>2.0633271561679885</v>
      </c>
      <c r="F774" s="203">
        <v>98.045922217817065</v>
      </c>
      <c r="G774" s="203" t="s">
        <v>816</v>
      </c>
      <c r="H774" s="204">
        <v>-1.6899435514704508</v>
      </c>
      <c r="I774" s="204">
        <v>4.5519377264599568</v>
      </c>
      <c r="J774" s="204" t="s">
        <v>824</v>
      </c>
      <c r="K774" s="205">
        <v>3.4777882940158369</v>
      </c>
      <c r="L774" s="205">
        <v>99.974721547227688</v>
      </c>
      <c r="M774" s="205" t="s">
        <v>820</v>
      </c>
    </row>
  </sheetData>
  <autoFilter ref="A1:M1">
    <sortState ref="A2:M774">
      <sortCondition ref="A1"/>
    </sortState>
  </autoFilter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344"/>
  <sheetViews>
    <sheetView topLeftCell="Q1" zoomScale="145" zoomScaleNormal="145" workbookViewId="0">
      <pane ySplit="3" topLeftCell="A94" activePane="bottomLeft" state="frozen"/>
      <selection activeCell="Y1" sqref="Y1"/>
      <selection pane="bottomLeft" activeCell="U94" sqref="U94"/>
    </sheetView>
  </sheetViews>
  <sheetFormatPr baseColWidth="10" defaultRowHeight="15" x14ac:dyDescent="0.25"/>
  <cols>
    <col min="2" max="2" width="33.85546875" style="4" bestFit="1" customWidth="1"/>
    <col min="3" max="3" width="24.140625" customWidth="1"/>
    <col min="4" max="4" width="14.7109375" customWidth="1"/>
    <col min="5" max="5" width="15.85546875" customWidth="1"/>
    <col min="6" max="6" width="15.42578125" customWidth="1"/>
    <col min="7" max="7" width="9.140625" customWidth="1"/>
    <col min="8" max="8" width="13.28515625" customWidth="1"/>
    <col min="9" max="9" width="15" customWidth="1"/>
    <col min="12" max="12" width="13.5703125" customWidth="1"/>
    <col min="13" max="13" width="14.28515625" customWidth="1"/>
    <col min="14" max="14" width="20.140625" customWidth="1"/>
    <col min="15" max="15" width="25.28515625" customWidth="1"/>
    <col min="16" max="16" width="16.140625" customWidth="1"/>
    <col min="17" max="17" width="11.42578125" customWidth="1"/>
    <col min="19" max="19" width="11" bestFit="1" customWidth="1"/>
    <col min="20" max="20" width="19.42578125" bestFit="1" customWidth="1"/>
    <col min="21" max="21" width="20.28515625" bestFit="1" customWidth="1"/>
    <col min="22" max="22" width="11.42578125" style="34"/>
    <col min="23" max="23" width="19.42578125" style="34" bestFit="1" customWidth="1"/>
    <col min="24" max="24" width="20.28515625" style="34" bestFit="1" customWidth="1"/>
    <col min="25" max="25" width="15.28515625" bestFit="1" customWidth="1"/>
    <col min="27" max="27" width="20.28515625" bestFit="1" customWidth="1"/>
    <col min="30" max="31" width="19" bestFit="1" customWidth="1"/>
  </cols>
  <sheetData>
    <row r="2" spans="1:28" x14ac:dyDescent="0.25">
      <c r="S2" s="212" t="s">
        <v>165</v>
      </c>
      <c r="T2" s="212"/>
      <c r="U2" s="212"/>
      <c r="V2" s="213" t="s">
        <v>166</v>
      </c>
      <c r="W2" s="213"/>
      <c r="X2" s="213"/>
      <c r="Y2" s="214" t="s">
        <v>8</v>
      </c>
      <c r="Z2" s="214"/>
      <c r="AA2" s="214"/>
    </row>
    <row r="3" spans="1:28" s="76" customFormat="1" x14ac:dyDescent="0.25">
      <c r="A3" s="75"/>
      <c r="B3" s="23" t="s">
        <v>1</v>
      </c>
      <c r="C3" s="23" t="s">
        <v>5</v>
      </c>
      <c r="D3" s="23" t="s">
        <v>6</v>
      </c>
      <c r="E3" s="23" t="s">
        <v>4</v>
      </c>
      <c r="F3" s="23" t="s">
        <v>2</v>
      </c>
      <c r="G3" s="23"/>
      <c r="H3" s="23" t="s">
        <v>3</v>
      </c>
      <c r="I3" s="23" t="s">
        <v>161</v>
      </c>
      <c r="J3" s="23" t="s">
        <v>33</v>
      </c>
      <c r="K3" s="23" t="s">
        <v>34</v>
      </c>
      <c r="L3" s="23" t="s">
        <v>163</v>
      </c>
      <c r="M3" s="23" t="s">
        <v>35</v>
      </c>
      <c r="N3" s="23" t="s">
        <v>164</v>
      </c>
      <c r="O3" s="23" t="s">
        <v>36</v>
      </c>
      <c r="P3" s="23" t="s">
        <v>37</v>
      </c>
      <c r="Q3" s="23" t="s">
        <v>8</v>
      </c>
      <c r="S3" s="77" t="s">
        <v>160</v>
      </c>
      <c r="T3" s="77" t="s">
        <v>159</v>
      </c>
      <c r="U3" s="77" t="s">
        <v>157</v>
      </c>
      <c r="V3" s="78" t="s">
        <v>158</v>
      </c>
      <c r="W3" s="78" t="s">
        <v>159</v>
      </c>
      <c r="X3" s="79" t="s">
        <v>157</v>
      </c>
      <c r="Y3" s="80" t="s">
        <v>158</v>
      </c>
      <c r="Z3" s="80" t="s">
        <v>159</v>
      </c>
      <c r="AA3" s="81" t="s">
        <v>157</v>
      </c>
      <c r="AB3" s="24"/>
    </row>
    <row r="4" spans="1:28" s="11" customFormat="1" ht="15.75" x14ac:dyDescent="0.25">
      <c r="A4" s="65">
        <v>1</v>
      </c>
      <c r="B4" s="66" t="s">
        <v>278</v>
      </c>
      <c r="C4" s="65">
        <v>1</v>
      </c>
      <c r="D4" s="67" t="s">
        <v>7</v>
      </c>
      <c r="E4" s="65">
        <v>1</v>
      </c>
      <c r="F4" s="68">
        <v>42155</v>
      </c>
      <c r="G4" s="68">
        <v>44463</v>
      </c>
      <c r="H4" s="69">
        <f>DATEDIF(F4,G4,"y")</f>
        <v>6</v>
      </c>
      <c r="I4" s="69">
        <f>DATEDIF(F4,G4,"m")</f>
        <v>75</v>
      </c>
      <c r="J4" s="65">
        <v>20.6</v>
      </c>
      <c r="K4" s="65">
        <v>1.23</v>
      </c>
      <c r="L4" s="65">
        <f>K4*100</f>
        <v>123</v>
      </c>
      <c r="M4" s="65">
        <f>106.4-40</f>
        <v>66.400000000000006</v>
      </c>
      <c r="N4" s="70">
        <f>((L4-M4)/L4)*100</f>
        <v>46.016260162601618</v>
      </c>
      <c r="O4" s="65">
        <v>0</v>
      </c>
      <c r="P4" s="65">
        <v>0</v>
      </c>
      <c r="Q4" s="71">
        <f>J4/(K4*K4)</f>
        <v>13.616233723312845</v>
      </c>
      <c r="R4" s="37"/>
      <c r="S4" s="91">
        <v>0.31506138687639623</v>
      </c>
      <c r="T4" s="91">
        <v>62.364247730867064</v>
      </c>
      <c r="U4" s="39" t="str">
        <f>IF(S4&lt;-1.645,"Desnutricion",IF(AND(S4&gt;=-1.645,S4&lt;=1.645),"Normal",IF(S4&gt;1.645,"Alto")))</f>
        <v>Normal</v>
      </c>
      <c r="V4" s="91">
        <v>-0.46559625357521961</v>
      </c>
      <c r="W4" s="91">
        <v>32.075226256379388</v>
      </c>
      <c r="X4" s="39" t="str">
        <f t="shared" ref="X4:X67" si="0">IF(V4&lt;-1.645,"Piernas cortas",IF(AND(V4&gt;=-1.645,V4&lt;=1.645),"Normal",IF(V4&gt;1.645,"Piernas largas")))</f>
        <v>Normal</v>
      </c>
      <c r="Y4" s="116">
        <v>-1.4491622288761421</v>
      </c>
      <c r="Z4" s="91">
        <v>7.364614147614108</v>
      </c>
      <c r="AA4" s="39" t="str">
        <f t="shared" ref="AA4:AA67" si="1">IF(Z4&lt;5,"Desnutricion",IF(AND(Z4&gt;=5,Z4&lt;15),"Bajo Peso",IF(AND(Z4&gt;=15,Z4&lt;=85),"Normal",IF(Z4&gt;85,"Obesidad"))))</f>
        <v>Bajo Peso</v>
      </c>
    </row>
    <row r="5" spans="1:28" s="11" customFormat="1" ht="15.75" x14ac:dyDescent="0.25">
      <c r="A5" s="65">
        <v>2</v>
      </c>
      <c r="B5" s="66" t="s">
        <v>279</v>
      </c>
      <c r="C5" s="65">
        <v>1</v>
      </c>
      <c r="D5" s="65" t="s">
        <v>7</v>
      </c>
      <c r="E5" s="65">
        <v>1</v>
      </c>
      <c r="F5" s="68">
        <v>42155</v>
      </c>
      <c r="G5" s="68">
        <v>44463</v>
      </c>
      <c r="H5" s="69">
        <f t="shared" ref="H5:H68" si="2">DATEDIF(F5,G5,"y")</f>
        <v>6</v>
      </c>
      <c r="I5" s="69">
        <f t="shared" ref="I5:I68" si="3">DATEDIF(F5,G5,"m")</f>
        <v>75</v>
      </c>
      <c r="J5" s="65">
        <v>20</v>
      </c>
      <c r="K5" s="65">
        <v>1.19</v>
      </c>
      <c r="L5" s="65">
        <f t="shared" ref="L5:L68" si="4">K5*100</f>
        <v>119</v>
      </c>
      <c r="M5" s="65">
        <f>105.6-40</f>
        <v>65.599999999999994</v>
      </c>
      <c r="N5" s="70">
        <f t="shared" ref="N5:N68" si="5">((L5-M5)/L5)*100</f>
        <v>44.873949579831937</v>
      </c>
      <c r="O5" s="65">
        <v>0</v>
      </c>
      <c r="P5" s="65">
        <v>0</v>
      </c>
      <c r="Q5" s="71">
        <f t="shared" ref="Q5:Q68" si="6">J5/(K5*K5)</f>
        <v>14.12329637737448</v>
      </c>
      <c r="R5" s="37"/>
      <c r="S5" s="91">
        <v>0.31506138687639623</v>
      </c>
      <c r="T5" s="91">
        <v>62.364247730867064</v>
      </c>
      <c r="U5" s="39" t="str">
        <f t="shared" ref="U5:U68" si="7">IF(S5&lt;-1.645,"Desnutricion",IF(AND(S5&gt;=-1.645,S5&lt;=1.645),"Normal",IF(S5&gt;1.645,"Alto")))</f>
        <v>Normal</v>
      </c>
      <c r="V5" s="91">
        <v>-1.2067494532365608</v>
      </c>
      <c r="W5" s="91">
        <v>11.376432381586062</v>
      </c>
      <c r="X5" s="39" t="str">
        <f t="shared" si="0"/>
        <v>Normal</v>
      </c>
      <c r="Y5" s="116">
        <v>-0.98525484417808118</v>
      </c>
      <c r="Z5" s="91">
        <v>16.224945360436895</v>
      </c>
      <c r="AA5" s="39" t="str">
        <f t="shared" si="1"/>
        <v>Normal</v>
      </c>
    </row>
    <row r="6" spans="1:28" s="11" customFormat="1" ht="15.75" x14ac:dyDescent="0.25">
      <c r="A6" s="65">
        <v>3</v>
      </c>
      <c r="B6" s="66" t="s">
        <v>280</v>
      </c>
      <c r="C6" s="65">
        <v>1</v>
      </c>
      <c r="D6" s="65" t="s">
        <v>7</v>
      </c>
      <c r="E6" s="65">
        <v>1</v>
      </c>
      <c r="F6" s="68">
        <v>42099</v>
      </c>
      <c r="G6" s="68">
        <v>44463</v>
      </c>
      <c r="H6" s="69">
        <f t="shared" si="2"/>
        <v>6</v>
      </c>
      <c r="I6" s="69">
        <f t="shared" si="3"/>
        <v>77</v>
      </c>
      <c r="J6" s="65">
        <v>23.9</v>
      </c>
      <c r="K6" s="65">
        <v>1.19</v>
      </c>
      <c r="L6" s="65">
        <f t="shared" si="4"/>
        <v>119</v>
      </c>
      <c r="M6" s="65">
        <f>105.5-40</f>
        <v>65.5</v>
      </c>
      <c r="N6" s="70">
        <f t="shared" si="5"/>
        <v>44.957983193277315</v>
      </c>
      <c r="O6" s="65">
        <v>0</v>
      </c>
      <c r="P6" s="65">
        <v>0</v>
      </c>
      <c r="Q6" s="71">
        <f t="shared" si="6"/>
        <v>16.877339170962504</v>
      </c>
      <c r="R6" s="37"/>
      <c r="S6" s="91">
        <v>0.12058415789450147</v>
      </c>
      <c r="T6" s="91">
        <v>54.798979128067479</v>
      </c>
      <c r="U6" s="39" t="str">
        <f t="shared" si="7"/>
        <v>Normal</v>
      </c>
      <c r="V6" s="91">
        <v>-1.1515318498549438</v>
      </c>
      <c r="W6" s="91">
        <v>12.475675001841632</v>
      </c>
      <c r="X6" s="39" t="str">
        <f t="shared" si="0"/>
        <v>Normal</v>
      </c>
      <c r="Y6" s="116">
        <v>1.0077859395355671</v>
      </c>
      <c r="Z6" s="91">
        <v>84.32213813369755</v>
      </c>
      <c r="AA6" s="39" t="str">
        <f t="shared" si="1"/>
        <v>Normal</v>
      </c>
    </row>
    <row r="7" spans="1:28" s="11" customFormat="1" ht="15.75" x14ac:dyDescent="0.25">
      <c r="A7" s="65">
        <v>4</v>
      </c>
      <c r="B7" s="66" t="s">
        <v>281</v>
      </c>
      <c r="C7" s="65">
        <v>1</v>
      </c>
      <c r="D7" s="65" t="s">
        <v>7</v>
      </c>
      <c r="E7" s="65">
        <v>2</v>
      </c>
      <c r="F7" s="68">
        <v>42041</v>
      </c>
      <c r="G7" s="68">
        <v>44463</v>
      </c>
      <c r="H7" s="69">
        <f t="shared" si="2"/>
        <v>6</v>
      </c>
      <c r="I7" s="69">
        <f t="shared" si="3"/>
        <v>79</v>
      </c>
      <c r="J7" s="65">
        <v>21.8</v>
      </c>
      <c r="K7" s="65">
        <v>1.19</v>
      </c>
      <c r="L7" s="65">
        <f t="shared" si="4"/>
        <v>119</v>
      </c>
      <c r="M7" s="65">
        <f>103.6-40</f>
        <v>63.599999999999994</v>
      </c>
      <c r="N7" s="70">
        <f t="shared" si="5"/>
        <v>46.554621848739501</v>
      </c>
      <c r="O7" s="65">
        <v>0</v>
      </c>
      <c r="P7" s="65">
        <v>0</v>
      </c>
      <c r="Q7" s="71">
        <f t="shared" si="6"/>
        <v>15.394393051338184</v>
      </c>
      <c r="R7" s="37"/>
      <c r="S7" s="91">
        <v>0.10350699086469869</v>
      </c>
      <c r="T7" s="91">
        <v>54.121969930478109</v>
      </c>
      <c r="U7" s="39" t="str">
        <f t="shared" si="7"/>
        <v>Normal</v>
      </c>
      <c r="V7" s="91">
        <v>-0.23105440998320104</v>
      </c>
      <c r="W7" s="91">
        <v>40.863626618598325</v>
      </c>
      <c r="X7" s="39" t="str">
        <f t="shared" si="0"/>
        <v>Normal</v>
      </c>
      <c r="Y7" s="116">
        <v>3.8892994296416301E-2</v>
      </c>
      <c r="Z7" s="91">
        <v>51.551214895688211</v>
      </c>
      <c r="AA7" s="39" t="str">
        <f t="shared" si="1"/>
        <v>Normal</v>
      </c>
    </row>
    <row r="8" spans="1:28" s="11" customFormat="1" ht="15.75" x14ac:dyDescent="0.25">
      <c r="A8" s="65">
        <v>5</v>
      </c>
      <c r="B8" s="66" t="s">
        <v>282</v>
      </c>
      <c r="C8" s="65">
        <v>1</v>
      </c>
      <c r="D8" s="65" t="s">
        <v>7</v>
      </c>
      <c r="E8" s="65">
        <v>2</v>
      </c>
      <c r="F8" s="68">
        <v>42030</v>
      </c>
      <c r="G8" s="68">
        <v>44463</v>
      </c>
      <c r="H8" s="69">
        <f t="shared" si="2"/>
        <v>6</v>
      </c>
      <c r="I8" s="69">
        <f t="shared" si="3"/>
        <v>79</v>
      </c>
      <c r="J8" s="65">
        <v>20.8</v>
      </c>
      <c r="K8" s="65">
        <v>1.19</v>
      </c>
      <c r="L8" s="65">
        <f t="shared" si="4"/>
        <v>119</v>
      </c>
      <c r="M8" s="65">
        <f>106.3-40</f>
        <v>66.3</v>
      </c>
      <c r="N8" s="70">
        <f t="shared" si="5"/>
        <v>44.285714285714292</v>
      </c>
      <c r="O8" s="65">
        <v>0</v>
      </c>
      <c r="P8" s="65">
        <v>0</v>
      </c>
      <c r="Q8" s="71">
        <f t="shared" si="6"/>
        <v>14.688228232469459</v>
      </c>
      <c r="R8" s="37"/>
      <c r="S8" s="91">
        <v>1.0426014461786028</v>
      </c>
      <c r="T8" s="91">
        <v>85.143354040173904</v>
      </c>
      <c r="U8" s="39" t="str">
        <f t="shared" si="7"/>
        <v>Normal</v>
      </c>
      <c r="V8" s="91">
        <v>-1.7967928717935491</v>
      </c>
      <c r="W8" s="91">
        <v>3.6184254214803859</v>
      </c>
      <c r="X8" s="39" t="str">
        <f t="shared" si="0"/>
        <v>Piernas cortas</v>
      </c>
      <c r="Y8" s="116">
        <v>-0.41804615236417358</v>
      </c>
      <c r="Z8" s="91">
        <v>33.795668690690214</v>
      </c>
      <c r="AA8" s="39" t="str">
        <f t="shared" si="1"/>
        <v>Normal</v>
      </c>
    </row>
    <row r="9" spans="1:28" s="11" customFormat="1" ht="15.75" x14ac:dyDescent="0.25">
      <c r="A9" s="65">
        <v>6</v>
      </c>
      <c r="B9" s="66" t="s">
        <v>283</v>
      </c>
      <c r="C9" s="65">
        <v>1</v>
      </c>
      <c r="D9" s="65" t="s">
        <v>7</v>
      </c>
      <c r="E9" s="65">
        <v>1</v>
      </c>
      <c r="F9" s="68">
        <v>42102</v>
      </c>
      <c r="G9" s="68">
        <v>44463</v>
      </c>
      <c r="H9" s="69">
        <f t="shared" si="2"/>
        <v>6</v>
      </c>
      <c r="I9" s="69">
        <f t="shared" si="3"/>
        <v>77</v>
      </c>
      <c r="J9" s="65">
        <v>25.6</v>
      </c>
      <c r="K9" s="65">
        <v>1.24</v>
      </c>
      <c r="L9" s="65">
        <f t="shared" si="4"/>
        <v>124</v>
      </c>
      <c r="M9" s="65">
        <f>106.2-40</f>
        <v>66.2</v>
      </c>
      <c r="N9" s="70">
        <f t="shared" si="5"/>
        <v>46.612903225806448</v>
      </c>
      <c r="O9" s="65">
        <v>0</v>
      </c>
      <c r="P9" s="65">
        <v>0</v>
      </c>
      <c r="Q9" s="71">
        <f t="shared" si="6"/>
        <v>16.649323621227889</v>
      </c>
      <c r="R9" s="37"/>
      <c r="S9" s="91">
        <v>-0.470514655313854</v>
      </c>
      <c r="T9" s="91">
        <v>31.899368311230848</v>
      </c>
      <c r="U9" s="39" t="str">
        <f t="shared" si="7"/>
        <v>Normal</v>
      </c>
      <c r="V9" s="91">
        <v>-8.6389202619475261E-2</v>
      </c>
      <c r="W9" s="91">
        <v>46.557851495171811</v>
      </c>
      <c r="X9" s="39" t="str">
        <f t="shared" si="0"/>
        <v>Normal</v>
      </c>
      <c r="Y9" s="116">
        <v>0.86784874072544882</v>
      </c>
      <c r="Z9" s="91">
        <v>80.726142831057274</v>
      </c>
      <c r="AA9" s="39" t="str">
        <f t="shared" si="1"/>
        <v>Normal</v>
      </c>
    </row>
    <row r="10" spans="1:28" s="11" customFormat="1" ht="15.75" x14ac:dyDescent="0.25">
      <c r="A10" s="65">
        <v>7</v>
      </c>
      <c r="B10" s="66" t="s">
        <v>284</v>
      </c>
      <c r="C10" s="65">
        <v>1</v>
      </c>
      <c r="D10" s="65" t="s">
        <v>7</v>
      </c>
      <c r="E10" s="65">
        <v>1</v>
      </c>
      <c r="F10" s="68">
        <v>42203</v>
      </c>
      <c r="G10" s="68">
        <v>44463</v>
      </c>
      <c r="H10" s="69">
        <f t="shared" si="2"/>
        <v>6</v>
      </c>
      <c r="I10" s="69">
        <f t="shared" si="3"/>
        <v>74</v>
      </c>
      <c r="J10" s="65">
        <v>19.3</v>
      </c>
      <c r="K10" s="65">
        <v>1.1599999999999999</v>
      </c>
      <c r="L10" s="65">
        <f t="shared" si="4"/>
        <v>115.99999999999999</v>
      </c>
      <c r="M10" s="65">
        <f>104-40</f>
        <v>64</v>
      </c>
      <c r="N10" s="70">
        <f t="shared" si="5"/>
        <v>44.827586206896548</v>
      </c>
      <c r="O10" s="65">
        <v>0</v>
      </c>
      <c r="P10" s="65">
        <v>0</v>
      </c>
      <c r="Q10" s="71">
        <f t="shared" si="6"/>
        <v>14.343043995243759</v>
      </c>
      <c r="R10" s="37"/>
      <c r="S10" s="91">
        <v>1.3537901249855119E-2</v>
      </c>
      <c r="T10" s="91">
        <v>50.540067622801367</v>
      </c>
      <c r="U10" s="39" t="str">
        <f t="shared" si="7"/>
        <v>Normal</v>
      </c>
      <c r="V10" s="91">
        <v>-1.2372624522057718</v>
      </c>
      <c r="W10" s="91">
        <v>10.799483134896921</v>
      </c>
      <c r="X10" s="39" t="str">
        <f t="shared" si="0"/>
        <v>Normal</v>
      </c>
      <c r="Y10" s="116">
        <v>-0.78698669938749888</v>
      </c>
      <c r="Z10" s="91">
        <v>21.564482612743994</v>
      </c>
      <c r="AA10" s="39" t="str">
        <f t="shared" si="1"/>
        <v>Normal</v>
      </c>
    </row>
    <row r="11" spans="1:28" s="11" customFormat="1" ht="15.75" x14ac:dyDescent="0.25">
      <c r="A11" s="65">
        <v>8</v>
      </c>
      <c r="B11" s="66" t="s">
        <v>285</v>
      </c>
      <c r="C11" s="65">
        <v>1</v>
      </c>
      <c r="D11" s="65" t="s">
        <v>7</v>
      </c>
      <c r="E11" s="65">
        <v>1</v>
      </c>
      <c r="F11" s="68">
        <v>42027</v>
      </c>
      <c r="G11" s="68">
        <v>44463</v>
      </c>
      <c r="H11" s="69">
        <f t="shared" si="2"/>
        <v>6</v>
      </c>
      <c r="I11" s="69">
        <f t="shared" si="3"/>
        <v>80</v>
      </c>
      <c r="J11" s="65">
        <v>31.2</v>
      </c>
      <c r="K11" s="65">
        <v>1.17</v>
      </c>
      <c r="L11" s="65">
        <f t="shared" si="4"/>
        <v>117</v>
      </c>
      <c r="M11" s="65">
        <f>106.5-40</f>
        <v>66.5</v>
      </c>
      <c r="N11" s="70">
        <f t="shared" si="5"/>
        <v>43.162393162393165</v>
      </c>
      <c r="O11" s="65">
        <v>0</v>
      </c>
      <c r="P11" s="65">
        <v>0</v>
      </c>
      <c r="Q11" s="71">
        <f t="shared" si="6"/>
        <v>22.792022792022795</v>
      </c>
      <c r="R11" s="37"/>
      <c r="S11" s="91">
        <v>-0.16072756619205489</v>
      </c>
      <c r="T11" s="91">
        <v>43.615398850882094</v>
      </c>
      <c r="U11" s="39" t="str">
        <f t="shared" si="7"/>
        <v>Normal</v>
      </c>
      <c r="V11" s="91">
        <v>-2.356504092947858</v>
      </c>
      <c r="W11" s="91">
        <v>0.92239321738119029</v>
      </c>
      <c r="X11" s="39" t="str">
        <f t="shared" si="0"/>
        <v>Piernas cortas</v>
      </c>
      <c r="Y11" s="116">
        <v>3.5176598894155933</v>
      </c>
      <c r="Z11" s="91">
        <v>99.978231501054665</v>
      </c>
      <c r="AA11" s="39" t="str">
        <f t="shared" si="1"/>
        <v>Obesidad</v>
      </c>
    </row>
    <row r="12" spans="1:28" s="11" customFormat="1" ht="15.75" x14ac:dyDescent="0.25">
      <c r="A12" s="65">
        <v>9</v>
      </c>
      <c r="B12" s="66" t="s">
        <v>286</v>
      </c>
      <c r="C12" s="65">
        <v>1</v>
      </c>
      <c r="D12" s="65" t="s">
        <v>7</v>
      </c>
      <c r="E12" s="65">
        <v>1</v>
      </c>
      <c r="F12" s="68">
        <v>42052</v>
      </c>
      <c r="G12" s="68">
        <v>44463</v>
      </c>
      <c r="H12" s="69">
        <f t="shared" si="2"/>
        <v>6</v>
      </c>
      <c r="I12" s="69">
        <f t="shared" si="3"/>
        <v>79</v>
      </c>
      <c r="J12" s="65">
        <v>22.2</v>
      </c>
      <c r="K12" s="65">
        <v>1.19</v>
      </c>
      <c r="L12" s="65">
        <f t="shared" si="4"/>
        <v>119</v>
      </c>
      <c r="M12" s="65">
        <f>105.4-40</f>
        <v>65.400000000000006</v>
      </c>
      <c r="N12" s="70">
        <f t="shared" si="5"/>
        <v>45.042016806722685</v>
      </c>
      <c r="O12" s="65">
        <v>0</v>
      </c>
      <c r="P12" s="65">
        <v>0</v>
      </c>
      <c r="Q12" s="71">
        <f t="shared" si="6"/>
        <v>15.676858978885672</v>
      </c>
      <c r="R12" s="37"/>
      <c r="S12" s="91">
        <v>-1.0418904035180829</v>
      </c>
      <c r="T12" s="91">
        <v>14.87312469084805</v>
      </c>
      <c r="U12" s="39" t="str">
        <f t="shared" si="7"/>
        <v>Normal</v>
      </c>
      <c r="V12" s="91">
        <v>-1.0964262744651228</v>
      </c>
      <c r="W12" s="91">
        <v>13.644613544556039</v>
      </c>
      <c r="X12" s="39" t="str">
        <f t="shared" si="0"/>
        <v>Normal</v>
      </c>
      <c r="Y12" s="116">
        <v>0.19979487053214348</v>
      </c>
      <c r="Z12" s="91">
        <v>57.917949341448541</v>
      </c>
      <c r="AA12" s="39" t="str">
        <f t="shared" si="1"/>
        <v>Normal</v>
      </c>
    </row>
    <row r="13" spans="1:28" s="11" customFormat="1" ht="15.75" x14ac:dyDescent="0.25">
      <c r="A13" s="65">
        <v>10</v>
      </c>
      <c r="B13" s="66" t="s">
        <v>287</v>
      </c>
      <c r="C13" s="65">
        <v>1</v>
      </c>
      <c r="D13" s="65" t="s">
        <v>7</v>
      </c>
      <c r="E13" s="65">
        <v>2</v>
      </c>
      <c r="F13" s="68">
        <v>42254</v>
      </c>
      <c r="G13" s="68">
        <v>44463</v>
      </c>
      <c r="H13" s="69">
        <f t="shared" si="2"/>
        <v>6</v>
      </c>
      <c r="I13" s="69">
        <f t="shared" si="3"/>
        <v>72</v>
      </c>
      <c r="J13" s="65">
        <v>20</v>
      </c>
      <c r="K13" s="65">
        <v>1.1399999999999999</v>
      </c>
      <c r="L13" s="65">
        <f t="shared" si="4"/>
        <v>113.99999999999999</v>
      </c>
      <c r="M13" s="65">
        <f>101.5</f>
        <v>101.5</v>
      </c>
      <c r="N13" s="70">
        <f t="shared" si="5"/>
        <v>10.964912280701743</v>
      </c>
      <c r="O13" s="65">
        <v>0</v>
      </c>
      <c r="P13" s="65">
        <v>0</v>
      </c>
      <c r="Q13" s="71">
        <f t="shared" si="6"/>
        <v>15.389350569405973</v>
      </c>
      <c r="R13" s="37"/>
      <c r="S13" s="91">
        <v>-1.000941079161539</v>
      </c>
      <c r="T13" s="91">
        <v>15.842764747315874</v>
      </c>
      <c r="U13" s="39" t="str">
        <f t="shared" si="7"/>
        <v>Normal</v>
      </c>
      <c r="V13" s="91">
        <v>-48.379783326543887</v>
      </c>
      <c r="W13" s="91">
        <v>0</v>
      </c>
      <c r="X13" s="39" t="str">
        <f t="shared" si="0"/>
        <v>Piernas cortas</v>
      </c>
      <c r="Y13" s="116">
        <v>7.6238238631857511E-2</v>
      </c>
      <c r="Z13" s="91">
        <v>53.038521941493919</v>
      </c>
      <c r="AA13" s="39" t="str">
        <f t="shared" si="1"/>
        <v>Normal</v>
      </c>
    </row>
    <row r="14" spans="1:28" ht="15.75" x14ac:dyDescent="0.25">
      <c r="A14" s="72">
        <v>11</v>
      </c>
      <c r="B14" s="73" t="s">
        <v>288</v>
      </c>
      <c r="C14" s="72">
        <v>1</v>
      </c>
      <c r="D14" s="72" t="s">
        <v>7</v>
      </c>
      <c r="E14" s="72">
        <v>2</v>
      </c>
      <c r="F14" s="74">
        <v>42287</v>
      </c>
      <c r="G14" s="68">
        <v>44463</v>
      </c>
      <c r="H14" s="69">
        <f t="shared" si="2"/>
        <v>5</v>
      </c>
      <c r="I14" s="69">
        <f t="shared" si="3"/>
        <v>71</v>
      </c>
      <c r="J14" s="72">
        <v>19.100000000000001</v>
      </c>
      <c r="K14" s="72">
        <v>1.1000000000000001</v>
      </c>
      <c r="L14" s="65">
        <f t="shared" si="4"/>
        <v>110.00000000000001</v>
      </c>
      <c r="M14" s="72">
        <f>100-40</f>
        <v>60</v>
      </c>
      <c r="N14" s="70">
        <f t="shared" si="5"/>
        <v>45.454545454545467</v>
      </c>
      <c r="O14" s="65">
        <v>0</v>
      </c>
      <c r="P14" s="65">
        <v>0</v>
      </c>
      <c r="Q14" s="71">
        <f t="shared" si="6"/>
        <v>15.785123966942148</v>
      </c>
      <c r="R14" s="34"/>
      <c r="S14" s="91">
        <v>3.0178841045291596</v>
      </c>
      <c r="T14" s="91">
        <v>99.872726883974863</v>
      </c>
      <c r="U14" s="39" t="str">
        <f t="shared" si="7"/>
        <v>Alto</v>
      </c>
      <c r="V14" s="91">
        <v>-0.34721134259538661</v>
      </c>
      <c r="W14" s="91">
        <v>36.421627507237794</v>
      </c>
      <c r="X14" s="39" t="str">
        <f t="shared" si="0"/>
        <v>Normal</v>
      </c>
      <c r="Y14" s="116">
        <v>0.32488520335076915</v>
      </c>
      <c r="Z14" s="91">
        <v>62.736602201428646</v>
      </c>
      <c r="AA14" s="39" t="str">
        <f t="shared" si="1"/>
        <v>Normal</v>
      </c>
    </row>
    <row r="15" spans="1:28" ht="15.75" x14ac:dyDescent="0.25">
      <c r="A15" s="72">
        <v>12</v>
      </c>
      <c r="B15" s="73" t="s">
        <v>289</v>
      </c>
      <c r="C15" s="72">
        <v>1</v>
      </c>
      <c r="D15" s="72" t="s">
        <v>7</v>
      </c>
      <c r="E15" s="72">
        <v>2</v>
      </c>
      <c r="F15" s="74">
        <v>42138</v>
      </c>
      <c r="G15" s="68">
        <v>44463</v>
      </c>
      <c r="H15" s="69">
        <f t="shared" si="2"/>
        <v>6</v>
      </c>
      <c r="I15" s="69">
        <f t="shared" si="3"/>
        <v>76</v>
      </c>
      <c r="J15" s="72">
        <v>24.4</v>
      </c>
      <c r="K15" s="72">
        <v>1.3</v>
      </c>
      <c r="L15" s="65">
        <f t="shared" si="4"/>
        <v>130</v>
      </c>
      <c r="M15" s="72">
        <f>115.5-40</f>
        <v>75.5</v>
      </c>
      <c r="N15" s="70">
        <f t="shared" si="5"/>
        <v>41.923076923076927</v>
      </c>
      <c r="O15" s="65">
        <v>0</v>
      </c>
      <c r="P15" s="65">
        <v>0</v>
      </c>
      <c r="Q15" s="71">
        <f t="shared" si="6"/>
        <v>14.437869822485204</v>
      </c>
      <c r="R15" s="34"/>
      <c r="S15" s="91">
        <v>-1.1516014491664313</v>
      </c>
      <c r="T15" s="91">
        <v>12.474244281325797</v>
      </c>
      <c r="U15" s="39" t="str">
        <f t="shared" si="7"/>
        <v>Normal</v>
      </c>
      <c r="V15" s="91">
        <v>-3.5226476067068053</v>
      </c>
      <c r="W15" s="91">
        <v>2.1362952306310481E-2</v>
      </c>
      <c r="X15" s="39" t="str">
        <f t="shared" si="0"/>
        <v>Piernas cortas</v>
      </c>
      <c r="Y15" s="116">
        <v>-0.57760219584746064</v>
      </c>
      <c r="Z15" s="91">
        <v>28.176636204840388</v>
      </c>
      <c r="AA15" s="39" t="str">
        <f t="shared" si="1"/>
        <v>Normal</v>
      </c>
    </row>
    <row r="16" spans="1:28" ht="15.75" x14ac:dyDescent="0.25">
      <c r="A16" s="72">
        <v>13</v>
      </c>
      <c r="B16" s="66" t="s">
        <v>290</v>
      </c>
      <c r="C16" s="72">
        <v>1</v>
      </c>
      <c r="D16" s="72" t="s">
        <v>7</v>
      </c>
      <c r="E16" s="72">
        <v>2</v>
      </c>
      <c r="F16" s="68">
        <v>42199</v>
      </c>
      <c r="G16" s="68">
        <v>44463</v>
      </c>
      <c r="H16" s="69">
        <f t="shared" si="2"/>
        <v>6</v>
      </c>
      <c r="I16" s="69">
        <f t="shared" si="3"/>
        <v>74</v>
      </c>
      <c r="J16" s="65">
        <v>20.100000000000001</v>
      </c>
      <c r="K16" s="65">
        <v>1.1100000000000001</v>
      </c>
      <c r="L16" s="65">
        <f t="shared" si="4"/>
        <v>111.00000000000001</v>
      </c>
      <c r="M16" s="65">
        <f>103-40</f>
        <v>63</v>
      </c>
      <c r="N16" s="70">
        <f t="shared" si="5"/>
        <v>43.243243243243249</v>
      </c>
      <c r="O16" s="65">
        <v>0</v>
      </c>
      <c r="P16" s="65">
        <v>0</v>
      </c>
      <c r="Q16" s="71">
        <f t="shared" si="6"/>
        <v>16.313610908205501</v>
      </c>
      <c r="R16" s="34"/>
      <c r="S16" s="91">
        <v>-0.40190157206801103</v>
      </c>
      <c r="T16" s="91">
        <v>34.387823286290008</v>
      </c>
      <c r="U16" s="39" t="str">
        <f t="shared" si="7"/>
        <v>Normal</v>
      </c>
      <c r="V16" s="91">
        <v>-2.5456565615899924</v>
      </c>
      <c r="W16" s="91">
        <v>0.54536220150561465</v>
      </c>
      <c r="X16" s="39" t="str">
        <f t="shared" si="0"/>
        <v>Piernas cortas</v>
      </c>
      <c r="Y16" s="116">
        <v>0.61185992946494516</v>
      </c>
      <c r="Z16" s="91">
        <v>72.968478247321428</v>
      </c>
      <c r="AA16" s="39" t="str">
        <f t="shared" si="1"/>
        <v>Normal</v>
      </c>
    </row>
    <row r="17" spans="1:27" ht="15.75" x14ac:dyDescent="0.25">
      <c r="A17" s="72">
        <v>14</v>
      </c>
      <c r="B17" s="66" t="s">
        <v>291</v>
      </c>
      <c r="C17" s="72">
        <v>1</v>
      </c>
      <c r="D17" s="72" t="s">
        <v>7</v>
      </c>
      <c r="E17" s="72">
        <v>1</v>
      </c>
      <c r="F17" s="68">
        <v>42191</v>
      </c>
      <c r="G17" s="68">
        <v>44463</v>
      </c>
      <c r="H17" s="69">
        <f t="shared" si="2"/>
        <v>6</v>
      </c>
      <c r="I17" s="69">
        <f t="shared" si="3"/>
        <v>74</v>
      </c>
      <c r="J17" s="72">
        <v>20.6</v>
      </c>
      <c r="K17" s="72">
        <v>1.1399999999999999</v>
      </c>
      <c r="L17" s="65">
        <f t="shared" si="4"/>
        <v>113.99999999999999</v>
      </c>
      <c r="M17" s="72">
        <f>103-40</f>
        <v>63</v>
      </c>
      <c r="N17" s="70">
        <f t="shared" si="5"/>
        <v>44.73684210526315</v>
      </c>
      <c r="O17" s="65">
        <v>0</v>
      </c>
      <c r="P17" s="65">
        <v>0</v>
      </c>
      <c r="Q17" s="71">
        <f t="shared" si="6"/>
        <v>15.851031086488153</v>
      </c>
      <c r="R17" s="34"/>
      <c r="S17" s="91">
        <v>1.4174684012348333</v>
      </c>
      <c r="T17" s="91">
        <v>92.182698672909524</v>
      </c>
      <c r="U17" s="39" t="str">
        <f t="shared" si="7"/>
        <v>Normal</v>
      </c>
      <c r="V17" s="91">
        <v>-1.2970829755194049</v>
      </c>
      <c r="W17" s="91">
        <v>9.7301319269617075</v>
      </c>
      <c r="X17" s="39" t="str">
        <f t="shared" si="0"/>
        <v>Normal</v>
      </c>
      <c r="Y17" s="116">
        <v>0.37690276643751602</v>
      </c>
      <c r="Z17" s="91">
        <v>64.687706726535595</v>
      </c>
      <c r="AA17" s="39" t="str">
        <f t="shared" si="1"/>
        <v>Normal</v>
      </c>
    </row>
    <row r="18" spans="1:27" ht="15.75" x14ac:dyDescent="0.25">
      <c r="A18" s="72">
        <v>15</v>
      </c>
      <c r="B18" s="73" t="s">
        <v>292</v>
      </c>
      <c r="C18" s="72">
        <v>1</v>
      </c>
      <c r="D18" s="72" t="s">
        <v>7</v>
      </c>
      <c r="E18" s="72">
        <v>2</v>
      </c>
      <c r="F18" s="74">
        <v>42212</v>
      </c>
      <c r="G18" s="68">
        <v>44463</v>
      </c>
      <c r="H18" s="69">
        <f t="shared" si="2"/>
        <v>6</v>
      </c>
      <c r="I18" s="69">
        <f t="shared" si="3"/>
        <v>73</v>
      </c>
      <c r="J18" s="72">
        <v>34.799999999999997</v>
      </c>
      <c r="K18" s="72">
        <v>1.24</v>
      </c>
      <c r="L18" s="65">
        <f t="shared" si="4"/>
        <v>124</v>
      </c>
      <c r="M18" s="72">
        <f>108.5-40</f>
        <v>68.5</v>
      </c>
      <c r="N18" s="70">
        <f t="shared" si="5"/>
        <v>44.758064516129032</v>
      </c>
      <c r="O18" s="65">
        <v>0</v>
      </c>
      <c r="P18" s="65">
        <v>0</v>
      </c>
      <c r="Q18" s="71">
        <f t="shared" si="6"/>
        <v>22.632674297606656</v>
      </c>
      <c r="R18" s="34"/>
      <c r="S18" s="91">
        <v>0.65956525792245291</v>
      </c>
      <c r="T18" s="91">
        <v>74.523357232213669</v>
      </c>
      <c r="U18" s="39" t="str">
        <f t="shared" si="7"/>
        <v>Normal</v>
      </c>
      <c r="V18" s="91">
        <v>-1.463757114958792</v>
      </c>
      <c r="W18" s="91">
        <v>7.1630161879348755</v>
      </c>
      <c r="X18" s="39" t="str">
        <f t="shared" si="0"/>
        <v>Normal</v>
      </c>
      <c r="Y18" s="116">
        <v>3.1188984233051662</v>
      </c>
      <c r="Z18" s="91">
        <v>99.909235734820712</v>
      </c>
      <c r="AA18" s="39" t="str">
        <f t="shared" si="1"/>
        <v>Obesidad</v>
      </c>
    </row>
    <row r="19" spans="1:27" ht="15.75" x14ac:dyDescent="0.25">
      <c r="A19" s="72">
        <v>16</v>
      </c>
      <c r="B19" s="73" t="s">
        <v>293</v>
      </c>
      <c r="C19" s="72">
        <v>1</v>
      </c>
      <c r="D19" s="72" t="s">
        <v>7</v>
      </c>
      <c r="E19" s="72">
        <v>2</v>
      </c>
      <c r="F19" s="74">
        <v>42321</v>
      </c>
      <c r="G19" s="68">
        <v>44463</v>
      </c>
      <c r="H19" s="69">
        <f t="shared" si="2"/>
        <v>5</v>
      </c>
      <c r="I19" s="69">
        <f t="shared" si="3"/>
        <v>70</v>
      </c>
      <c r="J19" s="72">
        <v>21.5</v>
      </c>
      <c r="K19" s="72">
        <v>1.19</v>
      </c>
      <c r="L19" s="65">
        <f t="shared" si="4"/>
        <v>119</v>
      </c>
      <c r="M19" s="72">
        <f>106-40</f>
        <v>66</v>
      </c>
      <c r="N19" s="70">
        <f t="shared" si="5"/>
        <v>44.537815126050425</v>
      </c>
      <c r="O19" s="65">
        <v>0</v>
      </c>
      <c r="P19" s="65">
        <v>0</v>
      </c>
      <c r="Q19" s="71">
        <f t="shared" si="6"/>
        <v>15.182543605677566</v>
      </c>
      <c r="R19" s="34"/>
      <c r="S19" s="91">
        <v>-0.42633115178012104</v>
      </c>
      <c r="T19" s="91">
        <v>33.493328073307339</v>
      </c>
      <c r="U19" s="39" t="str">
        <f t="shared" si="7"/>
        <v>Normal</v>
      </c>
      <c r="V19" s="91">
        <v>-0.93047097824682756</v>
      </c>
      <c r="W19" s="91">
        <v>17.606364184246047</v>
      </c>
      <c r="X19" s="39" t="str">
        <f t="shared" si="0"/>
        <v>Normal</v>
      </c>
      <c r="Y19" s="116">
        <v>-4.9975977813799755E-2</v>
      </c>
      <c r="Z19" s="91">
        <v>48.007076566126955</v>
      </c>
      <c r="AA19" s="39" t="str">
        <f t="shared" si="1"/>
        <v>Normal</v>
      </c>
    </row>
    <row r="20" spans="1:27" ht="15.75" x14ac:dyDescent="0.25">
      <c r="A20" s="72">
        <v>17</v>
      </c>
      <c r="B20" s="73" t="s">
        <v>294</v>
      </c>
      <c r="C20" s="72">
        <v>1</v>
      </c>
      <c r="D20" s="72" t="s">
        <v>7</v>
      </c>
      <c r="E20" s="72">
        <v>1</v>
      </c>
      <c r="F20" s="74">
        <v>42346</v>
      </c>
      <c r="G20" s="68">
        <v>44463</v>
      </c>
      <c r="H20" s="69">
        <f t="shared" si="2"/>
        <v>5</v>
      </c>
      <c r="I20" s="69">
        <f t="shared" si="3"/>
        <v>69</v>
      </c>
      <c r="J20" s="72">
        <v>17.600000000000001</v>
      </c>
      <c r="K20" s="72">
        <f>1.12</f>
        <v>1.1200000000000001</v>
      </c>
      <c r="L20" s="65">
        <f t="shared" si="4"/>
        <v>112.00000000000001</v>
      </c>
      <c r="M20" s="72">
        <f>105-40</f>
        <v>65</v>
      </c>
      <c r="N20" s="70">
        <f t="shared" si="5"/>
        <v>41.964285714285722</v>
      </c>
      <c r="O20" s="65">
        <v>0</v>
      </c>
      <c r="P20" s="65">
        <v>0</v>
      </c>
      <c r="Q20" s="71">
        <f t="shared" si="6"/>
        <v>14.030612244897958</v>
      </c>
      <c r="R20" s="34"/>
      <c r="S20" s="91">
        <v>0.7339780348286028</v>
      </c>
      <c r="T20" s="91">
        <v>76.851893737323905</v>
      </c>
      <c r="U20" s="39" t="str">
        <f t="shared" si="7"/>
        <v>Normal</v>
      </c>
      <c r="V20" s="91">
        <v>-2.529978810913482</v>
      </c>
      <c r="W20" s="91">
        <v>0.57034707591397649</v>
      </c>
      <c r="X20" s="39" t="str">
        <f t="shared" si="0"/>
        <v>Piernas cortas</v>
      </c>
      <c r="Y20" s="116">
        <v>-1.0324925982888116</v>
      </c>
      <c r="Z20" s="91">
        <v>15.092070664249027</v>
      </c>
      <c r="AA20" s="39" t="str">
        <f t="shared" si="1"/>
        <v>Normal</v>
      </c>
    </row>
    <row r="21" spans="1:27" ht="15.75" x14ac:dyDescent="0.25">
      <c r="A21" s="72">
        <v>18</v>
      </c>
      <c r="B21" s="73" t="s">
        <v>295</v>
      </c>
      <c r="C21" s="72">
        <v>1</v>
      </c>
      <c r="D21" s="72" t="s">
        <v>7</v>
      </c>
      <c r="E21" s="72">
        <v>2</v>
      </c>
      <c r="F21" s="74">
        <v>42352</v>
      </c>
      <c r="G21" s="68">
        <v>44463</v>
      </c>
      <c r="H21" s="69">
        <f t="shared" si="2"/>
        <v>5</v>
      </c>
      <c r="I21" s="69">
        <f t="shared" si="3"/>
        <v>69</v>
      </c>
      <c r="J21" s="72">
        <v>25.8</v>
      </c>
      <c r="K21" s="72">
        <v>1.18</v>
      </c>
      <c r="L21" s="65">
        <f t="shared" si="4"/>
        <v>118</v>
      </c>
      <c r="M21" s="72">
        <f>104.4-40</f>
        <v>64.400000000000006</v>
      </c>
      <c r="N21" s="70">
        <f t="shared" si="5"/>
        <v>45.423728813559315</v>
      </c>
      <c r="O21" s="65">
        <v>0</v>
      </c>
      <c r="P21" s="65">
        <v>0</v>
      </c>
      <c r="Q21" s="71">
        <f t="shared" si="6"/>
        <v>18.529158287848322</v>
      </c>
      <c r="R21" s="34"/>
      <c r="S21" s="91">
        <v>0.4640079326134175</v>
      </c>
      <c r="T21" s="91">
        <v>67.867896886073268</v>
      </c>
      <c r="U21" s="39" t="str">
        <f t="shared" si="7"/>
        <v>Normal</v>
      </c>
      <c r="V21" s="91">
        <v>-0.36660955823485936</v>
      </c>
      <c r="W21" s="91">
        <v>35.695513874861916</v>
      </c>
      <c r="X21" s="39" t="str">
        <f t="shared" si="0"/>
        <v>Normal</v>
      </c>
      <c r="Y21" s="116">
        <v>1.7519045201465815</v>
      </c>
      <c r="Z21" s="91">
        <v>96.010488640622697</v>
      </c>
      <c r="AA21" s="39" t="str">
        <f t="shared" si="1"/>
        <v>Obesidad</v>
      </c>
    </row>
    <row r="22" spans="1:27" ht="15.75" x14ac:dyDescent="0.25">
      <c r="A22" s="72">
        <v>19</v>
      </c>
      <c r="B22" s="73" t="s">
        <v>296</v>
      </c>
      <c r="C22" s="72">
        <v>1</v>
      </c>
      <c r="D22" s="72" t="s">
        <v>7</v>
      </c>
      <c r="E22" s="72">
        <v>2</v>
      </c>
      <c r="F22" s="74">
        <v>42343</v>
      </c>
      <c r="G22" s="68">
        <v>44463</v>
      </c>
      <c r="H22" s="69">
        <f t="shared" si="2"/>
        <v>5</v>
      </c>
      <c r="I22" s="69">
        <f t="shared" si="3"/>
        <v>69</v>
      </c>
      <c r="J22" s="72">
        <v>23.6</v>
      </c>
      <c r="K22" s="72">
        <v>1.1599999999999999</v>
      </c>
      <c r="L22" s="65">
        <f t="shared" si="4"/>
        <v>115.99999999999999</v>
      </c>
      <c r="M22" s="72">
        <f>104.4-40</f>
        <v>64.400000000000006</v>
      </c>
      <c r="N22" s="70">
        <f t="shared" si="5"/>
        <v>44.482758620689644</v>
      </c>
      <c r="O22" s="65">
        <v>0</v>
      </c>
      <c r="P22" s="65">
        <v>0</v>
      </c>
      <c r="Q22" s="71">
        <f t="shared" si="6"/>
        <v>17.538644470868018</v>
      </c>
      <c r="R22" s="34"/>
      <c r="S22" s="91">
        <v>0.4640079326134175</v>
      </c>
      <c r="T22" s="91">
        <v>67.867896886073268</v>
      </c>
      <c r="U22" s="39" t="str">
        <f t="shared" si="7"/>
        <v>Normal</v>
      </c>
      <c r="V22" s="91">
        <v>-0.96591475083245937</v>
      </c>
      <c r="W22" s="91">
        <v>16.704342027147021</v>
      </c>
      <c r="X22" s="39" t="str">
        <f t="shared" si="0"/>
        <v>Normal</v>
      </c>
      <c r="Y22" s="116">
        <v>1.2918924669926311</v>
      </c>
      <c r="Z22" s="91">
        <v>90.180280657774972</v>
      </c>
      <c r="AA22" s="39" t="str">
        <f t="shared" si="1"/>
        <v>Obesidad</v>
      </c>
    </row>
    <row r="23" spans="1:27" ht="15.75" x14ac:dyDescent="0.25">
      <c r="A23" s="72">
        <v>20</v>
      </c>
      <c r="B23" s="73" t="s">
        <v>297</v>
      </c>
      <c r="C23" s="72">
        <v>1</v>
      </c>
      <c r="D23" s="72" t="s">
        <v>7</v>
      </c>
      <c r="E23" s="72">
        <v>1</v>
      </c>
      <c r="F23" s="74">
        <v>42264</v>
      </c>
      <c r="G23" s="68">
        <v>44463</v>
      </c>
      <c r="H23" s="69">
        <f t="shared" si="2"/>
        <v>6</v>
      </c>
      <c r="I23" s="69">
        <f t="shared" si="3"/>
        <v>72</v>
      </c>
      <c r="J23" s="72">
        <v>16.8</v>
      </c>
      <c r="K23" s="72">
        <v>1.1599999999999999</v>
      </c>
      <c r="L23" s="65">
        <f t="shared" si="4"/>
        <v>115.99999999999999</v>
      </c>
      <c r="M23" s="72">
        <f>101-40</f>
        <v>61</v>
      </c>
      <c r="N23" s="70">
        <f t="shared" si="5"/>
        <v>47.41379310344827</v>
      </c>
      <c r="O23" s="65">
        <v>0</v>
      </c>
      <c r="P23" s="65">
        <v>0</v>
      </c>
      <c r="Q23" s="71">
        <f t="shared" si="6"/>
        <v>12.485136741973841</v>
      </c>
      <c r="R23" s="34"/>
      <c r="S23" s="91">
        <v>1.0248330372151211</v>
      </c>
      <c r="T23" s="91">
        <v>84.727901248385649</v>
      </c>
      <c r="U23" s="39" t="str">
        <f t="shared" si="7"/>
        <v>Normal</v>
      </c>
      <c r="V23" s="91">
        <v>0.41442139047626975</v>
      </c>
      <c r="W23" s="91">
        <v>66.071723691719214</v>
      </c>
      <c r="X23" s="39" t="str">
        <f t="shared" si="0"/>
        <v>Normal</v>
      </c>
      <c r="Y23" s="116">
        <v>-2.6003898159861518</v>
      </c>
      <c r="Z23" s="91">
        <v>0.46558958476264284</v>
      </c>
      <c r="AA23" s="39" t="str">
        <f t="shared" si="1"/>
        <v>Desnutricion</v>
      </c>
    </row>
    <row r="24" spans="1:27" ht="15.75" x14ac:dyDescent="0.25">
      <c r="A24" s="72">
        <v>21</v>
      </c>
      <c r="B24" s="73" t="s">
        <v>298</v>
      </c>
      <c r="C24" s="72">
        <v>1</v>
      </c>
      <c r="D24" s="72" t="s">
        <v>7</v>
      </c>
      <c r="E24" s="72">
        <v>1</v>
      </c>
      <c r="F24" s="74">
        <v>42007</v>
      </c>
      <c r="G24" s="68">
        <v>44463</v>
      </c>
      <c r="H24" s="69">
        <f t="shared" si="2"/>
        <v>6</v>
      </c>
      <c r="I24" s="69">
        <f t="shared" si="3"/>
        <v>80</v>
      </c>
      <c r="J24" s="72">
        <v>20.5</v>
      </c>
      <c r="K24" s="72">
        <v>1.21</v>
      </c>
      <c r="L24" s="65">
        <f t="shared" si="4"/>
        <v>121</v>
      </c>
      <c r="M24" s="72">
        <f>105.2-40</f>
        <v>65.2</v>
      </c>
      <c r="N24" s="70">
        <f t="shared" si="5"/>
        <v>46.115702479338836</v>
      </c>
      <c r="O24" s="65">
        <v>0</v>
      </c>
      <c r="P24" s="65">
        <v>0</v>
      </c>
      <c r="Q24" s="71">
        <f t="shared" si="6"/>
        <v>14.001775834983949</v>
      </c>
      <c r="R24" s="34"/>
      <c r="S24" s="91">
        <v>-0.3543052684587702</v>
      </c>
      <c r="T24" s="91">
        <v>36.155505992930273</v>
      </c>
      <c r="U24" s="39" t="str">
        <f t="shared" si="7"/>
        <v>Normal</v>
      </c>
      <c r="V24" s="91">
        <v>-0.40202421918324582</v>
      </c>
      <c r="W24" s="91">
        <v>34.383310112907026</v>
      </c>
      <c r="X24" s="39" t="str">
        <f t="shared" si="0"/>
        <v>Normal</v>
      </c>
      <c r="Y24" s="116">
        <v>-1.1382244271840718</v>
      </c>
      <c r="Z24" s="91">
        <v>12.751339060254367</v>
      </c>
      <c r="AA24" s="39" t="str">
        <f t="shared" si="1"/>
        <v>Bajo Peso</v>
      </c>
    </row>
    <row r="25" spans="1:27" ht="15.75" x14ac:dyDescent="0.25">
      <c r="A25" s="72">
        <v>22</v>
      </c>
      <c r="B25" s="73" t="s">
        <v>299</v>
      </c>
      <c r="C25" s="72">
        <v>1</v>
      </c>
      <c r="D25" s="72" t="s">
        <v>7</v>
      </c>
      <c r="E25" s="72">
        <v>1</v>
      </c>
      <c r="F25" s="74">
        <v>42045</v>
      </c>
      <c r="G25" s="68">
        <v>44463</v>
      </c>
      <c r="H25" s="69">
        <f t="shared" si="2"/>
        <v>6</v>
      </c>
      <c r="I25" s="69">
        <f t="shared" si="3"/>
        <v>79</v>
      </c>
      <c r="J25" s="72">
        <v>18.899999999999999</v>
      </c>
      <c r="K25" s="72">
        <v>1.18</v>
      </c>
      <c r="L25" s="65">
        <f t="shared" si="4"/>
        <v>118</v>
      </c>
      <c r="M25" s="72">
        <f>103.1-40</f>
        <v>63.099999999999994</v>
      </c>
      <c r="N25" s="70">
        <f t="shared" si="5"/>
        <v>46.525423728813564</v>
      </c>
      <c r="O25" s="65">
        <v>0</v>
      </c>
      <c r="P25" s="65">
        <v>0</v>
      </c>
      <c r="Q25" s="71">
        <f t="shared" si="6"/>
        <v>13.573685722493536</v>
      </c>
      <c r="R25" s="34"/>
      <c r="S25" s="91">
        <v>-6.8306637055047414E-2</v>
      </c>
      <c r="T25" s="91">
        <v>47.277077043270175</v>
      </c>
      <c r="U25" s="39" t="str">
        <f t="shared" si="7"/>
        <v>Normal</v>
      </c>
      <c r="V25" s="91">
        <v>-0.14165732623690222</v>
      </c>
      <c r="W25" s="91">
        <v>44.367534182991534</v>
      </c>
      <c r="X25" s="39" t="str">
        <f t="shared" si="0"/>
        <v>Normal</v>
      </c>
      <c r="Y25" s="116">
        <v>-1.524390510278844</v>
      </c>
      <c r="Z25" s="91">
        <v>6.3705594626813093</v>
      </c>
      <c r="AA25" s="39" t="str">
        <f t="shared" si="1"/>
        <v>Bajo Peso</v>
      </c>
    </row>
    <row r="26" spans="1:27" ht="15.75" x14ac:dyDescent="0.25">
      <c r="A26" s="72">
        <v>23</v>
      </c>
      <c r="B26" s="73" t="s">
        <v>300</v>
      </c>
      <c r="C26" s="72">
        <v>1</v>
      </c>
      <c r="D26" s="72" t="s">
        <v>7</v>
      </c>
      <c r="E26" s="72">
        <v>2</v>
      </c>
      <c r="F26" s="74">
        <v>42015</v>
      </c>
      <c r="G26" s="68">
        <v>44463</v>
      </c>
      <c r="H26" s="69">
        <f t="shared" si="2"/>
        <v>6</v>
      </c>
      <c r="I26" s="69">
        <f t="shared" si="3"/>
        <v>80</v>
      </c>
      <c r="J26" s="72">
        <v>26.4</v>
      </c>
      <c r="K26" s="72">
        <v>1.19</v>
      </c>
      <c r="L26" s="65">
        <f t="shared" si="4"/>
        <v>119</v>
      </c>
      <c r="M26" s="72">
        <f>105-40</f>
        <v>65</v>
      </c>
      <c r="N26" s="70">
        <f t="shared" si="5"/>
        <v>45.378151260504204</v>
      </c>
      <c r="O26" s="65">
        <v>0</v>
      </c>
      <c r="P26" s="65">
        <v>0</v>
      </c>
      <c r="Q26" s="71">
        <f t="shared" si="6"/>
        <v>18.642751218134311</v>
      </c>
      <c r="R26" s="34"/>
      <c r="S26" s="91">
        <v>-0.17198952530893982</v>
      </c>
      <c r="T26" s="91">
        <v>43.172288194217401</v>
      </c>
      <c r="U26" s="39" t="str">
        <f t="shared" si="7"/>
        <v>Normal</v>
      </c>
      <c r="V26" s="91">
        <v>-1.0323069376484142</v>
      </c>
      <c r="W26" s="91">
        <v>15.096417604585586</v>
      </c>
      <c r="X26" s="39" t="str">
        <f t="shared" si="0"/>
        <v>Normal</v>
      </c>
      <c r="Y26" s="116">
        <v>1.6438933429948255</v>
      </c>
      <c r="Z26" s="91">
        <v>94.990088225546941</v>
      </c>
      <c r="AA26" s="39" t="str">
        <f t="shared" si="1"/>
        <v>Obesidad</v>
      </c>
    </row>
    <row r="27" spans="1:27" ht="15.75" x14ac:dyDescent="0.25">
      <c r="A27" s="72">
        <v>24</v>
      </c>
      <c r="B27" s="73" t="s">
        <v>301</v>
      </c>
      <c r="C27" s="72">
        <v>1</v>
      </c>
      <c r="D27" s="72" t="s">
        <v>7</v>
      </c>
      <c r="E27" s="72">
        <v>2</v>
      </c>
      <c r="F27" s="74">
        <v>42066</v>
      </c>
      <c r="G27" s="68">
        <v>44463</v>
      </c>
      <c r="H27" s="69">
        <f t="shared" si="2"/>
        <v>6</v>
      </c>
      <c r="I27" s="69">
        <f t="shared" si="3"/>
        <v>78</v>
      </c>
      <c r="J27" s="72">
        <v>25.5</v>
      </c>
      <c r="K27" s="72">
        <v>1.18</v>
      </c>
      <c r="L27" s="65">
        <f t="shared" si="4"/>
        <v>118</v>
      </c>
      <c r="M27" s="72">
        <f>103.5-40</f>
        <v>63.5</v>
      </c>
      <c r="N27" s="70">
        <f t="shared" si="5"/>
        <v>46.186440677966104</v>
      </c>
      <c r="O27" s="65">
        <v>0</v>
      </c>
      <c r="P27" s="65">
        <v>0</v>
      </c>
      <c r="Q27" s="71">
        <f t="shared" si="6"/>
        <v>18.313702958919851</v>
      </c>
      <c r="R27" s="34"/>
      <c r="S27" s="91">
        <v>-0.18446056047331005</v>
      </c>
      <c r="T27" s="91">
        <v>42.682608219932327</v>
      </c>
      <c r="U27" s="39" t="str">
        <f t="shared" si="7"/>
        <v>Normal</v>
      </c>
      <c r="V27" s="91">
        <v>-0.47942297261557959</v>
      </c>
      <c r="W27" s="91">
        <v>31.581887692325694</v>
      </c>
      <c r="X27" s="39" t="str">
        <f t="shared" si="0"/>
        <v>Normal</v>
      </c>
      <c r="Y27" s="116">
        <v>1.5380242950411205</v>
      </c>
      <c r="Z27" s="91">
        <v>93.797866270084157</v>
      </c>
      <c r="AA27" s="39" t="str">
        <f t="shared" si="1"/>
        <v>Obesidad</v>
      </c>
    </row>
    <row r="28" spans="1:27" ht="15.75" x14ac:dyDescent="0.25">
      <c r="A28" s="72">
        <v>25</v>
      </c>
      <c r="B28" s="73" t="s">
        <v>302</v>
      </c>
      <c r="C28" s="72">
        <v>1</v>
      </c>
      <c r="D28" s="72" t="s">
        <v>7</v>
      </c>
      <c r="E28" s="72">
        <v>1</v>
      </c>
      <c r="F28" s="74">
        <v>42180</v>
      </c>
      <c r="G28" s="68">
        <v>44463</v>
      </c>
      <c r="H28" s="69">
        <f t="shared" si="2"/>
        <v>6</v>
      </c>
      <c r="I28" s="69">
        <f t="shared" si="3"/>
        <v>74</v>
      </c>
      <c r="J28" s="72">
        <v>20.2</v>
      </c>
      <c r="K28" s="72">
        <v>1.17</v>
      </c>
      <c r="L28" s="65">
        <f t="shared" si="4"/>
        <v>117</v>
      </c>
      <c r="M28" s="72">
        <f>104.5-40</f>
        <v>64.5</v>
      </c>
      <c r="N28" s="70">
        <f t="shared" si="5"/>
        <v>44.871794871794876</v>
      </c>
      <c r="O28" s="65">
        <v>0</v>
      </c>
      <c r="P28" s="65">
        <v>0</v>
      </c>
      <c r="Q28" s="71">
        <f t="shared" si="6"/>
        <v>14.756373730732706</v>
      </c>
      <c r="R28" s="34"/>
      <c r="S28" s="91">
        <v>-0.18702359874800226</v>
      </c>
      <c r="T28" s="91">
        <v>42.582106513250451</v>
      </c>
      <c r="U28" s="39" t="str">
        <f t="shared" si="7"/>
        <v>Normal</v>
      </c>
      <c r="V28" s="91">
        <v>-1.2081667661890687</v>
      </c>
      <c r="W28" s="91">
        <v>11.34915611577715</v>
      </c>
      <c r="X28" s="39" t="str">
        <f t="shared" si="0"/>
        <v>Normal</v>
      </c>
      <c r="Y28" s="116">
        <v>-0.44386873876659239</v>
      </c>
      <c r="Z28" s="91">
        <v>32.856874364346524</v>
      </c>
      <c r="AA28" s="39" t="str">
        <f t="shared" si="1"/>
        <v>Normal</v>
      </c>
    </row>
    <row r="29" spans="1:27" ht="15.75" x14ac:dyDescent="0.25">
      <c r="A29" s="72">
        <v>26</v>
      </c>
      <c r="B29" s="73" t="s">
        <v>303</v>
      </c>
      <c r="C29" s="72">
        <v>1</v>
      </c>
      <c r="D29" s="72" t="s">
        <v>7</v>
      </c>
      <c r="E29" s="72">
        <v>1</v>
      </c>
      <c r="F29" s="74">
        <v>42199</v>
      </c>
      <c r="G29" s="68">
        <v>44463</v>
      </c>
      <c r="H29" s="69">
        <f t="shared" si="2"/>
        <v>6</v>
      </c>
      <c r="I29" s="69">
        <f t="shared" si="3"/>
        <v>74</v>
      </c>
      <c r="J29" s="72">
        <v>22.9</v>
      </c>
      <c r="K29" s="72">
        <v>1.1599999999999999</v>
      </c>
      <c r="L29" s="65">
        <f t="shared" si="4"/>
        <v>115.99999999999999</v>
      </c>
      <c r="M29" s="72">
        <f>102.8-40</f>
        <v>62.8</v>
      </c>
      <c r="N29" s="70">
        <f t="shared" si="5"/>
        <v>45.862068965517238</v>
      </c>
      <c r="O29" s="65">
        <v>0</v>
      </c>
      <c r="P29" s="65">
        <v>0</v>
      </c>
      <c r="Q29" s="71">
        <f t="shared" si="6"/>
        <v>17.018430439952439</v>
      </c>
      <c r="R29" s="34"/>
      <c r="S29" s="91">
        <v>5.0275754011962031</v>
      </c>
      <c r="T29" s="91">
        <v>99.999975163990044</v>
      </c>
      <c r="U29" s="39" t="str">
        <f t="shared" si="7"/>
        <v>Alto</v>
      </c>
      <c r="V29" s="91">
        <v>-0.5644642112121171</v>
      </c>
      <c r="W29" s="91">
        <v>28.621912497200917</v>
      </c>
      <c r="X29" s="39" t="str">
        <f t="shared" si="0"/>
        <v>Normal</v>
      </c>
      <c r="Y29" s="116">
        <v>1.1338980325276398</v>
      </c>
      <c r="Z29" s="91">
        <v>87.15813387420171</v>
      </c>
      <c r="AA29" s="39" t="str">
        <f t="shared" si="1"/>
        <v>Obesidad</v>
      </c>
    </row>
    <row r="30" spans="1:27" ht="15.75" x14ac:dyDescent="0.25">
      <c r="A30" s="72">
        <v>27</v>
      </c>
      <c r="B30" s="73" t="s">
        <v>304</v>
      </c>
      <c r="C30" s="72">
        <v>1</v>
      </c>
      <c r="D30" s="72" t="s">
        <v>7</v>
      </c>
      <c r="E30" s="72">
        <v>1</v>
      </c>
      <c r="F30" s="74">
        <v>42264</v>
      </c>
      <c r="G30" s="68">
        <v>44463</v>
      </c>
      <c r="H30" s="69">
        <f t="shared" si="2"/>
        <v>6</v>
      </c>
      <c r="I30" s="69">
        <f t="shared" si="3"/>
        <v>72</v>
      </c>
      <c r="J30" s="72">
        <v>39.700000000000003</v>
      </c>
      <c r="K30" s="72">
        <v>1.42</v>
      </c>
      <c r="L30" s="65">
        <f t="shared" si="4"/>
        <v>142</v>
      </c>
      <c r="M30" s="72">
        <f>107.4-40</f>
        <v>67.400000000000006</v>
      </c>
      <c r="N30" s="70">
        <f t="shared" si="5"/>
        <v>52.535211267605632</v>
      </c>
      <c r="O30" s="65">
        <v>0</v>
      </c>
      <c r="P30" s="65">
        <v>0</v>
      </c>
      <c r="Q30" s="71">
        <f t="shared" si="6"/>
        <v>19.688553858361438</v>
      </c>
      <c r="R30" s="34"/>
      <c r="S30" s="91">
        <v>-1.4108478656351806</v>
      </c>
      <c r="T30" s="91">
        <v>7.9144738648871558</v>
      </c>
      <c r="U30" s="39" t="str">
        <f t="shared" si="7"/>
        <v>Normal</v>
      </c>
      <c r="V30" s="91">
        <v>3.4141887495487082</v>
      </c>
      <c r="W30" s="91">
        <v>99.96801387973052</v>
      </c>
      <c r="X30" s="39" t="str">
        <f t="shared" si="0"/>
        <v>Piernas largas</v>
      </c>
      <c r="Y30" s="116">
        <v>2.5661836107227769</v>
      </c>
      <c r="Z30" s="91">
        <v>99.485878085990549</v>
      </c>
      <c r="AA30" s="39" t="str">
        <f t="shared" si="1"/>
        <v>Obesidad</v>
      </c>
    </row>
    <row r="31" spans="1:27" ht="15.75" x14ac:dyDescent="0.25">
      <c r="A31" s="72">
        <v>28</v>
      </c>
      <c r="B31" s="73" t="s">
        <v>305</v>
      </c>
      <c r="C31" s="72">
        <v>1</v>
      </c>
      <c r="D31" s="72" t="s">
        <v>26</v>
      </c>
      <c r="E31" s="72">
        <v>2</v>
      </c>
      <c r="F31" s="74">
        <v>42138</v>
      </c>
      <c r="G31" s="68">
        <v>44463</v>
      </c>
      <c r="H31" s="69">
        <f t="shared" si="2"/>
        <v>6</v>
      </c>
      <c r="I31" s="69">
        <f t="shared" si="3"/>
        <v>76</v>
      </c>
      <c r="J31" s="72">
        <v>21.9</v>
      </c>
      <c r="K31" s="72">
        <v>1.0900000000000001</v>
      </c>
      <c r="L31" s="65">
        <f t="shared" si="4"/>
        <v>109.00000000000001</v>
      </c>
      <c r="M31" s="72">
        <f>100.7-40</f>
        <v>60.7</v>
      </c>
      <c r="N31" s="70">
        <f t="shared" si="5"/>
        <v>44.311926605504595</v>
      </c>
      <c r="O31" s="65">
        <v>0</v>
      </c>
      <c r="P31" s="65">
        <v>0</v>
      </c>
      <c r="Q31" s="71">
        <f t="shared" si="6"/>
        <v>18.432791852537662</v>
      </c>
      <c r="R31" s="34"/>
      <c r="S31" s="91">
        <v>-0.19688220295394107</v>
      </c>
      <c r="T31" s="91">
        <v>42.195986053917792</v>
      </c>
      <c r="U31" s="39" t="str">
        <f t="shared" si="7"/>
        <v>Normal</v>
      </c>
      <c r="V31" s="91">
        <v>-1.778210684885188</v>
      </c>
      <c r="W31" s="91">
        <v>3.7684629359902133</v>
      </c>
      <c r="X31" s="39" t="str">
        <f t="shared" si="0"/>
        <v>Piernas cortas</v>
      </c>
      <c r="Y31" s="116">
        <v>1.616709267891137</v>
      </c>
      <c r="Z31" s="91">
        <v>94.702947378563195</v>
      </c>
      <c r="AA31" s="39" t="str">
        <f t="shared" si="1"/>
        <v>Obesidad</v>
      </c>
    </row>
    <row r="32" spans="1:27" ht="15.75" x14ac:dyDescent="0.25">
      <c r="A32" s="72">
        <v>29</v>
      </c>
      <c r="B32" s="73" t="s">
        <v>306</v>
      </c>
      <c r="C32" s="72">
        <v>1</v>
      </c>
      <c r="D32" s="72" t="s">
        <v>26</v>
      </c>
      <c r="E32" s="72">
        <v>1</v>
      </c>
      <c r="F32" s="74">
        <v>42233</v>
      </c>
      <c r="G32" s="68">
        <v>44463</v>
      </c>
      <c r="H32" s="69">
        <f t="shared" si="2"/>
        <v>6</v>
      </c>
      <c r="I32" s="69">
        <f t="shared" si="3"/>
        <v>73</v>
      </c>
      <c r="J32" s="72">
        <v>20.100000000000001</v>
      </c>
      <c r="K32" s="72">
        <v>1.1599999999999999</v>
      </c>
      <c r="L32" s="65">
        <f t="shared" si="4"/>
        <v>115.99999999999999</v>
      </c>
      <c r="M32" s="72">
        <f>100.7-40</f>
        <v>60.7</v>
      </c>
      <c r="N32" s="70">
        <f t="shared" si="5"/>
        <v>47.672413793103438</v>
      </c>
      <c r="O32" s="65">
        <v>0</v>
      </c>
      <c r="P32" s="65">
        <v>0</v>
      </c>
      <c r="Q32" s="71">
        <f t="shared" si="6"/>
        <v>14.937574316290133</v>
      </c>
      <c r="R32" s="34"/>
      <c r="S32" s="91">
        <v>0.71753264286939189</v>
      </c>
      <c r="T32" s="91">
        <v>76.347724889512008</v>
      </c>
      <c r="U32" s="39" t="str">
        <f t="shared" si="7"/>
        <v>Normal</v>
      </c>
      <c r="V32" s="91">
        <v>0.57418057130825972</v>
      </c>
      <c r="W32" s="91">
        <v>71.707719236943319</v>
      </c>
      <c r="X32" s="39" t="str">
        <f t="shared" si="0"/>
        <v>Normal</v>
      </c>
      <c r="Y32" s="116">
        <v>-0.29157004267439968</v>
      </c>
      <c r="Z32" s="91">
        <v>38.530769154966116</v>
      </c>
      <c r="AA32" s="39" t="str">
        <f t="shared" si="1"/>
        <v>Normal</v>
      </c>
    </row>
    <row r="33" spans="1:27" ht="15.75" x14ac:dyDescent="0.25">
      <c r="A33" s="72">
        <v>30</v>
      </c>
      <c r="B33" s="73" t="s">
        <v>307</v>
      </c>
      <c r="C33" s="72">
        <v>1</v>
      </c>
      <c r="D33" s="72" t="s">
        <v>26</v>
      </c>
      <c r="E33" s="72">
        <v>2</v>
      </c>
      <c r="F33" s="74">
        <v>42297</v>
      </c>
      <c r="G33" s="68">
        <v>44463</v>
      </c>
      <c r="H33" s="69">
        <f t="shared" si="2"/>
        <v>5</v>
      </c>
      <c r="I33" s="69">
        <f t="shared" si="3"/>
        <v>71</v>
      </c>
      <c r="J33" s="72">
        <v>27.2</v>
      </c>
      <c r="K33" s="72">
        <v>1.2</v>
      </c>
      <c r="L33" s="65">
        <f t="shared" si="4"/>
        <v>120</v>
      </c>
      <c r="M33" s="72">
        <f>106.4-40</f>
        <v>66.400000000000006</v>
      </c>
      <c r="N33" s="70">
        <f t="shared" si="5"/>
        <v>44.666666666666657</v>
      </c>
      <c r="O33" s="65">
        <v>0</v>
      </c>
      <c r="P33" s="65">
        <v>0</v>
      </c>
      <c r="Q33" s="71">
        <f t="shared" si="6"/>
        <v>18.888888888888889</v>
      </c>
      <c r="R33" s="34"/>
      <c r="S33" s="91">
        <v>0.26683236806725691</v>
      </c>
      <c r="T33" s="91">
        <v>60.520088430457896</v>
      </c>
      <c r="U33" s="39" t="str">
        <f t="shared" si="7"/>
        <v>Normal</v>
      </c>
      <c r="V33" s="91">
        <v>-0.84770602759135927</v>
      </c>
      <c r="W33" s="91">
        <v>19.830085433372798</v>
      </c>
      <c r="X33" s="39" t="str">
        <f t="shared" si="0"/>
        <v>Normal</v>
      </c>
      <c r="Y33" s="116">
        <v>1.8786456907669273</v>
      </c>
      <c r="Z33" s="91">
        <v>96.985355601993149</v>
      </c>
      <c r="AA33" s="39" t="str">
        <f t="shared" si="1"/>
        <v>Obesidad</v>
      </c>
    </row>
    <row r="34" spans="1:27" ht="15.75" x14ac:dyDescent="0.25">
      <c r="A34" s="72">
        <v>31</v>
      </c>
      <c r="B34" s="73" t="s">
        <v>308</v>
      </c>
      <c r="C34" s="72">
        <v>1</v>
      </c>
      <c r="D34" s="72" t="s">
        <v>26</v>
      </c>
      <c r="E34" s="72">
        <v>1</v>
      </c>
      <c r="F34" s="74">
        <v>42021</v>
      </c>
      <c r="G34" s="68">
        <v>44463</v>
      </c>
      <c r="H34" s="69">
        <f t="shared" si="2"/>
        <v>6</v>
      </c>
      <c r="I34" s="69">
        <f t="shared" si="3"/>
        <v>80</v>
      </c>
      <c r="J34" s="72">
        <v>21.7</v>
      </c>
      <c r="K34" s="72">
        <v>1.1599999999999999</v>
      </c>
      <c r="L34" s="65">
        <f t="shared" si="4"/>
        <v>115.99999999999999</v>
      </c>
      <c r="M34" s="72">
        <f>104-40</f>
        <v>64</v>
      </c>
      <c r="N34" s="70">
        <f t="shared" si="5"/>
        <v>44.827586206896548</v>
      </c>
      <c r="O34" s="65">
        <v>0</v>
      </c>
      <c r="P34" s="65">
        <v>0</v>
      </c>
      <c r="Q34" s="71">
        <f t="shared" si="6"/>
        <v>16.12663495838288</v>
      </c>
      <c r="R34" s="34"/>
      <c r="S34" s="91">
        <v>-2.2900822911259362</v>
      </c>
      <c r="T34" s="91">
        <v>1.1008273368782633</v>
      </c>
      <c r="U34" s="39" t="str">
        <f t="shared" si="7"/>
        <v>Desnutricion</v>
      </c>
      <c r="V34" s="91">
        <v>-1.2372624522057718</v>
      </c>
      <c r="W34" s="91">
        <v>10.799483134896921</v>
      </c>
      <c r="X34" s="39" t="str">
        <f t="shared" si="0"/>
        <v>Normal</v>
      </c>
      <c r="Y34" s="116">
        <v>0.49317404680158455</v>
      </c>
      <c r="Z34" s="91">
        <v>68.905519287006186</v>
      </c>
      <c r="AA34" s="39" t="str">
        <f t="shared" si="1"/>
        <v>Normal</v>
      </c>
    </row>
    <row r="35" spans="1:27" ht="15.75" x14ac:dyDescent="0.25">
      <c r="A35" s="72">
        <v>32</v>
      </c>
      <c r="B35" s="73" t="s">
        <v>309</v>
      </c>
      <c r="C35" s="72">
        <v>1</v>
      </c>
      <c r="D35" s="72" t="s">
        <v>26</v>
      </c>
      <c r="E35" s="72">
        <v>1</v>
      </c>
      <c r="F35" s="74">
        <v>42307</v>
      </c>
      <c r="G35" s="68">
        <v>44463</v>
      </c>
      <c r="H35" s="69">
        <f t="shared" si="2"/>
        <v>5</v>
      </c>
      <c r="I35" s="69">
        <f t="shared" si="3"/>
        <v>70</v>
      </c>
      <c r="J35" s="72">
        <v>20.2</v>
      </c>
      <c r="K35" s="72">
        <v>1.08</v>
      </c>
      <c r="L35" s="65">
        <f t="shared" si="4"/>
        <v>108</v>
      </c>
      <c r="M35" s="72">
        <f>100-40</f>
        <v>60</v>
      </c>
      <c r="N35" s="70">
        <f t="shared" si="5"/>
        <v>44.444444444444443</v>
      </c>
      <c r="O35" s="65">
        <v>0</v>
      </c>
      <c r="P35" s="65">
        <v>0</v>
      </c>
      <c r="Q35" s="71">
        <f t="shared" si="6"/>
        <v>17.318244170096019</v>
      </c>
      <c r="R35" s="34"/>
      <c r="S35" s="91">
        <v>1.242053410471214</v>
      </c>
      <c r="T35" s="91">
        <v>89.28915717504141</v>
      </c>
      <c r="U35" s="39" t="str">
        <f t="shared" si="7"/>
        <v>Normal</v>
      </c>
      <c r="V35" s="91">
        <v>-0.92667273389787208</v>
      </c>
      <c r="W35" s="91">
        <v>17.704823918034318</v>
      </c>
      <c r="X35" s="39" t="str">
        <f t="shared" si="0"/>
        <v>Normal</v>
      </c>
      <c r="Y35" s="116">
        <v>1.3638074990373166</v>
      </c>
      <c r="Z35" s="91">
        <v>91.368592024985446</v>
      </c>
      <c r="AA35" s="39" t="str">
        <f t="shared" si="1"/>
        <v>Obesidad</v>
      </c>
    </row>
    <row r="36" spans="1:27" ht="15.75" x14ac:dyDescent="0.25">
      <c r="A36" s="72">
        <v>33</v>
      </c>
      <c r="B36" s="73" t="s">
        <v>310</v>
      </c>
      <c r="C36" s="72">
        <v>1</v>
      </c>
      <c r="D36" s="72" t="s">
        <v>26</v>
      </c>
      <c r="E36" s="72">
        <v>1</v>
      </c>
      <c r="F36" s="74">
        <v>42095</v>
      </c>
      <c r="G36" s="68">
        <v>44463</v>
      </c>
      <c r="H36" s="69">
        <f t="shared" si="2"/>
        <v>6</v>
      </c>
      <c r="I36" s="69">
        <f t="shared" si="3"/>
        <v>77</v>
      </c>
      <c r="J36" s="72">
        <v>24.5</v>
      </c>
      <c r="K36" s="72">
        <v>1.21</v>
      </c>
      <c r="L36" s="65">
        <f t="shared" si="4"/>
        <v>121</v>
      </c>
      <c r="M36" s="72">
        <f>106-40</f>
        <v>66</v>
      </c>
      <c r="N36" s="70">
        <f t="shared" si="5"/>
        <v>45.454545454545453</v>
      </c>
      <c r="O36" s="65">
        <v>0</v>
      </c>
      <c r="P36" s="65">
        <v>0</v>
      </c>
      <c r="Q36" s="71">
        <f t="shared" si="6"/>
        <v>16.733829656444232</v>
      </c>
      <c r="R36" s="34"/>
      <c r="S36" s="91">
        <v>-0.470514655313854</v>
      </c>
      <c r="T36" s="91">
        <v>31.899368311230848</v>
      </c>
      <c r="U36" s="39" t="str">
        <f t="shared" si="7"/>
        <v>Normal</v>
      </c>
      <c r="V36" s="91">
        <v>-0.82751839283936213</v>
      </c>
      <c r="W36" s="91">
        <v>20.397165074356817</v>
      </c>
      <c r="X36" s="39" t="str">
        <f t="shared" si="0"/>
        <v>Normal</v>
      </c>
      <c r="Y36" s="116">
        <v>0.92017901842181438</v>
      </c>
      <c r="Z36" s="91">
        <v>82.126039159502653</v>
      </c>
      <c r="AA36" s="39" t="str">
        <f t="shared" si="1"/>
        <v>Normal</v>
      </c>
    </row>
    <row r="37" spans="1:27" ht="15.75" x14ac:dyDescent="0.25">
      <c r="A37" s="72">
        <v>34</v>
      </c>
      <c r="B37" s="73" t="s">
        <v>311</v>
      </c>
      <c r="C37" s="72">
        <v>1</v>
      </c>
      <c r="D37" s="72" t="s">
        <v>26</v>
      </c>
      <c r="E37" s="72">
        <v>1</v>
      </c>
      <c r="F37" s="74">
        <v>42235</v>
      </c>
      <c r="G37" s="68">
        <v>44463</v>
      </c>
      <c r="H37" s="69">
        <f t="shared" si="2"/>
        <v>6</v>
      </c>
      <c r="I37" s="69">
        <f t="shared" si="3"/>
        <v>73</v>
      </c>
      <c r="J37" s="72">
        <v>20.2</v>
      </c>
      <c r="K37" s="72">
        <v>1.1599999999999999</v>
      </c>
      <c r="L37" s="65">
        <f t="shared" si="4"/>
        <v>115.99999999999999</v>
      </c>
      <c r="M37" s="72">
        <f>101.6-40</f>
        <v>61.599999999999994</v>
      </c>
      <c r="N37" s="70">
        <f t="shared" si="5"/>
        <v>46.896551724137929</v>
      </c>
      <c r="O37" s="65">
        <v>0</v>
      </c>
      <c r="P37" s="65">
        <v>0</v>
      </c>
      <c r="Q37" s="71">
        <f t="shared" si="6"/>
        <v>15.011890606420929</v>
      </c>
      <c r="R37" s="34"/>
      <c r="S37" s="91">
        <v>-0.89635094433121743</v>
      </c>
      <c r="T37" s="91">
        <v>18.503267921199996</v>
      </c>
      <c r="U37" s="39" t="str">
        <f t="shared" si="7"/>
        <v>Normal</v>
      </c>
      <c r="V37" s="91">
        <v>9.2043211579359366E-2</v>
      </c>
      <c r="W37" s="91">
        <v>53.666814629445255</v>
      </c>
      <c r="X37" s="39" t="str">
        <f t="shared" si="0"/>
        <v>Normal</v>
      </c>
      <c r="Y37" s="116">
        <v>-0.2332775352095508</v>
      </c>
      <c r="Z37" s="91">
        <v>40.777295086932732</v>
      </c>
      <c r="AA37" s="39" t="str">
        <f t="shared" si="1"/>
        <v>Normal</v>
      </c>
    </row>
    <row r="38" spans="1:27" ht="15.75" x14ac:dyDescent="0.25">
      <c r="A38" s="72">
        <v>35</v>
      </c>
      <c r="B38" s="73" t="s">
        <v>312</v>
      </c>
      <c r="C38" s="72">
        <v>1</v>
      </c>
      <c r="D38" s="72" t="s">
        <v>26</v>
      </c>
      <c r="E38" s="72">
        <v>1</v>
      </c>
      <c r="F38" s="74">
        <v>42315</v>
      </c>
      <c r="G38" s="68">
        <v>44463</v>
      </c>
      <c r="H38" s="69">
        <f t="shared" si="2"/>
        <v>5</v>
      </c>
      <c r="I38" s="69">
        <f t="shared" si="3"/>
        <v>70</v>
      </c>
      <c r="J38" s="72">
        <v>20.399999999999999</v>
      </c>
      <c r="K38" s="72">
        <v>1.1200000000000001</v>
      </c>
      <c r="L38" s="65">
        <f t="shared" si="4"/>
        <v>112.00000000000001</v>
      </c>
      <c r="M38" s="72">
        <f>101.6-40</f>
        <v>61.599999999999994</v>
      </c>
      <c r="N38" s="70">
        <f t="shared" si="5"/>
        <v>45.000000000000014</v>
      </c>
      <c r="O38" s="65">
        <v>0</v>
      </c>
      <c r="P38" s="65">
        <v>0</v>
      </c>
      <c r="Q38" s="71">
        <f t="shared" si="6"/>
        <v>16.262755102040813</v>
      </c>
      <c r="R38" s="34"/>
      <c r="S38" s="91">
        <v>0.62568032205316293</v>
      </c>
      <c r="T38" s="91">
        <v>73.423767862051506</v>
      </c>
      <c r="U38" s="39" t="str">
        <f t="shared" si="7"/>
        <v>Normal</v>
      </c>
      <c r="V38" s="91">
        <v>-0.5808215638148756</v>
      </c>
      <c r="W38" s="91">
        <v>28.068036007804487</v>
      </c>
      <c r="X38" s="39" t="str">
        <f t="shared" si="0"/>
        <v>Normal</v>
      </c>
      <c r="Y38" s="116">
        <v>0.69627218010945169</v>
      </c>
      <c r="Z38" s="91">
        <v>75.687080398429998</v>
      </c>
      <c r="AA38" s="39" t="str">
        <f t="shared" si="1"/>
        <v>Normal</v>
      </c>
    </row>
    <row r="39" spans="1:27" ht="15.75" x14ac:dyDescent="0.25">
      <c r="A39" s="72">
        <v>36</v>
      </c>
      <c r="B39" s="73" t="s">
        <v>313</v>
      </c>
      <c r="C39" s="72">
        <v>1</v>
      </c>
      <c r="D39" s="72" t="s">
        <v>26</v>
      </c>
      <c r="E39" s="72">
        <v>1</v>
      </c>
      <c r="F39" s="74">
        <v>42277</v>
      </c>
      <c r="G39" s="68">
        <v>44463</v>
      </c>
      <c r="H39" s="69">
        <f t="shared" si="2"/>
        <v>5</v>
      </c>
      <c r="I39" s="69">
        <f t="shared" si="3"/>
        <v>71</v>
      </c>
      <c r="J39" s="72">
        <v>22.2</v>
      </c>
      <c r="K39" s="72">
        <v>1.18</v>
      </c>
      <c r="L39" s="65">
        <f t="shared" si="4"/>
        <v>118</v>
      </c>
      <c r="M39" s="72">
        <f>105.5-40</f>
        <v>65.5</v>
      </c>
      <c r="N39" s="70">
        <f t="shared" si="5"/>
        <v>44.49152542372881</v>
      </c>
      <c r="O39" s="65">
        <v>0</v>
      </c>
      <c r="P39" s="65">
        <v>0</v>
      </c>
      <c r="Q39" s="71">
        <f t="shared" si="6"/>
        <v>15.943694340706694</v>
      </c>
      <c r="R39" s="34"/>
      <c r="S39" s="91">
        <v>-9.2904188652212061E-2</v>
      </c>
      <c r="T39" s="91">
        <v>46.298983903956625</v>
      </c>
      <c r="U39" s="39" t="str">
        <f t="shared" si="7"/>
        <v>Normal</v>
      </c>
      <c r="V39" s="91">
        <v>-0.89718214270705421</v>
      </c>
      <c r="W39" s="91">
        <v>18.481086617970494</v>
      </c>
      <c r="X39" s="39" t="str">
        <f t="shared" si="0"/>
        <v>Normal</v>
      </c>
      <c r="Y39" s="116">
        <v>0.46940730706825118</v>
      </c>
      <c r="Z39" s="91">
        <v>68.061073681215262</v>
      </c>
      <c r="AA39" s="39" t="str">
        <f t="shared" si="1"/>
        <v>Normal</v>
      </c>
    </row>
    <row r="40" spans="1:27" ht="15.75" x14ac:dyDescent="0.25">
      <c r="A40" s="72">
        <v>37</v>
      </c>
      <c r="B40" s="73" t="s">
        <v>314</v>
      </c>
      <c r="C40" s="72">
        <v>1</v>
      </c>
      <c r="D40" s="72" t="s">
        <v>26</v>
      </c>
      <c r="E40" s="72">
        <v>2</v>
      </c>
      <c r="F40" s="74">
        <v>42270</v>
      </c>
      <c r="G40" s="68">
        <v>44463</v>
      </c>
      <c r="H40" s="69">
        <f t="shared" si="2"/>
        <v>6</v>
      </c>
      <c r="I40" s="69">
        <f t="shared" si="3"/>
        <v>72</v>
      </c>
      <c r="J40" s="72">
        <v>20.6</v>
      </c>
      <c r="K40" s="72">
        <v>1.1499999999999999</v>
      </c>
      <c r="L40" s="65">
        <f t="shared" si="4"/>
        <v>114.99999999999999</v>
      </c>
      <c r="M40" s="72">
        <f>102.7-40</f>
        <v>62.7</v>
      </c>
      <c r="N40" s="70">
        <f t="shared" si="5"/>
        <v>45.478260869565204</v>
      </c>
      <c r="O40" s="65">
        <v>0</v>
      </c>
      <c r="P40" s="65">
        <v>0</v>
      </c>
      <c r="Q40" s="71">
        <f t="shared" si="6"/>
        <v>15.576559546313803</v>
      </c>
      <c r="R40" s="34"/>
      <c r="S40" s="91">
        <v>-0.61028419087743091</v>
      </c>
      <c r="T40" s="91">
        <v>27.083678375208336</v>
      </c>
      <c r="U40" s="39" t="str">
        <f t="shared" si="7"/>
        <v>Normal</v>
      </c>
      <c r="V40" s="91">
        <v>-0.9632523432754162</v>
      </c>
      <c r="W40" s="91">
        <v>16.771045147430101</v>
      </c>
      <c r="X40" s="39" t="str">
        <f t="shared" si="0"/>
        <v>Normal</v>
      </c>
      <c r="Y40" s="116">
        <v>0.19308076128005452</v>
      </c>
      <c r="Z40" s="91">
        <v>57.655214028723293</v>
      </c>
      <c r="AA40" s="39" t="str">
        <f t="shared" si="1"/>
        <v>Normal</v>
      </c>
    </row>
    <row r="41" spans="1:27" ht="15.75" x14ac:dyDescent="0.25">
      <c r="A41" s="72">
        <v>38</v>
      </c>
      <c r="B41" s="73" t="s">
        <v>315</v>
      </c>
      <c r="C41" s="72">
        <v>1</v>
      </c>
      <c r="D41" s="72" t="s">
        <v>26</v>
      </c>
      <c r="E41" s="72">
        <v>1</v>
      </c>
      <c r="F41" s="74">
        <v>42290</v>
      </c>
      <c r="G41" s="68">
        <v>44463</v>
      </c>
      <c r="H41" s="69">
        <f t="shared" si="2"/>
        <v>5</v>
      </c>
      <c r="I41" s="69">
        <f t="shared" si="3"/>
        <v>71</v>
      </c>
      <c r="J41" s="72">
        <v>18.7</v>
      </c>
      <c r="K41" s="72">
        <v>1.1200000000000001</v>
      </c>
      <c r="L41" s="65">
        <f t="shared" si="4"/>
        <v>112.00000000000001</v>
      </c>
      <c r="M41" s="72">
        <f>102.5-40</f>
        <v>62.5</v>
      </c>
      <c r="N41" s="70">
        <f t="shared" si="5"/>
        <v>44.196428571428584</v>
      </c>
      <c r="O41" s="65">
        <v>0</v>
      </c>
      <c r="P41" s="65">
        <v>0</v>
      </c>
      <c r="Q41" s="71">
        <f t="shared" si="6"/>
        <v>14.90752551020408</v>
      </c>
      <c r="R41" s="34"/>
      <c r="S41" s="91">
        <v>0.51978555844963847</v>
      </c>
      <c r="T41" s="91">
        <v>69.839347701209888</v>
      </c>
      <c r="U41" s="39" t="str">
        <f t="shared" si="7"/>
        <v>Normal</v>
      </c>
      <c r="V41" s="91">
        <v>-1.082585812822479</v>
      </c>
      <c r="W41" s="91">
        <v>13.949615363769469</v>
      </c>
      <c r="X41" s="39" t="str">
        <f t="shared" si="0"/>
        <v>Normal</v>
      </c>
      <c r="Y41" s="116">
        <v>-0.30142457883235269</v>
      </c>
      <c r="Z41" s="91">
        <v>38.154537706908521</v>
      </c>
      <c r="AA41" s="39" t="str">
        <f t="shared" si="1"/>
        <v>Normal</v>
      </c>
    </row>
    <row r="42" spans="1:27" ht="15.75" x14ac:dyDescent="0.25">
      <c r="A42" s="72">
        <v>39</v>
      </c>
      <c r="B42" s="73" t="s">
        <v>316</v>
      </c>
      <c r="C42" s="72">
        <v>1</v>
      </c>
      <c r="D42" s="72" t="s">
        <v>26</v>
      </c>
      <c r="E42" s="72">
        <v>2</v>
      </c>
      <c r="F42" s="74">
        <v>42176</v>
      </c>
      <c r="G42" s="68">
        <v>44463</v>
      </c>
      <c r="H42" s="69">
        <f t="shared" si="2"/>
        <v>6</v>
      </c>
      <c r="I42" s="69">
        <f t="shared" si="3"/>
        <v>75</v>
      </c>
      <c r="J42" s="72">
        <v>23.5</v>
      </c>
      <c r="K42" s="72">
        <v>1.18</v>
      </c>
      <c r="L42" s="65">
        <f t="shared" si="4"/>
        <v>118</v>
      </c>
      <c r="M42" s="72">
        <f>104-40</f>
        <v>64</v>
      </c>
      <c r="N42" s="70">
        <f t="shared" si="5"/>
        <v>45.762711864406782</v>
      </c>
      <c r="O42" s="65">
        <v>0</v>
      </c>
      <c r="P42" s="65">
        <v>0</v>
      </c>
      <c r="Q42" s="71">
        <f t="shared" si="6"/>
        <v>16.877334099396727</v>
      </c>
      <c r="R42" s="34"/>
      <c r="S42" s="91">
        <v>-0.68282824152542509</v>
      </c>
      <c r="T42" s="91">
        <v>24.735769090530908</v>
      </c>
      <c r="U42" s="39" t="str">
        <f t="shared" si="7"/>
        <v>Normal</v>
      </c>
      <c r="V42" s="91">
        <v>-0.76793832504086779</v>
      </c>
      <c r="W42" s="91">
        <v>22.126191350594475</v>
      </c>
      <c r="X42" s="39" t="str">
        <f t="shared" si="0"/>
        <v>Normal</v>
      </c>
      <c r="Y42" s="116">
        <v>0.90397927367922881</v>
      </c>
      <c r="Z42" s="91">
        <v>81.699680414779252</v>
      </c>
      <c r="AA42" s="39" t="str">
        <f t="shared" si="1"/>
        <v>Normal</v>
      </c>
    </row>
    <row r="43" spans="1:27" ht="15.75" x14ac:dyDescent="0.25">
      <c r="A43" s="72">
        <v>40</v>
      </c>
      <c r="B43" s="73" t="s">
        <v>317</v>
      </c>
      <c r="C43" s="72">
        <v>1</v>
      </c>
      <c r="D43" s="72" t="s">
        <v>26</v>
      </c>
      <c r="E43" s="72">
        <v>1</v>
      </c>
      <c r="F43" s="74">
        <v>42337</v>
      </c>
      <c r="G43" s="68">
        <v>44463</v>
      </c>
      <c r="H43" s="69">
        <f t="shared" si="2"/>
        <v>5</v>
      </c>
      <c r="I43" s="69">
        <f t="shared" si="3"/>
        <v>69</v>
      </c>
      <c r="J43" s="72">
        <v>22</v>
      </c>
      <c r="K43" s="72">
        <v>1.1299999999999999</v>
      </c>
      <c r="L43" s="65">
        <f t="shared" si="4"/>
        <v>112.99999999999999</v>
      </c>
      <c r="M43" s="72">
        <f>101.8-40</f>
        <v>61.8</v>
      </c>
      <c r="N43" s="70">
        <f t="shared" si="5"/>
        <v>45.309734513274329</v>
      </c>
      <c r="O43" s="65">
        <v>0</v>
      </c>
      <c r="P43" s="65">
        <v>0</v>
      </c>
      <c r="Q43" s="71">
        <f t="shared" si="6"/>
        <v>17.229227034223513</v>
      </c>
      <c r="R43" s="34"/>
      <c r="S43" s="91">
        <v>0.7339780348286028</v>
      </c>
      <c r="T43" s="91">
        <v>76.851893737323905</v>
      </c>
      <c r="U43" s="39" t="str">
        <f t="shared" si="7"/>
        <v>Normal</v>
      </c>
      <c r="V43" s="91">
        <v>-0.39000461903616351</v>
      </c>
      <c r="W43" s="91">
        <v>34.826656568001226</v>
      </c>
      <c r="X43" s="39" t="str">
        <f t="shared" si="0"/>
        <v>Normal</v>
      </c>
      <c r="Y43" s="116">
        <v>1.321791404476752</v>
      </c>
      <c r="Z43" s="91">
        <v>90.688118931234399</v>
      </c>
      <c r="AA43" s="39" t="str">
        <f t="shared" si="1"/>
        <v>Obesidad</v>
      </c>
    </row>
    <row r="44" spans="1:27" ht="15.75" x14ac:dyDescent="0.25">
      <c r="A44" s="72">
        <v>41</v>
      </c>
      <c r="B44" s="66" t="s">
        <v>318</v>
      </c>
      <c r="C44" s="72">
        <v>1</v>
      </c>
      <c r="D44" s="72" t="s">
        <v>26</v>
      </c>
      <c r="E44" s="72">
        <v>2</v>
      </c>
      <c r="F44" s="68">
        <v>42016</v>
      </c>
      <c r="G44" s="68">
        <v>44463</v>
      </c>
      <c r="H44" s="69">
        <f t="shared" si="2"/>
        <v>6</v>
      </c>
      <c r="I44" s="69">
        <f t="shared" si="3"/>
        <v>80</v>
      </c>
      <c r="J44" s="72">
        <v>29.1</v>
      </c>
      <c r="K44" s="72">
        <v>1.18</v>
      </c>
      <c r="L44" s="65">
        <f t="shared" si="4"/>
        <v>118</v>
      </c>
      <c r="M44" s="72">
        <f>105-40</f>
        <v>65</v>
      </c>
      <c r="N44" s="70">
        <f t="shared" si="5"/>
        <v>44.915254237288138</v>
      </c>
      <c r="O44" s="65">
        <v>0</v>
      </c>
      <c r="P44" s="65">
        <v>0</v>
      </c>
      <c r="Q44" s="71">
        <f t="shared" si="6"/>
        <v>20.899166906061481</v>
      </c>
      <c r="R44" s="34"/>
      <c r="S44" s="91">
        <v>0.57514134049879284</v>
      </c>
      <c r="T44" s="91">
        <v>71.740214455094474</v>
      </c>
      <c r="U44" s="39" t="str">
        <f t="shared" si="7"/>
        <v>Normal</v>
      </c>
      <c r="V44" s="91">
        <v>-1.3537745906753984</v>
      </c>
      <c r="W44" s="91">
        <v>8.7904151261252839</v>
      </c>
      <c r="X44" s="39" t="str">
        <f t="shared" si="0"/>
        <v>Normal</v>
      </c>
      <c r="Y44" s="116">
        <v>2.4437094321203072</v>
      </c>
      <c r="Z44" s="91">
        <v>99.273143530249413</v>
      </c>
      <c r="AA44" s="39" t="str">
        <f t="shared" si="1"/>
        <v>Obesidad</v>
      </c>
    </row>
    <row r="45" spans="1:27" ht="15.75" x14ac:dyDescent="0.25">
      <c r="A45" s="72">
        <v>42</v>
      </c>
      <c r="B45" s="66" t="s">
        <v>319</v>
      </c>
      <c r="C45" s="72">
        <v>1</v>
      </c>
      <c r="D45" s="72" t="s">
        <v>26</v>
      </c>
      <c r="E45" s="72">
        <v>1</v>
      </c>
      <c r="F45" s="74">
        <v>42323</v>
      </c>
      <c r="G45" s="68">
        <v>44463</v>
      </c>
      <c r="H45" s="69">
        <f t="shared" si="2"/>
        <v>5</v>
      </c>
      <c r="I45" s="69">
        <f t="shared" si="3"/>
        <v>70</v>
      </c>
      <c r="J45" s="72">
        <v>20.6</v>
      </c>
      <c r="K45" s="72">
        <v>1.22</v>
      </c>
      <c r="L45" s="65">
        <f t="shared" si="4"/>
        <v>122</v>
      </c>
      <c r="M45" s="72">
        <f>106-40</f>
        <v>66</v>
      </c>
      <c r="N45" s="70">
        <f t="shared" si="5"/>
        <v>45.901639344262293</v>
      </c>
      <c r="O45" s="65">
        <v>0</v>
      </c>
      <c r="P45" s="65">
        <v>0</v>
      </c>
      <c r="Q45" s="71">
        <f t="shared" si="6"/>
        <v>13.840365493147004</v>
      </c>
      <c r="R45" s="34"/>
      <c r="S45" s="91">
        <v>-0.60706585478293662</v>
      </c>
      <c r="T45" s="91">
        <v>27.190360458181328</v>
      </c>
      <c r="U45" s="39" t="str">
        <f t="shared" si="7"/>
        <v>Normal</v>
      </c>
      <c r="V45" s="91">
        <v>-2.9251751918442533E-2</v>
      </c>
      <c r="W45" s="91">
        <v>48.833190340460462</v>
      </c>
      <c r="X45" s="39" t="str">
        <f t="shared" si="0"/>
        <v>Normal</v>
      </c>
      <c r="Y45" s="116">
        <v>-1.2092088636664717</v>
      </c>
      <c r="Z45" s="91">
        <v>11.329130664187586</v>
      </c>
      <c r="AA45" s="39" t="str">
        <f t="shared" si="1"/>
        <v>Bajo Peso</v>
      </c>
    </row>
    <row r="46" spans="1:27" ht="15.75" x14ac:dyDescent="0.25">
      <c r="A46" s="72">
        <v>43</v>
      </c>
      <c r="B46" s="66" t="s">
        <v>320</v>
      </c>
      <c r="C46" s="72">
        <v>1</v>
      </c>
      <c r="D46" s="72" t="s">
        <v>26</v>
      </c>
      <c r="E46" s="72">
        <v>2</v>
      </c>
      <c r="F46" s="74">
        <v>42324</v>
      </c>
      <c r="G46" s="68">
        <v>44463</v>
      </c>
      <c r="H46" s="69">
        <f t="shared" si="2"/>
        <v>5</v>
      </c>
      <c r="I46" s="69">
        <f t="shared" si="3"/>
        <v>70</v>
      </c>
      <c r="J46" s="72">
        <v>18.5</v>
      </c>
      <c r="K46" s="72">
        <v>1.1200000000000001</v>
      </c>
      <c r="L46" s="65">
        <f t="shared" si="4"/>
        <v>112.00000000000001</v>
      </c>
      <c r="M46" s="72">
        <f>101-40</f>
        <v>61</v>
      </c>
      <c r="N46" s="70">
        <f t="shared" si="5"/>
        <v>45.535714285714292</v>
      </c>
      <c r="O46" s="65">
        <v>0</v>
      </c>
      <c r="P46" s="65">
        <v>0</v>
      </c>
      <c r="Q46" s="71">
        <f t="shared" si="6"/>
        <v>14.748086734693876</v>
      </c>
      <c r="S46" s="91">
        <v>0.75984409082629767</v>
      </c>
      <c r="T46" s="91">
        <v>77.632610785199446</v>
      </c>
      <c r="U46" s="39" t="str">
        <f t="shared" si="7"/>
        <v>Normal</v>
      </c>
      <c r="V46" s="91">
        <v>-0.29618619821030923</v>
      </c>
      <c r="W46" s="91">
        <v>38.354394423024921</v>
      </c>
      <c r="X46" s="39" t="str">
        <f t="shared" si="0"/>
        <v>Normal</v>
      </c>
      <c r="Y46" s="116">
        <v>-0.3432680599333911</v>
      </c>
      <c r="Z46" s="91">
        <v>36.56984035420782</v>
      </c>
      <c r="AA46" s="39" t="str">
        <f t="shared" si="1"/>
        <v>Normal</v>
      </c>
    </row>
    <row r="47" spans="1:27" ht="15.75" x14ac:dyDescent="0.25">
      <c r="A47" s="72">
        <v>44</v>
      </c>
      <c r="B47" s="66" t="s">
        <v>321</v>
      </c>
      <c r="C47" s="72">
        <v>1</v>
      </c>
      <c r="D47" s="72" t="s">
        <v>26</v>
      </c>
      <c r="E47" s="72">
        <v>2</v>
      </c>
      <c r="F47" s="74">
        <v>42278</v>
      </c>
      <c r="G47" s="68">
        <v>44463</v>
      </c>
      <c r="H47" s="69">
        <f t="shared" si="2"/>
        <v>5</v>
      </c>
      <c r="I47" s="69">
        <f t="shared" si="3"/>
        <v>71</v>
      </c>
      <c r="J47" s="72">
        <v>19.399999999999999</v>
      </c>
      <c r="K47" s="72">
        <v>1.18</v>
      </c>
      <c r="L47" s="65">
        <f t="shared" si="4"/>
        <v>118</v>
      </c>
      <c r="M47" s="72">
        <f>103-40</f>
        <v>63</v>
      </c>
      <c r="N47" s="70">
        <f t="shared" si="5"/>
        <v>46.610169491525419</v>
      </c>
      <c r="O47" s="65">
        <v>0</v>
      </c>
      <c r="P47" s="65">
        <v>0</v>
      </c>
      <c r="Q47" s="71">
        <f t="shared" si="6"/>
        <v>13.932777937374318</v>
      </c>
      <c r="S47" s="91">
        <v>1.2493508453750826</v>
      </c>
      <c r="T47" s="91">
        <v>89.423161072454576</v>
      </c>
      <c r="U47" s="39" t="str">
        <f t="shared" si="7"/>
        <v>Normal</v>
      </c>
      <c r="V47" s="91">
        <v>0.37007527995348311</v>
      </c>
      <c r="W47" s="91">
        <v>64.433679983009199</v>
      </c>
      <c r="X47" s="39" t="str">
        <f t="shared" si="0"/>
        <v>Normal</v>
      </c>
      <c r="Y47" s="116">
        <v>-0.94425697240546858</v>
      </c>
      <c r="Z47" s="91">
        <v>17.251917392311789</v>
      </c>
      <c r="AA47" s="39" t="str">
        <f t="shared" si="1"/>
        <v>Normal</v>
      </c>
    </row>
    <row r="48" spans="1:27" ht="15.75" x14ac:dyDescent="0.25">
      <c r="A48" s="72">
        <v>45</v>
      </c>
      <c r="B48" s="66" t="s">
        <v>322</v>
      </c>
      <c r="C48" s="72">
        <v>1</v>
      </c>
      <c r="D48" s="72" t="s">
        <v>26</v>
      </c>
      <c r="E48" s="72">
        <v>2</v>
      </c>
      <c r="F48" s="74">
        <v>41690</v>
      </c>
      <c r="G48" s="68">
        <v>44463</v>
      </c>
      <c r="H48" s="69">
        <f t="shared" si="2"/>
        <v>7</v>
      </c>
      <c r="I48" s="69">
        <f t="shared" si="3"/>
        <v>91</v>
      </c>
      <c r="J48" s="72">
        <v>21.4</v>
      </c>
      <c r="K48" s="72">
        <v>1.21</v>
      </c>
      <c r="L48" s="65">
        <f t="shared" si="4"/>
        <v>121</v>
      </c>
      <c r="M48" s="72">
        <f>105.2-40</f>
        <v>65.2</v>
      </c>
      <c r="N48" s="70">
        <f t="shared" si="5"/>
        <v>46.115702479338836</v>
      </c>
      <c r="O48" s="65">
        <v>0</v>
      </c>
      <c r="P48" s="65">
        <v>0</v>
      </c>
      <c r="Q48" s="71">
        <f t="shared" si="6"/>
        <v>14.616487944812512</v>
      </c>
      <c r="S48" s="91">
        <v>-2.6744975493369747</v>
      </c>
      <c r="T48" s="91">
        <v>0.37420661610475248</v>
      </c>
      <c r="U48" s="39" t="str">
        <f t="shared" si="7"/>
        <v>Desnutricion</v>
      </c>
      <c r="V48" s="91">
        <v>-1.0096809178921233</v>
      </c>
      <c r="W48" s="91">
        <v>15.632409380719</v>
      </c>
      <c r="X48" s="39" t="str">
        <f t="shared" si="0"/>
        <v>Normal</v>
      </c>
      <c r="Y48" s="116">
        <v>-0.58185538569070361</v>
      </c>
      <c r="Z48" s="91">
        <v>28.033204690440549</v>
      </c>
      <c r="AA48" s="39" t="str">
        <f t="shared" si="1"/>
        <v>Normal</v>
      </c>
    </row>
    <row r="49" spans="1:27" ht="15.75" x14ac:dyDescent="0.25">
      <c r="A49" s="72">
        <v>46</v>
      </c>
      <c r="B49" s="66" t="s">
        <v>323</v>
      </c>
      <c r="C49" s="72">
        <v>1</v>
      </c>
      <c r="D49" s="72" t="s">
        <v>26</v>
      </c>
      <c r="E49" s="72">
        <v>1</v>
      </c>
      <c r="F49" s="74">
        <v>42291</v>
      </c>
      <c r="G49" s="68">
        <v>44463</v>
      </c>
      <c r="H49" s="69">
        <f t="shared" si="2"/>
        <v>5</v>
      </c>
      <c r="I49" s="69">
        <f t="shared" si="3"/>
        <v>71</v>
      </c>
      <c r="J49" s="72">
        <v>21.9</v>
      </c>
      <c r="K49" s="72">
        <v>1.0900000000000001</v>
      </c>
      <c r="L49" s="65">
        <f t="shared" si="4"/>
        <v>109.00000000000001</v>
      </c>
      <c r="M49" s="72">
        <f>98.1-40</f>
        <v>58.099999999999994</v>
      </c>
      <c r="N49" s="70">
        <f t="shared" si="5"/>
        <v>46.697247706422033</v>
      </c>
      <c r="O49" s="65">
        <v>0</v>
      </c>
      <c r="P49" s="65">
        <v>0</v>
      </c>
      <c r="Q49" s="71">
        <f t="shared" si="6"/>
        <v>18.432791852537662</v>
      </c>
      <c r="S49" s="91">
        <v>-1.5225135985565221</v>
      </c>
      <c r="T49" s="91">
        <v>6.3940220351556665</v>
      </c>
      <c r="U49" s="39" t="str">
        <f t="shared" si="7"/>
        <v>Normal</v>
      </c>
      <c r="V49" s="91">
        <v>0.44779244770265109</v>
      </c>
      <c r="W49" s="91">
        <v>67.28485027897483</v>
      </c>
      <c r="X49" s="39" t="str">
        <f t="shared" si="0"/>
        <v>Normal</v>
      </c>
      <c r="Y49" s="116">
        <v>1.9717335980593174</v>
      </c>
      <c r="Z49" s="91">
        <v>97.567998696499103</v>
      </c>
      <c r="AA49" s="39" t="str">
        <f t="shared" si="1"/>
        <v>Obesidad</v>
      </c>
    </row>
    <row r="50" spans="1:27" ht="15.75" x14ac:dyDescent="0.25">
      <c r="A50" s="72">
        <v>47</v>
      </c>
      <c r="B50" s="66" t="s">
        <v>324</v>
      </c>
      <c r="C50" s="72">
        <v>1</v>
      </c>
      <c r="D50" s="72" t="s">
        <v>26</v>
      </c>
      <c r="E50" s="72">
        <v>2</v>
      </c>
      <c r="F50" s="74">
        <v>42249</v>
      </c>
      <c r="G50" s="68">
        <v>44463</v>
      </c>
      <c r="H50" s="69">
        <f t="shared" si="2"/>
        <v>6</v>
      </c>
      <c r="I50" s="69">
        <f t="shared" si="3"/>
        <v>72</v>
      </c>
      <c r="J50" s="72">
        <v>17.7</v>
      </c>
      <c r="K50" s="72">
        <v>1.08</v>
      </c>
      <c r="L50" s="65">
        <f t="shared" si="4"/>
        <v>108</v>
      </c>
      <c r="M50" s="72">
        <f>99.5-40</f>
        <v>59.5</v>
      </c>
      <c r="N50" s="70">
        <f t="shared" si="5"/>
        <v>44.907407407407405</v>
      </c>
      <c r="O50" s="65">
        <v>0</v>
      </c>
      <c r="P50" s="65">
        <v>0</v>
      </c>
      <c r="Q50" s="71">
        <f t="shared" si="6"/>
        <v>15.174897119341562</v>
      </c>
      <c r="S50" s="91">
        <v>-2.4298858451273865E-2</v>
      </c>
      <c r="T50" s="91">
        <v>49.030711184364634</v>
      </c>
      <c r="U50" s="39" t="str">
        <f t="shared" si="7"/>
        <v>Normal</v>
      </c>
      <c r="V50" s="91">
        <v>-1.3592549417224753</v>
      </c>
      <c r="W50" s="91">
        <v>8.7032908372192015</v>
      </c>
      <c r="X50" s="39" t="str">
        <f t="shared" si="0"/>
        <v>Normal</v>
      </c>
      <c r="Y50" s="116">
        <v>-6.129372885708869E-2</v>
      </c>
      <c r="Z50" s="91">
        <v>47.556264253032801</v>
      </c>
      <c r="AA50" s="39" t="str">
        <f t="shared" si="1"/>
        <v>Normal</v>
      </c>
    </row>
    <row r="51" spans="1:27" ht="15.75" x14ac:dyDescent="0.25">
      <c r="A51" s="72">
        <v>48</v>
      </c>
      <c r="B51" s="73" t="s">
        <v>325</v>
      </c>
      <c r="C51" s="72">
        <v>1</v>
      </c>
      <c r="D51" s="72" t="s">
        <v>26</v>
      </c>
      <c r="E51" s="72">
        <v>2</v>
      </c>
      <c r="F51" s="74">
        <v>42065</v>
      </c>
      <c r="G51" s="68">
        <v>44463</v>
      </c>
      <c r="H51" s="69">
        <f t="shared" si="2"/>
        <v>6</v>
      </c>
      <c r="I51" s="69">
        <f t="shared" si="3"/>
        <v>78</v>
      </c>
      <c r="J51" s="72">
        <v>18.8</v>
      </c>
      <c r="K51" s="72">
        <v>1.1499999999999999</v>
      </c>
      <c r="L51" s="65">
        <f t="shared" si="4"/>
        <v>114.99999999999999</v>
      </c>
      <c r="M51" s="72">
        <f>103.6-40</f>
        <v>63.599999999999994</v>
      </c>
      <c r="N51" s="70">
        <f t="shared" si="5"/>
        <v>44.695652173913039</v>
      </c>
      <c r="O51" s="65">
        <v>0</v>
      </c>
      <c r="P51" s="65">
        <v>0</v>
      </c>
      <c r="Q51" s="71">
        <f t="shared" si="6"/>
        <v>14.215500945179587</v>
      </c>
      <c r="S51" s="91">
        <v>-0.75092763122766371</v>
      </c>
      <c r="T51" s="91">
        <v>22.6348105081744</v>
      </c>
      <c r="U51" s="39" t="str">
        <f t="shared" si="7"/>
        <v>Normal</v>
      </c>
      <c r="V51" s="91">
        <v>-1.507542193053288</v>
      </c>
      <c r="W51" s="91">
        <v>6.5835868637315231</v>
      </c>
      <c r="X51" s="39" t="str">
        <f t="shared" si="0"/>
        <v>Normal</v>
      </c>
      <c r="Y51" s="116">
        <v>-0.74689708149391698</v>
      </c>
      <c r="Z51" s="91">
        <v>22.756284389821001</v>
      </c>
      <c r="AA51" s="39" t="str">
        <f t="shared" si="1"/>
        <v>Normal</v>
      </c>
    </row>
    <row r="52" spans="1:27" ht="15.75" x14ac:dyDescent="0.25">
      <c r="A52" s="72">
        <v>49</v>
      </c>
      <c r="B52" s="73" t="s">
        <v>326</v>
      </c>
      <c r="C52" s="72">
        <v>1</v>
      </c>
      <c r="D52" s="72" t="s">
        <v>26</v>
      </c>
      <c r="E52" s="72">
        <v>2</v>
      </c>
      <c r="F52" s="74">
        <v>42122</v>
      </c>
      <c r="G52" s="68">
        <v>44463</v>
      </c>
      <c r="H52" s="69">
        <f t="shared" si="2"/>
        <v>6</v>
      </c>
      <c r="I52" s="69">
        <f t="shared" si="3"/>
        <v>76</v>
      </c>
      <c r="J52" s="72">
        <v>31</v>
      </c>
      <c r="K52" s="72">
        <v>1.1399999999999999</v>
      </c>
      <c r="L52" s="65">
        <f t="shared" si="4"/>
        <v>113.99999999999999</v>
      </c>
      <c r="M52" s="72">
        <f>103-40</f>
        <v>63</v>
      </c>
      <c r="N52" s="70">
        <f t="shared" si="5"/>
        <v>44.73684210526315</v>
      </c>
      <c r="O52" s="65">
        <v>0</v>
      </c>
      <c r="P52" s="65">
        <v>0</v>
      </c>
      <c r="Q52" s="71">
        <f t="shared" si="6"/>
        <v>23.853493382579259</v>
      </c>
      <c r="S52" s="91">
        <v>-5.9383537114395856E-3</v>
      </c>
      <c r="T52" s="91">
        <v>49.763095355222951</v>
      </c>
      <c r="U52" s="39" t="str">
        <f t="shared" si="7"/>
        <v>Normal</v>
      </c>
      <c r="V52" s="91">
        <v>-1.4786381504551176</v>
      </c>
      <c r="W52" s="91">
        <v>6.9618525338651027</v>
      </c>
      <c r="X52" s="39" t="str">
        <f t="shared" si="0"/>
        <v>Normal</v>
      </c>
      <c r="Y52" s="116">
        <v>3.3556159589118617</v>
      </c>
      <c r="Z52" s="91">
        <v>99.960405774737779</v>
      </c>
      <c r="AA52" s="39" t="str">
        <f t="shared" si="1"/>
        <v>Obesidad</v>
      </c>
    </row>
    <row r="53" spans="1:27" ht="15.75" x14ac:dyDescent="0.25">
      <c r="A53" s="72">
        <v>50</v>
      </c>
      <c r="B53" s="73" t="s">
        <v>327</v>
      </c>
      <c r="C53" s="72">
        <v>1</v>
      </c>
      <c r="D53" s="72" t="s">
        <v>26</v>
      </c>
      <c r="E53" s="72">
        <v>2</v>
      </c>
      <c r="F53" s="74">
        <v>42121</v>
      </c>
      <c r="G53" s="68">
        <v>44463</v>
      </c>
      <c r="H53" s="69">
        <f t="shared" si="2"/>
        <v>6</v>
      </c>
      <c r="I53" s="69">
        <f t="shared" si="3"/>
        <v>76</v>
      </c>
      <c r="J53" s="72">
        <v>26.8</v>
      </c>
      <c r="K53" s="72">
        <v>1.17</v>
      </c>
      <c r="L53" s="65">
        <f t="shared" si="4"/>
        <v>117</v>
      </c>
      <c r="M53" s="72">
        <f>102.6-40</f>
        <v>62.599999999999994</v>
      </c>
      <c r="N53" s="70">
        <f t="shared" si="5"/>
        <v>46.495726495726501</v>
      </c>
      <c r="O53" s="65">
        <v>0</v>
      </c>
      <c r="P53" s="65">
        <v>0</v>
      </c>
      <c r="Q53" s="71">
        <f t="shared" si="6"/>
        <v>19.57776316750676</v>
      </c>
      <c r="S53" s="91">
        <v>0.7578370432585565</v>
      </c>
      <c r="T53" s="91">
        <v>77.572572835999836</v>
      </c>
      <c r="U53" s="39" t="str">
        <f t="shared" si="7"/>
        <v>Normal</v>
      </c>
      <c r="V53" s="91">
        <v>-0.27064054812501454</v>
      </c>
      <c r="W53" s="91">
        <v>39.33337531778772</v>
      </c>
      <c r="X53" s="39" t="str">
        <f t="shared" si="0"/>
        <v>Normal</v>
      </c>
      <c r="Y53" s="116">
        <v>2.0702102028103844</v>
      </c>
      <c r="Z53" s="91">
        <v>98.078366788096687</v>
      </c>
      <c r="AA53" s="39" t="str">
        <f t="shared" si="1"/>
        <v>Obesidad</v>
      </c>
    </row>
    <row r="54" spans="1:27" ht="15.75" x14ac:dyDescent="0.25">
      <c r="A54" s="72">
        <v>51</v>
      </c>
      <c r="B54" s="73" t="s">
        <v>328</v>
      </c>
      <c r="C54" s="72">
        <v>1</v>
      </c>
      <c r="D54" s="72" t="s">
        <v>26</v>
      </c>
      <c r="E54" s="72">
        <v>2</v>
      </c>
      <c r="F54" s="74">
        <v>42129</v>
      </c>
      <c r="G54" s="68">
        <v>44463</v>
      </c>
      <c r="H54" s="69">
        <f t="shared" si="2"/>
        <v>6</v>
      </c>
      <c r="I54" s="69">
        <f t="shared" si="3"/>
        <v>76</v>
      </c>
      <c r="J54" s="72">
        <v>24.7</v>
      </c>
      <c r="K54" s="72">
        <v>1.21</v>
      </c>
      <c r="L54" s="65">
        <f t="shared" si="4"/>
        <v>121</v>
      </c>
      <c r="M54" s="72">
        <f>104.7-40</f>
        <v>64.7</v>
      </c>
      <c r="N54" s="70">
        <f t="shared" si="5"/>
        <v>46.528925619834709</v>
      </c>
      <c r="O54" s="65">
        <v>0</v>
      </c>
      <c r="P54" s="65">
        <v>0</v>
      </c>
      <c r="Q54" s="71">
        <f t="shared" si="6"/>
        <v>16.870432347517244</v>
      </c>
      <c r="S54" s="91">
        <v>1.7125562894710467</v>
      </c>
      <c r="T54" s="91">
        <v>95.660289970237287</v>
      </c>
      <c r="U54" s="39" t="str">
        <f t="shared" si="7"/>
        <v>Alto</v>
      </c>
      <c r="V54" s="91">
        <v>-0.24831927490557587</v>
      </c>
      <c r="W54" s="91">
        <v>40.194369337155322</v>
      </c>
      <c r="X54" s="39" t="str">
        <f t="shared" si="0"/>
        <v>Normal</v>
      </c>
      <c r="Y54" s="116">
        <v>0.89087652456571809</v>
      </c>
      <c r="Z54" s="91">
        <v>81.350229220447218</v>
      </c>
      <c r="AA54" s="39" t="str">
        <f t="shared" si="1"/>
        <v>Normal</v>
      </c>
    </row>
    <row r="55" spans="1:27" ht="15.75" x14ac:dyDescent="0.25">
      <c r="A55" s="72">
        <v>52</v>
      </c>
      <c r="B55" s="73" t="s">
        <v>329</v>
      </c>
      <c r="C55" s="72">
        <v>2</v>
      </c>
      <c r="D55" s="72" t="s">
        <v>7</v>
      </c>
      <c r="E55" s="72">
        <v>2</v>
      </c>
      <c r="F55" s="74">
        <v>41648</v>
      </c>
      <c r="G55" s="68">
        <v>44463</v>
      </c>
      <c r="H55" s="69">
        <f t="shared" si="2"/>
        <v>7</v>
      </c>
      <c r="I55" s="69">
        <f t="shared" si="3"/>
        <v>92</v>
      </c>
      <c r="J55" s="72">
        <v>29.6</v>
      </c>
      <c r="K55" s="72">
        <v>1.26</v>
      </c>
      <c r="L55" s="65">
        <f t="shared" si="4"/>
        <v>126</v>
      </c>
      <c r="M55" s="72">
        <f>106.8-40</f>
        <v>66.8</v>
      </c>
      <c r="N55" s="70">
        <f t="shared" si="5"/>
        <v>46.984126984126981</v>
      </c>
      <c r="O55" s="65">
        <v>0</v>
      </c>
      <c r="P55" s="65">
        <v>0</v>
      </c>
      <c r="Q55" s="71">
        <f t="shared" si="6"/>
        <v>18.644494834971024</v>
      </c>
      <c r="S55" s="91">
        <v>1.2966293765519399</v>
      </c>
      <c r="T55" s="91">
        <v>90.262063015818711</v>
      </c>
      <c r="U55" s="39" t="str">
        <f t="shared" si="7"/>
        <v>Normal</v>
      </c>
      <c r="V55" s="91">
        <v>-0.40675365362755983</v>
      </c>
      <c r="W55" s="91">
        <v>34.209446476209479</v>
      </c>
      <c r="X55" s="39" t="str">
        <f t="shared" si="0"/>
        <v>Normal</v>
      </c>
      <c r="Y55" s="116">
        <v>1.4387501108023328</v>
      </c>
      <c r="Z55" s="91">
        <v>92.488933201958233</v>
      </c>
      <c r="AA55" s="39" t="str">
        <f t="shared" si="1"/>
        <v>Obesidad</v>
      </c>
    </row>
    <row r="56" spans="1:27" ht="15.75" x14ac:dyDescent="0.25">
      <c r="A56" s="72">
        <v>53</v>
      </c>
      <c r="B56" s="73" t="s">
        <v>330</v>
      </c>
      <c r="C56" s="72">
        <v>2</v>
      </c>
      <c r="D56" s="72" t="s">
        <v>7</v>
      </c>
      <c r="E56" s="72">
        <v>1</v>
      </c>
      <c r="F56" s="74">
        <v>41775</v>
      </c>
      <c r="G56" s="68">
        <v>44463</v>
      </c>
      <c r="H56" s="69">
        <f t="shared" si="2"/>
        <v>7</v>
      </c>
      <c r="I56" s="69">
        <f t="shared" si="3"/>
        <v>88</v>
      </c>
      <c r="J56" s="72">
        <v>31.6</v>
      </c>
      <c r="K56" s="72">
        <v>1.32</v>
      </c>
      <c r="L56" s="65">
        <f t="shared" si="4"/>
        <v>132</v>
      </c>
      <c r="M56" s="72">
        <f>111.2-40</f>
        <v>71.2</v>
      </c>
      <c r="N56" s="70">
        <f t="shared" si="5"/>
        <v>46.060606060606055</v>
      </c>
      <c r="O56" s="65">
        <v>0</v>
      </c>
      <c r="P56" s="65">
        <v>0</v>
      </c>
      <c r="Q56" s="71">
        <f t="shared" si="6"/>
        <v>18.135904499540864</v>
      </c>
      <c r="S56" s="91">
        <v>-0.11267571439188419</v>
      </c>
      <c r="T56" s="91">
        <v>45.51438278606993</v>
      </c>
      <c r="U56" s="39" t="str">
        <f t="shared" si="7"/>
        <v>Normal</v>
      </c>
      <c r="V56" s="91">
        <v>-0.83754718057680355</v>
      </c>
      <c r="W56" s="91">
        <v>20.114253418940482</v>
      </c>
      <c r="X56" s="39" t="str">
        <f t="shared" si="0"/>
        <v>Normal</v>
      </c>
      <c r="Y56" s="116">
        <v>1.5046597676684446</v>
      </c>
      <c r="Z56" s="91">
        <v>93.379421416498687</v>
      </c>
      <c r="AA56" s="39" t="str">
        <f t="shared" si="1"/>
        <v>Obesidad</v>
      </c>
    </row>
    <row r="57" spans="1:27" ht="15.75" x14ac:dyDescent="0.25">
      <c r="A57" s="72">
        <v>54</v>
      </c>
      <c r="B57" s="73" t="s">
        <v>331</v>
      </c>
      <c r="C57" s="72">
        <v>2</v>
      </c>
      <c r="D57" s="72" t="s">
        <v>7</v>
      </c>
      <c r="E57" s="72">
        <v>1</v>
      </c>
      <c r="F57" s="74">
        <v>41662</v>
      </c>
      <c r="G57" s="68">
        <v>44463</v>
      </c>
      <c r="H57" s="69">
        <f t="shared" si="2"/>
        <v>7</v>
      </c>
      <c r="I57" s="69">
        <f t="shared" si="3"/>
        <v>92</v>
      </c>
      <c r="J57" s="72">
        <v>20.8</v>
      </c>
      <c r="K57" s="72">
        <v>1.23</v>
      </c>
      <c r="L57" s="65">
        <f t="shared" si="4"/>
        <v>123</v>
      </c>
      <c r="M57" s="72">
        <f>107-40</f>
        <v>67</v>
      </c>
      <c r="N57" s="70">
        <f t="shared" si="5"/>
        <v>45.528455284552841</v>
      </c>
      <c r="O57" s="65">
        <v>0</v>
      </c>
      <c r="P57" s="65">
        <v>0</v>
      </c>
      <c r="Q57" s="71">
        <f t="shared" si="6"/>
        <v>13.748430167228502</v>
      </c>
      <c r="S57" s="91">
        <v>-8.2224861542784619E-2</v>
      </c>
      <c r="T57" s="91">
        <v>46.723395186471485</v>
      </c>
      <c r="U57" s="39" t="str">
        <f t="shared" si="7"/>
        <v>Normal</v>
      </c>
      <c r="V57" s="91">
        <v>-1.1906203243984257</v>
      </c>
      <c r="W57" s="91">
        <v>11.690133455444146</v>
      </c>
      <c r="X57" s="39" t="str">
        <f t="shared" si="0"/>
        <v>Normal</v>
      </c>
      <c r="Y57" s="116">
        <v>-1.5123682586182698</v>
      </c>
      <c r="Z57" s="91">
        <v>6.5220102558764568</v>
      </c>
      <c r="AA57" s="39" t="str">
        <f t="shared" si="1"/>
        <v>Bajo Peso</v>
      </c>
    </row>
    <row r="58" spans="1:27" ht="15.75" x14ac:dyDescent="0.25">
      <c r="A58" s="72">
        <v>55</v>
      </c>
      <c r="B58" s="73" t="s">
        <v>335</v>
      </c>
      <c r="C58" s="72">
        <v>2</v>
      </c>
      <c r="D58" s="72" t="s">
        <v>7</v>
      </c>
      <c r="E58" s="72">
        <v>2</v>
      </c>
      <c r="F58" s="74">
        <v>41722</v>
      </c>
      <c r="G58" s="68">
        <v>44463</v>
      </c>
      <c r="H58" s="69">
        <f t="shared" si="2"/>
        <v>7</v>
      </c>
      <c r="I58" s="69">
        <f t="shared" si="3"/>
        <v>90</v>
      </c>
      <c r="J58" s="72">
        <v>30.4</v>
      </c>
      <c r="K58" s="72">
        <v>1.25</v>
      </c>
      <c r="L58" s="65">
        <f t="shared" si="4"/>
        <v>125</v>
      </c>
      <c r="M58" s="72">
        <f>107.9-40</f>
        <v>67.900000000000006</v>
      </c>
      <c r="N58" s="70">
        <f t="shared" si="5"/>
        <v>45.679999999999993</v>
      </c>
      <c r="O58" s="65">
        <v>0</v>
      </c>
      <c r="P58" s="65">
        <v>0</v>
      </c>
      <c r="Q58" s="71">
        <f t="shared" si="6"/>
        <v>19.456</v>
      </c>
      <c r="S58" s="91">
        <v>-1.3603804508486625</v>
      </c>
      <c r="T58" s="91">
        <v>8.6854780763371817</v>
      </c>
      <c r="U58" s="39" t="str">
        <f t="shared" si="7"/>
        <v>Normal</v>
      </c>
      <c r="V58" s="91">
        <v>-1.3168333665930179</v>
      </c>
      <c r="W58" s="91">
        <v>9.3947242883223083</v>
      </c>
      <c r="X58" s="39" t="str">
        <f t="shared" si="0"/>
        <v>Normal</v>
      </c>
      <c r="Y58" s="116">
        <v>1.7699827607064569</v>
      </c>
      <c r="Z58" s="91">
        <v>96.163499369953669</v>
      </c>
      <c r="AA58" s="39" t="str">
        <f t="shared" si="1"/>
        <v>Obesidad</v>
      </c>
    </row>
    <row r="59" spans="1:27" ht="15.75" x14ac:dyDescent="0.25">
      <c r="A59" s="72">
        <v>56</v>
      </c>
      <c r="B59" s="73" t="s">
        <v>332</v>
      </c>
      <c r="C59" s="72">
        <v>2</v>
      </c>
      <c r="D59" s="72" t="s">
        <v>7</v>
      </c>
      <c r="E59" s="72">
        <v>1</v>
      </c>
      <c r="F59" s="74">
        <v>41719</v>
      </c>
      <c r="G59" s="68">
        <v>44463</v>
      </c>
      <c r="H59" s="69">
        <f t="shared" si="2"/>
        <v>7</v>
      </c>
      <c r="I59" s="69">
        <f t="shared" si="3"/>
        <v>90</v>
      </c>
      <c r="J59" s="72">
        <v>21.4</v>
      </c>
      <c r="K59" s="72">
        <v>1.1599999999999999</v>
      </c>
      <c r="L59" s="65">
        <f t="shared" si="4"/>
        <v>115.99999999999999</v>
      </c>
      <c r="M59" s="72">
        <f>103-40</f>
        <v>63</v>
      </c>
      <c r="N59" s="70">
        <f t="shared" si="5"/>
        <v>45.689655172413786</v>
      </c>
      <c r="O59" s="65">
        <v>0</v>
      </c>
      <c r="P59" s="65">
        <v>0</v>
      </c>
      <c r="Q59" s="71">
        <f t="shared" si="6"/>
        <v>15.903686087990488</v>
      </c>
      <c r="S59" s="91">
        <v>-9.8058676179082052E-2</v>
      </c>
      <c r="T59" s="91">
        <v>46.094285048040362</v>
      </c>
      <c r="U59" s="39" t="str">
        <f t="shared" si="7"/>
        <v>Normal</v>
      </c>
      <c r="V59" s="91">
        <v>-1.083198566635504</v>
      </c>
      <c r="W59" s="91">
        <v>13.936014791446738</v>
      </c>
      <c r="X59" s="39" t="str">
        <f t="shared" si="0"/>
        <v>Normal</v>
      </c>
      <c r="Y59" s="116">
        <v>0.20331437004472144</v>
      </c>
      <c r="Z59" s="91">
        <v>58.055533779111713</v>
      </c>
      <c r="AA59" s="39" t="str">
        <f t="shared" si="1"/>
        <v>Normal</v>
      </c>
    </row>
    <row r="60" spans="1:27" ht="15.75" x14ac:dyDescent="0.25">
      <c r="A60" s="72">
        <v>57</v>
      </c>
      <c r="B60" s="73" t="s">
        <v>333</v>
      </c>
      <c r="C60" s="72">
        <v>2</v>
      </c>
      <c r="D60" s="72" t="s">
        <v>7</v>
      </c>
      <c r="E60" s="72">
        <v>1</v>
      </c>
      <c r="F60" s="74">
        <v>41842</v>
      </c>
      <c r="G60" s="68">
        <v>44463</v>
      </c>
      <c r="H60" s="69">
        <f t="shared" si="2"/>
        <v>7</v>
      </c>
      <c r="I60" s="69">
        <f t="shared" si="3"/>
        <v>86</v>
      </c>
      <c r="J60" s="72">
        <v>30.5</v>
      </c>
      <c r="K60" s="72">
        <v>1.24</v>
      </c>
      <c r="L60" s="65">
        <f t="shared" si="4"/>
        <v>124</v>
      </c>
      <c r="M60" s="72">
        <f>106.1-40</f>
        <v>66.099999999999994</v>
      </c>
      <c r="N60" s="70">
        <f t="shared" si="5"/>
        <v>46.693548387096776</v>
      </c>
      <c r="O60" s="65">
        <v>0</v>
      </c>
      <c r="P60" s="65">
        <v>0</v>
      </c>
      <c r="Q60" s="71">
        <f t="shared" si="6"/>
        <v>19.836108220603538</v>
      </c>
      <c r="S60" s="91">
        <v>1.7442372132682111</v>
      </c>
      <c r="T60" s="91">
        <v>95.944113258244485</v>
      </c>
      <c r="U60" s="39" t="str">
        <f t="shared" si="7"/>
        <v>Alto</v>
      </c>
      <c r="V60" s="91">
        <v>-0.4232896027389596</v>
      </c>
      <c r="W60" s="91">
        <v>33.60419896065244</v>
      </c>
      <c r="X60" s="39" t="str">
        <f t="shared" si="0"/>
        <v>Normal</v>
      </c>
      <c r="Y60" s="116">
        <v>2.3023338918402367</v>
      </c>
      <c r="Z60" s="91">
        <v>98.934182503422036</v>
      </c>
      <c r="AA60" s="39" t="str">
        <f t="shared" si="1"/>
        <v>Obesidad</v>
      </c>
    </row>
    <row r="61" spans="1:27" ht="15.75" x14ac:dyDescent="0.25">
      <c r="A61" s="72">
        <v>58</v>
      </c>
      <c r="B61" s="73" t="s">
        <v>334</v>
      </c>
      <c r="C61" s="72">
        <v>2</v>
      </c>
      <c r="D61" s="72" t="s">
        <v>7</v>
      </c>
      <c r="E61" s="72">
        <v>2</v>
      </c>
      <c r="F61" s="74">
        <v>41840</v>
      </c>
      <c r="G61" s="68">
        <v>44463</v>
      </c>
      <c r="H61" s="69">
        <f t="shared" si="2"/>
        <v>7</v>
      </c>
      <c r="I61" s="69">
        <f t="shared" si="3"/>
        <v>86</v>
      </c>
      <c r="J61" s="72">
        <v>34.799999999999997</v>
      </c>
      <c r="K61" s="72">
        <v>1.32</v>
      </c>
      <c r="L61" s="65">
        <f t="shared" si="4"/>
        <v>132</v>
      </c>
      <c r="M61" s="72">
        <f>111.9-40</f>
        <v>71.900000000000006</v>
      </c>
      <c r="N61" s="70">
        <f t="shared" si="5"/>
        <v>45.530303030303024</v>
      </c>
      <c r="O61" s="65">
        <v>0</v>
      </c>
      <c r="P61" s="65">
        <v>0</v>
      </c>
      <c r="Q61" s="71">
        <f t="shared" si="6"/>
        <v>19.972451790633606</v>
      </c>
      <c r="S61" s="91">
        <v>0.94899947025503328</v>
      </c>
      <c r="T61" s="91">
        <v>82.868955924675589</v>
      </c>
      <c r="U61" s="39" t="str">
        <f t="shared" si="7"/>
        <v>Normal</v>
      </c>
      <c r="V61" s="91">
        <v>-1.4230972721663675</v>
      </c>
      <c r="W61" s="91">
        <v>7.7353979516178351</v>
      </c>
      <c r="X61" s="39" t="str">
        <f t="shared" si="0"/>
        <v>Normal</v>
      </c>
      <c r="Y61" s="116">
        <v>2.0231798950845374</v>
      </c>
      <c r="Z61" s="91">
        <v>97.84726981456609</v>
      </c>
      <c r="AA61" s="39" t="str">
        <f t="shared" si="1"/>
        <v>Obesidad</v>
      </c>
    </row>
    <row r="62" spans="1:27" ht="15.75" x14ac:dyDescent="0.25">
      <c r="A62" s="72">
        <v>59</v>
      </c>
      <c r="B62" s="73" t="s">
        <v>336</v>
      </c>
      <c r="C62" s="72">
        <v>2</v>
      </c>
      <c r="D62" s="72" t="s">
        <v>7</v>
      </c>
      <c r="E62" s="72">
        <v>2</v>
      </c>
      <c r="F62" s="74">
        <v>41741</v>
      </c>
      <c r="G62" s="68">
        <v>44463</v>
      </c>
      <c r="H62" s="69">
        <f t="shared" si="2"/>
        <v>7</v>
      </c>
      <c r="I62" s="69">
        <f t="shared" si="3"/>
        <v>89</v>
      </c>
      <c r="J62" s="72">
        <v>22.9</v>
      </c>
      <c r="K62" s="72">
        <v>1.27</v>
      </c>
      <c r="L62" s="65">
        <f t="shared" si="4"/>
        <v>127</v>
      </c>
      <c r="M62" s="72">
        <f>106.1-40</f>
        <v>66.099999999999994</v>
      </c>
      <c r="N62" s="70">
        <f t="shared" si="5"/>
        <v>47.952755905511815</v>
      </c>
      <c r="O62" s="65">
        <v>0</v>
      </c>
      <c r="P62" s="65">
        <v>0</v>
      </c>
      <c r="Q62" s="71">
        <f t="shared" si="6"/>
        <v>14.198028396056792</v>
      </c>
      <c r="S62" s="91">
        <v>-0.39006596329375831</v>
      </c>
      <c r="T62" s="91">
        <v>34.824388532189985</v>
      </c>
      <c r="U62" s="39" t="str">
        <f t="shared" si="7"/>
        <v>Normal</v>
      </c>
      <c r="V62" s="91">
        <v>0.25165192919437146</v>
      </c>
      <c r="W62" s="91">
        <v>59.934494186545685</v>
      </c>
      <c r="X62" s="39" t="str">
        <f t="shared" si="0"/>
        <v>Normal</v>
      </c>
      <c r="Y62" s="116">
        <v>-0.84846343131728486</v>
      </c>
      <c r="Z62" s="91">
        <v>19.80899648883231</v>
      </c>
      <c r="AA62" s="39" t="str">
        <f t="shared" si="1"/>
        <v>Normal</v>
      </c>
    </row>
    <row r="63" spans="1:27" ht="15.75" x14ac:dyDescent="0.25">
      <c r="A63" s="72">
        <v>60</v>
      </c>
      <c r="B63" s="73" t="s">
        <v>337</v>
      </c>
      <c r="C63" s="72">
        <v>2</v>
      </c>
      <c r="D63" s="72" t="s">
        <v>7</v>
      </c>
      <c r="E63" s="72">
        <v>2</v>
      </c>
      <c r="F63" s="74">
        <v>41889</v>
      </c>
      <c r="G63" s="68">
        <v>44463</v>
      </c>
      <c r="H63" s="69">
        <f t="shared" si="2"/>
        <v>7</v>
      </c>
      <c r="I63" s="69">
        <f t="shared" si="3"/>
        <v>84</v>
      </c>
      <c r="J63" s="72">
        <v>27.5</v>
      </c>
      <c r="K63" s="72">
        <v>1.21</v>
      </c>
      <c r="L63" s="65">
        <f t="shared" si="4"/>
        <v>121</v>
      </c>
      <c r="M63" s="72">
        <f>105.6-40</f>
        <v>65.599999999999994</v>
      </c>
      <c r="N63" s="70">
        <f t="shared" si="5"/>
        <v>45.785123966942152</v>
      </c>
      <c r="O63" s="65">
        <v>0</v>
      </c>
      <c r="P63" s="65">
        <v>0</v>
      </c>
      <c r="Q63" s="71">
        <f t="shared" si="6"/>
        <v>18.782870022539445</v>
      </c>
      <c r="S63" s="91">
        <v>-1.7946008818294263</v>
      </c>
      <c r="T63" s="91">
        <v>3.6358656278600021</v>
      </c>
      <c r="U63" s="39" t="str">
        <f t="shared" si="7"/>
        <v>Desnutricion</v>
      </c>
      <c r="V63" s="91">
        <v>-1.2424354487640734</v>
      </c>
      <c r="W63" s="91">
        <v>10.703797166453036</v>
      </c>
      <c r="X63" s="39" t="str">
        <f t="shared" si="0"/>
        <v>Normal</v>
      </c>
      <c r="Y63" s="116">
        <v>1.6337228154171128</v>
      </c>
      <c r="Z63" s="91">
        <v>94.884146726879976</v>
      </c>
      <c r="AA63" s="39" t="str">
        <f t="shared" si="1"/>
        <v>Obesidad</v>
      </c>
    </row>
    <row r="64" spans="1:27" ht="15.75" x14ac:dyDescent="0.25">
      <c r="A64" s="72">
        <v>61</v>
      </c>
      <c r="B64" s="73" t="s">
        <v>338</v>
      </c>
      <c r="C64" s="72">
        <v>2</v>
      </c>
      <c r="D64" s="72" t="s">
        <v>7</v>
      </c>
      <c r="E64" s="72">
        <v>2</v>
      </c>
      <c r="F64" s="74">
        <v>41955</v>
      </c>
      <c r="G64" s="68">
        <v>44463</v>
      </c>
      <c r="H64" s="69">
        <f t="shared" si="2"/>
        <v>6</v>
      </c>
      <c r="I64" s="69">
        <f t="shared" si="3"/>
        <v>82</v>
      </c>
      <c r="J64" s="72">
        <v>19</v>
      </c>
      <c r="K64" s="72">
        <v>1.1100000000000001</v>
      </c>
      <c r="L64" s="65">
        <f t="shared" si="4"/>
        <v>111.00000000000001</v>
      </c>
      <c r="M64" s="72">
        <f>98.2-40</f>
        <v>58.2</v>
      </c>
      <c r="N64" s="70">
        <f t="shared" si="5"/>
        <v>47.567567567567572</v>
      </c>
      <c r="O64" s="65">
        <v>0</v>
      </c>
      <c r="P64" s="65">
        <v>0</v>
      </c>
      <c r="Q64" s="71">
        <f t="shared" si="6"/>
        <v>15.42082623163704</v>
      </c>
      <c r="S64" s="91">
        <v>1.1339019572448925</v>
      </c>
      <c r="T64" s="91">
        <v>87.158216198093342</v>
      </c>
      <c r="U64" s="39" t="str">
        <f t="shared" si="7"/>
        <v>Normal</v>
      </c>
      <c r="V64" s="91">
        <v>0.44140326355673964</v>
      </c>
      <c r="W64" s="91">
        <v>67.05394600066758</v>
      </c>
      <c r="X64" s="39" t="str">
        <f t="shared" si="0"/>
        <v>Normal</v>
      </c>
      <c r="Y64" s="116">
        <v>2.9890555642798584E-2</v>
      </c>
      <c r="Z64" s="91">
        <v>51.19228310045861</v>
      </c>
      <c r="AA64" s="39" t="str">
        <f t="shared" si="1"/>
        <v>Normal</v>
      </c>
    </row>
    <row r="65" spans="1:27" ht="15.75" x14ac:dyDescent="0.25">
      <c r="A65" s="72">
        <v>62</v>
      </c>
      <c r="B65" s="73" t="s">
        <v>339</v>
      </c>
      <c r="C65" s="72">
        <v>2</v>
      </c>
      <c r="D65" s="72" t="s">
        <v>7</v>
      </c>
      <c r="E65" s="72">
        <v>1</v>
      </c>
      <c r="F65" s="74">
        <v>41684</v>
      </c>
      <c r="G65" s="68">
        <v>44463</v>
      </c>
      <c r="H65" s="69">
        <f t="shared" si="2"/>
        <v>7</v>
      </c>
      <c r="I65" s="69">
        <f t="shared" si="3"/>
        <v>91</v>
      </c>
      <c r="J65" s="72">
        <v>25.6</v>
      </c>
      <c r="K65" s="72">
        <v>1.26</v>
      </c>
      <c r="L65" s="65">
        <f t="shared" si="4"/>
        <v>126</v>
      </c>
      <c r="M65" s="72">
        <f>106.9-40</f>
        <v>66.900000000000006</v>
      </c>
      <c r="N65" s="70">
        <f t="shared" si="5"/>
        <v>46.904761904761898</v>
      </c>
      <c r="O65" s="65">
        <v>0</v>
      </c>
      <c r="P65" s="65">
        <v>0</v>
      </c>
      <c r="Q65" s="71">
        <f t="shared" si="6"/>
        <v>16.124968505920886</v>
      </c>
      <c r="S65" s="91">
        <v>-1.8184061672781568</v>
      </c>
      <c r="T65" s="91">
        <v>3.4501038224422067</v>
      </c>
      <c r="U65" s="39" t="str">
        <f t="shared" si="7"/>
        <v>Desnutricion</v>
      </c>
      <c r="V65" s="91">
        <v>-0.28639882877361894</v>
      </c>
      <c r="W65" s="91">
        <v>38.728633582664131</v>
      </c>
      <c r="X65" s="39" t="str">
        <f t="shared" si="0"/>
        <v>Normal</v>
      </c>
      <c r="Y65" s="116">
        <v>0.33132665806711559</v>
      </c>
      <c r="Z65" s="91">
        <v>62.980112141030361</v>
      </c>
      <c r="AA65" s="39" t="str">
        <f t="shared" si="1"/>
        <v>Normal</v>
      </c>
    </row>
    <row r="66" spans="1:27" ht="15.75" x14ac:dyDescent="0.25">
      <c r="A66" s="72">
        <v>63</v>
      </c>
      <c r="B66" s="73" t="s">
        <v>340</v>
      </c>
      <c r="C66" s="72">
        <v>2</v>
      </c>
      <c r="D66" s="72" t="s">
        <v>7</v>
      </c>
      <c r="E66" s="72">
        <v>2</v>
      </c>
      <c r="F66" s="74">
        <v>41966</v>
      </c>
      <c r="G66" s="68">
        <v>44463</v>
      </c>
      <c r="H66" s="69">
        <f t="shared" si="2"/>
        <v>6</v>
      </c>
      <c r="I66" s="69">
        <f t="shared" si="3"/>
        <v>82</v>
      </c>
      <c r="J66" s="72">
        <v>20.7</v>
      </c>
      <c r="K66" s="72">
        <v>1.1499999999999999</v>
      </c>
      <c r="L66" s="65">
        <f t="shared" si="4"/>
        <v>114.99999999999999</v>
      </c>
      <c r="M66" s="72">
        <f>102.8-40</f>
        <v>62.8</v>
      </c>
      <c r="N66" s="70">
        <f t="shared" si="5"/>
        <v>45.391304347826086</v>
      </c>
      <c r="O66" s="65">
        <v>0</v>
      </c>
      <c r="P66" s="65">
        <v>0</v>
      </c>
      <c r="Q66" s="71">
        <f t="shared" si="6"/>
        <v>15.65217391304348</v>
      </c>
      <c r="S66" s="91">
        <v>-0.15983153159235083</v>
      </c>
      <c r="T66" s="91">
        <v>43.650689237824743</v>
      </c>
      <c r="U66" s="39" t="str">
        <f t="shared" si="7"/>
        <v>Normal</v>
      </c>
      <c r="V66" s="91">
        <v>-1.0232246348769087</v>
      </c>
      <c r="W66" s="91">
        <v>15.310082389281465</v>
      </c>
      <c r="X66" s="39" t="str">
        <f t="shared" si="0"/>
        <v>Normal</v>
      </c>
      <c r="Y66" s="116">
        <v>0.16784401714428657</v>
      </c>
      <c r="Z66" s="91">
        <v>56.664700349720306</v>
      </c>
      <c r="AA66" s="39" t="str">
        <f t="shared" si="1"/>
        <v>Normal</v>
      </c>
    </row>
    <row r="67" spans="1:27" ht="15.75" x14ac:dyDescent="0.25">
      <c r="A67" s="72">
        <v>64</v>
      </c>
      <c r="B67" s="73" t="s">
        <v>341</v>
      </c>
      <c r="C67" s="72">
        <v>2</v>
      </c>
      <c r="D67" s="72" t="s">
        <v>7</v>
      </c>
      <c r="E67" s="72">
        <v>2</v>
      </c>
      <c r="F67" s="74">
        <v>41942</v>
      </c>
      <c r="G67" s="68">
        <v>44463</v>
      </c>
      <c r="H67" s="69">
        <f t="shared" si="2"/>
        <v>6</v>
      </c>
      <c r="I67" s="69">
        <f t="shared" si="3"/>
        <v>82</v>
      </c>
      <c r="J67" s="72">
        <v>25.7</v>
      </c>
      <c r="K67" s="72">
        <v>1.19</v>
      </c>
      <c r="L67" s="65">
        <f t="shared" si="4"/>
        <v>119</v>
      </c>
      <c r="M67" s="72">
        <f>106.6-40</f>
        <v>66.599999999999994</v>
      </c>
      <c r="N67" s="70">
        <f t="shared" si="5"/>
        <v>44.033613445378158</v>
      </c>
      <c r="O67" s="65">
        <v>0</v>
      </c>
      <c r="P67" s="65">
        <v>0</v>
      </c>
      <c r="Q67" s="71">
        <f t="shared" si="6"/>
        <v>18.148435844926205</v>
      </c>
      <c r="S67" s="91">
        <v>2.057997306414348</v>
      </c>
      <c r="T67" s="91">
        <v>98.020480401590291</v>
      </c>
      <c r="U67" s="39" t="str">
        <f t="shared" si="7"/>
        <v>Alto</v>
      </c>
      <c r="V67" s="91">
        <v>-1.9761220777176616</v>
      </c>
      <c r="W67" s="91">
        <v>2.4070476244017933</v>
      </c>
      <c r="X67" s="39" t="str">
        <f t="shared" si="0"/>
        <v>Piernas cortas</v>
      </c>
      <c r="Y67" s="116">
        <v>1.4097818980305479</v>
      </c>
      <c r="Z67" s="91">
        <v>92.069795334668143</v>
      </c>
      <c r="AA67" s="39" t="str">
        <f t="shared" si="1"/>
        <v>Obesidad</v>
      </c>
    </row>
    <row r="68" spans="1:27" ht="15.75" x14ac:dyDescent="0.25">
      <c r="A68" s="72">
        <v>65</v>
      </c>
      <c r="B68" s="73" t="s">
        <v>342</v>
      </c>
      <c r="C68" s="72">
        <v>2</v>
      </c>
      <c r="D68" s="72" t="s">
        <v>7</v>
      </c>
      <c r="E68" s="72">
        <v>2</v>
      </c>
      <c r="F68" s="74">
        <v>41887</v>
      </c>
      <c r="G68" s="68">
        <v>44463</v>
      </c>
      <c r="H68" s="69">
        <f t="shared" si="2"/>
        <v>7</v>
      </c>
      <c r="I68" s="69">
        <f t="shared" si="3"/>
        <v>84</v>
      </c>
      <c r="J68" s="72">
        <v>32</v>
      </c>
      <c r="K68" s="72">
        <v>1.31</v>
      </c>
      <c r="L68" s="65">
        <f t="shared" si="4"/>
        <v>131</v>
      </c>
      <c r="M68" s="72">
        <f>108.2-40</f>
        <v>68.2</v>
      </c>
      <c r="N68" s="70">
        <f t="shared" si="5"/>
        <v>47.938931297709921</v>
      </c>
      <c r="O68" s="65">
        <v>0</v>
      </c>
      <c r="P68" s="65">
        <v>0</v>
      </c>
      <c r="Q68" s="71">
        <f t="shared" si="6"/>
        <v>18.646931996969872</v>
      </c>
      <c r="S68" s="91">
        <v>-0.69704160442495655</v>
      </c>
      <c r="T68" s="91">
        <v>24.28883786965207</v>
      </c>
      <c r="U68" s="39" t="str">
        <f t="shared" si="7"/>
        <v>Normal</v>
      </c>
      <c r="V68" s="91">
        <v>0.2423566919923324</v>
      </c>
      <c r="W68" s="91">
        <v>59.574810553563587</v>
      </c>
      <c r="X68" s="39" t="str">
        <f t="shared" ref="X68:X131" si="8">IF(V68&lt;-1.645,"Piernas cortas",IF(AND(V68&gt;=-1.645,V68&lt;=1.645),"Normal",IF(V68&gt;1.645,"Piernas largas")))</f>
        <v>Normal</v>
      </c>
      <c r="Y68" s="116">
        <v>1.5807982499510822</v>
      </c>
      <c r="Z68" s="91">
        <v>94.303791258736638</v>
      </c>
      <c r="AA68" s="39" t="str">
        <f t="shared" ref="AA68:AA131" si="9">IF(Z68&lt;5,"Desnutricion",IF(AND(Z68&gt;=5,Z68&lt;15),"Bajo Peso",IF(AND(Z68&gt;=15,Z68&lt;=85),"Normal",IF(Z68&gt;85,"Obesidad"))))</f>
        <v>Obesidad</v>
      </c>
    </row>
    <row r="69" spans="1:27" ht="15.75" x14ac:dyDescent="0.25">
      <c r="A69" s="72">
        <v>66</v>
      </c>
      <c r="B69" s="73" t="s">
        <v>343</v>
      </c>
      <c r="C69" s="72">
        <v>2</v>
      </c>
      <c r="D69" s="72" t="s">
        <v>7</v>
      </c>
      <c r="E69" s="72">
        <v>2</v>
      </c>
      <c r="F69" s="74">
        <v>41947</v>
      </c>
      <c r="G69" s="68">
        <v>44463</v>
      </c>
      <c r="H69" s="69">
        <f t="shared" ref="H69:H132" si="10">DATEDIF(F69,G69,"y")</f>
        <v>6</v>
      </c>
      <c r="I69" s="69">
        <f t="shared" ref="I69:I132" si="11">DATEDIF(F69,G69,"m")</f>
        <v>82</v>
      </c>
      <c r="J69" s="72">
        <v>24.3</v>
      </c>
      <c r="K69" s="72">
        <v>1.17</v>
      </c>
      <c r="L69" s="65">
        <f t="shared" ref="L69:L132" si="12">K69*100</f>
        <v>117</v>
      </c>
      <c r="M69" s="72">
        <f>101-40</f>
        <v>61</v>
      </c>
      <c r="N69" s="70">
        <f t="shared" ref="N69:N132" si="13">((L69-M69)/L69)*100</f>
        <v>47.863247863247864</v>
      </c>
      <c r="O69" s="65">
        <v>0</v>
      </c>
      <c r="P69" s="65">
        <v>0</v>
      </c>
      <c r="Q69" s="71">
        <f t="shared" ref="Q69:Q132" si="14">J69/(K69*K69)</f>
        <v>17.751479289940832</v>
      </c>
      <c r="S69" s="91">
        <v>2.4987538241541766E-2</v>
      </c>
      <c r="T69" s="91">
        <v>50.996754822548482</v>
      </c>
      <c r="U69" s="39" t="str">
        <f t="shared" ref="U69:U132" si="15">IF(S69&lt;-1.645,"Desnutricion",IF(AND(S69&gt;=-1.645,S69&lt;=1.645),"Normal",IF(S69&gt;1.645,"Alto")))</f>
        <v>Normal</v>
      </c>
      <c r="V69" s="91">
        <v>0.63476513963420189</v>
      </c>
      <c r="W69" s="91">
        <v>73.720919881252513</v>
      </c>
      <c r="X69" s="39" t="str">
        <f t="shared" si="8"/>
        <v>Normal</v>
      </c>
      <c r="Y69" s="116">
        <v>1.238222707475173</v>
      </c>
      <c r="Z69" s="91">
        <v>89.218325299756685</v>
      </c>
      <c r="AA69" s="39" t="str">
        <f t="shared" si="9"/>
        <v>Obesidad</v>
      </c>
    </row>
    <row r="70" spans="1:27" ht="15.75" x14ac:dyDescent="0.25">
      <c r="A70" s="72">
        <v>67</v>
      </c>
      <c r="B70" s="73" t="s">
        <v>344</v>
      </c>
      <c r="C70" s="72">
        <v>2</v>
      </c>
      <c r="D70" s="72" t="s">
        <v>7</v>
      </c>
      <c r="E70" s="72">
        <v>1</v>
      </c>
      <c r="F70" s="74">
        <v>41736</v>
      </c>
      <c r="G70" s="68">
        <v>44463</v>
      </c>
      <c r="H70" s="69">
        <f t="shared" si="10"/>
        <v>7</v>
      </c>
      <c r="I70" s="69">
        <f t="shared" si="11"/>
        <v>89</v>
      </c>
      <c r="J70" s="72">
        <v>20.9</v>
      </c>
      <c r="K70" s="72">
        <v>1.2</v>
      </c>
      <c r="L70" s="65">
        <f t="shared" si="12"/>
        <v>120</v>
      </c>
      <c r="M70" s="72">
        <f>100-40</f>
        <v>60</v>
      </c>
      <c r="N70" s="70">
        <f t="shared" si="13"/>
        <v>50</v>
      </c>
      <c r="O70" s="65">
        <v>0</v>
      </c>
      <c r="P70" s="65">
        <v>0</v>
      </c>
      <c r="Q70" s="71">
        <f t="shared" si="14"/>
        <v>14.513888888888889</v>
      </c>
      <c r="S70" s="91">
        <v>-2.2206751198443548</v>
      </c>
      <c r="T70" s="91">
        <v>1.3186486889087217</v>
      </c>
      <c r="U70" s="39" t="str">
        <f t="shared" si="15"/>
        <v>Desnutricion</v>
      </c>
      <c r="V70" s="91">
        <v>1.6466242653057546</v>
      </c>
      <c r="W70" s="91">
        <v>95.018235015426853</v>
      </c>
      <c r="X70" s="39" t="str">
        <f t="shared" si="8"/>
        <v>Piernas largas</v>
      </c>
      <c r="Y70" s="116">
        <v>-0.8048857001786015</v>
      </c>
      <c r="Z70" s="91">
        <v>21.044282050903391</v>
      </c>
      <c r="AA70" s="39" t="str">
        <f t="shared" si="9"/>
        <v>Normal</v>
      </c>
    </row>
    <row r="71" spans="1:27" ht="15.75" x14ac:dyDescent="0.25">
      <c r="A71" s="72">
        <v>68</v>
      </c>
      <c r="B71" s="73" t="s">
        <v>345</v>
      </c>
      <c r="C71" s="72">
        <v>2</v>
      </c>
      <c r="D71" s="72" t="s">
        <v>7</v>
      </c>
      <c r="E71" s="72">
        <v>1</v>
      </c>
      <c r="F71" s="74">
        <v>41976</v>
      </c>
      <c r="G71" s="68">
        <v>44463</v>
      </c>
      <c r="H71" s="69">
        <f t="shared" si="10"/>
        <v>6</v>
      </c>
      <c r="I71" s="69">
        <f t="shared" si="11"/>
        <v>81</v>
      </c>
      <c r="J71" s="72">
        <v>19.899999999999999</v>
      </c>
      <c r="K71" s="72">
        <v>1.1200000000000001</v>
      </c>
      <c r="L71" s="65">
        <f t="shared" si="12"/>
        <v>112.00000000000001</v>
      </c>
      <c r="M71" s="72">
        <f>102-40</f>
        <v>62</v>
      </c>
      <c r="N71" s="70">
        <f t="shared" si="13"/>
        <v>44.642857142857153</v>
      </c>
      <c r="O71" s="65">
        <v>0</v>
      </c>
      <c r="P71" s="65">
        <v>0</v>
      </c>
      <c r="Q71" s="71">
        <f t="shared" si="14"/>
        <v>15.864158163265303</v>
      </c>
      <c r="S71" s="91">
        <v>0.13311078185918343</v>
      </c>
      <c r="T71" s="91">
        <v>55.294711583061428</v>
      </c>
      <c r="U71" s="39" t="str">
        <f t="shared" si="15"/>
        <v>Normal</v>
      </c>
      <c r="V71" s="91">
        <v>-1.3591790932857584</v>
      </c>
      <c r="W71" s="91">
        <v>8.7044922257766686</v>
      </c>
      <c r="X71" s="39" t="str">
        <f t="shared" si="8"/>
        <v>Normal</v>
      </c>
      <c r="Y71" s="116">
        <v>0.30438048869503875</v>
      </c>
      <c r="Z71" s="91">
        <v>61.958098459663411</v>
      </c>
      <c r="AA71" s="39" t="str">
        <f t="shared" si="9"/>
        <v>Normal</v>
      </c>
    </row>
    <row r="72" spans="1:27" ht="15.75" x14ac:dyDescent="0.25">
      <c r="A72" s="72">
        <v>69</v>
      </c>
      <c r="B72" s="73" t="s">
        <v>346</v>
      </c>
      <c r="C72" s="72">
        <v>2</v>
      </c>
      <c r="D72" s="72" t="s">
        <v>7</v>
      </c>
      <c r="E72" s="72">
        <v>1</v>
      </c>
      <c r="F72" s="74">
        <v>41800</v>
      </c>
      <c r="G72" s="68">
        <v>44463</v>
      </c>
      <c r="H72" s="69">
        <f t="shared" si="10"/>
        <v>7</v>
      </c>
      <c r="I72" s="69">
        <f t="shared" si="11"/>
        <v>87</v>
      </c>
      <c r="J72" s="72">
        <v>27.4</v>
      </c>
      <c r="K72" s="72">
        <v>1.21</v>
      </c>
      <c r="L72" s="65">
        <f t="shared" si="12"/>
        <v>121</v>
      </c>
      <c r="M72" s="72">
        <f>103.2-40</f>
        <v>63.2</v>
      </c>
      <c r="N72" s="70">
        <f t="shared" si="13"/>
        <v>47.768595041322307</v>
      </c>
      <c r="O72" s="65">
        <v>0</v>
      </c>
      <c r="P72" s="65">
        <v>0</v>
      </c>
      <c r="Q72" s="71">
        <f t="shared" si="14"/>
        <v>18.714568677002937</v>
      </c>
      <c r="S72" s="91">
        <v>0.90340800956031964</v>
      </c>
      <c r="T72" s="91">
        <v>81.684530469347663</v>
      </c>
      <c r="U72" s="39" t="str">
        <f t="shared" si="15"/>
        <v>Normal</v>
      </c>
      <c r="V72" s="91">
        <v>0.26662184885344892</v>
      </c>
      <c r="W72" s="91">
        <v>60.511983426667527</v>
      </c>
      <c r="X72" s="39" t="str">
        <f t="shared" si="8"/>
        <v>Normal</v>
      </c>
      <c r="Y72" s="116">
        <v>1.7985615795035932</v>
      </c>
      <c r="Z72" s="91">
        <v>96.395597025655889</v>
      </c>
      <c r="AA72" s="39" t="str">
        <f t="shared" si="9"/>
        <v>Obesidad</v>
      </c>
    </row>
    <row r="73" spans="1:27" ht="15.75" x14ac:dyDescent="0.25">
      <c r="A73" s="72">
        <v>70</v>
      </c>
      <c r="B73" s="73" t="s">
        <v>347</v>
      </c>
      <c r="C73" s="72">
        <v>2</v>
      </c>
      <c r="D73" s="72" t="s">
        <v>7</v>
      </c>
      <c r="E73" s="72">
        <v>2</v>
      </c>
      <c r="F73" s="74">
        <v>41969</v>
      </c>
      <c r="G73" s="68">
        <v>44463</v>
      </c>
      <c r="H73" s="69">
        <f t="shared" si="10"/>
        <v>6</v>
      </c>
      <c r="I73" s="69">
        <f t="shared" si="11"/>
        <v>81</v>
      </c>
      <c r="J73" s="72">
        <v>29.9</v>
      </c>
      <c r="K73" s="72">
        <v>1.28</v>
      </c>
      <c r="L73" s="65">
        <f t="shared" si="12"/>
        <v>128</v>
      </c>
      <c r="M73" s="72">
        <f>107.3-40</f>
        <v>67.3</v>
      </c>
      <c r="N73" s="70">
        <f t="shared" si="13"/>
        <v>47.421875</v>
      </c>
      <c r="O73" s="65">
        <v>0</v>
      </c>
      <c r="P73" s="65">
        <v>0</v>
      </c>
      <c r="Q73" s="71">
        <f t="shared" si="14"/>
        <v>18.24951171875</v>
      </c>
      <c r="S73" s="91">
        <v>0.48444708154622879</v>
      </c>
      <c r="T73" s="91">
        <v>68.596569413911084</v>
      </c>
      <c r="U73" s="39" t="str">
        <f t="shared" si="15"/>
        <v>Normal</v>
      </c>
      <c r="V73" s="91">
        <v>0.34564609275215213</v>
      </c>
      <c r="W73" s="91">
        <v>63.519564922638025</v>
      </c>
      <c r="X73" s="39" t="str">
        <f t="shared" si="8"/>
        <v>Normal</v>
      </c>
      <c r="Y73" s="116">
        <v>1.4673193373902678</v>
      </c>
      <c r="Z73" s="91">
        <v>92.885539713546009</v>
      </c>
      <c r="AA73" s="39" t="str">
        <f t="shared" si="9"/>
        <v>Obesidad</v>
      </c>
    </row>
    <row r="74" spans="1:27" ht="15.75" x14ac:dyDescent="0.25">
      <c r="A74" s="72">
        <v>71</v>
      </c>
      <c r="B74" s="73" t="s">
        <v>348</v>
      </c>
      <c r="C74" s="72">
        <v>2</v>
      </c>
      <c r="D74" s="72" t="s">
        <v>7</v>
      </c>
      <c r="E74" s="72">
        <v>1</v>
      </c>
      <c r="F74" s="74">
        <v>41935</v>
      </c>
      <c r="G74" s="68">
        <v>44463</v>
      </c>
      <c r="H74" s="69">
        <f t="shared" si="10"/>
        <v>6</v>
      </c>
      <c r="I74" s="69">
        <f t="shared" si="11"/>
        <v>83</v>
      </c>
      <c r="J74" s="72">
        <v>22.1</v>
      </c>
      <c r="K74" s="72">
        <v>1.22</v>
      </c>
      <c r="L74" s="65">
        <f t="shared" si="12"/>
        <v>122</v>
      </c>
      <c r="M74" s="72">
        <f>106.7-40</f>
        <v>66.7</v>
      </c>
      <c r="N74" s="70">
        <f t="shared" si="13"/>
        <v>45.327868852459012</v>
      </c>
      <c r="O74" s="65">
        <v>0</v>
      </c>
      <c r="P74" s="65">
        <v>0</v>
      </c>
      <c r="Q74" s="71">
        <f t="shared" si="14"/>
        <v>14.848159097016932</v>
      </c>
      <c r="S74" s="91">
        <v>-0.23982833424249264</v>
      </c>
      <c r="T74" s="91">
        <v>40.523167017248106</v>
      </c>
      <c r="U74" s="39" t="str">
        <f t="shared" si="15"/>
        <v>Normal</v>
      </c>
      <c r="V74" s="91">
        <v>-0.90980981458496035</v>
      </c>
      <c r="W74" s="91">
        <v>18.146140885114111</v>
      </c>
      <c r="X74" s="39" t="str">
        <f t="shared" si="8"/>
        <v>Normal</v>
      </c>
      <c r="Y74" s="116">
        <v>-0.46204263403400875</v>
      </c>
      <c r="Z74" s="91">
        <v>32.202537353495487</v>
      </c>
      <c r="AA74" s="39" t="str">
        <f t="shared" si="9"/>
        <v>Normal</v>
      </c>
    </row>
    <row r="75" spans="1:27" ht="15.75" x14ac:dyDescent="0.25">
      <c r="A75" s="72">
        <v>72</v>
      </c>
      <c r="B75" s="73" t="s">
        <v>349</v>
      </c>
      <c r="C75" s="72">
        <v>2</v>
      </c>
      <c r="D75" s="72" t="s">
        <v>7</v>
      </c>
      <c r="E75" s="72">
        <v>2</v>
      </c>
      <c r="F75" s="74">
        <v>41690</v>
      </c>
      <c r="G75" s="68">
        <v>44463</v>
      </c>
      <c r="H75" s="69">
        <f t="shared" si="10"/>
        <v>7</v>
      </c>
      <c r="I75" s="69">
        <f t="shared" si="11"/>
        <v>91</v>
      </c>
      <c r="J75" s="72">
        <v>23.1</v>
      </c>
      <c r="K75" s="72">
        <v>1.2</v>
      </c>
      <c r="L75" s="65">
        <f t="shared" si="12"/>
        <v>120</v>
      </c>
      <c r="M75" s="72">
        <f>104-40</f>
        <v>64</v>
      </c>
      <c r="N75" s="70">
        <f t="shared" si="13"/>
        <v>46.666666666666664</v>
      </c>
      <c r="O75" s="65">
        <v>0</v>
      </c>
      <c r="P75" s="65">
        <v>0</v>
      </c>
      <c r="Q75" s="71">
        <f t="shared" si="14"/>
        <v>16.041666666666668</v>
      </c>
      <c r="S75" s="91">
        <v>-0.37856410321285261</v>
      </c>
      <c r="T75" s="91">
        <v>35.250579147851838</v>
      </c>
      <c r="U75" s="39" t="str">
        <f t="shared" si="15"/>
        <v>Normal</v>
      </c>
      <c r="V75" s="91">
        <v>-0.62574750232796872</v>
      </c>
      <c r="W75" s="91">
        <v>26.574028527565375</v>
      </c>
      <c r="X75" s="39" t="str">
        <f t="shared" si="8"/>
        <v>Normal</v>
      </c>
      <c r="Y75" s="116">
        <v>0.27688056216105345</v>
      </c>
      <c r="Z75" s="91">
        <v>60.906409076618239</v>
      </c>
      <c r="AA75" s="39" t="str">
        <f t="shared" si="9"/>
        <v>Normal</v>
      </c>
    </row>
    <row r="76" spans="1:27" ht="15.75" x14ac:dyDescent="0.25">
      <c r="A76" s="72">
        <v>73</v>
      </c>
      <c r="B76" s="73" t="s">
        <v>350</v>
      </c>
      <c r="C76" s="72">
        <v>2</v>
      </c>
      <c r="D76" s="72" t="s">
        <v>7</v>
      </c>
      <c r="E76" s="72">
        <v>1</v>
      </c>
      <c r="F76" s="74">
        <v>41958</v>
      </c>
      <c r="G76" s="68">
        <v>44463</v>
      </c>
      <c r="H76" s="69">
        <f t="shared" si="10"/>
        <v>6</v>
      </c>
      <c r="I76" s="69">
        <f t="shared" si="11"/>
        <v>82</v>
      </c>
      <c r="J76" s="72">
        <v>22.1</v>
      </c>
      <c r="K76" s="72">
        <v>1.22</v>
      </c>
      <c r="L76" s="65">
        <f t="shared" si="12"/>
        <v>122</v>
      </c>
      <c r="M76" s="72">
        <f>105-40</f>
        <v>65</v>
      </c>
      <c r="N76" s="70">
        <f t="shared" si="13"/>
        <v>46.721311475409841</v>
      </c>
      <c r="O76" s="65">
        <v>0</v>
      </c>
      <c r="P76" s="65">
        <v>0</v>
      </c>
      <c r="Q76" s="71">
        <f t="shared" si="14"/>
        <v>14.848159097016932</v>
      </c>
      <c r="S76" s="91">
        <v>-23.116042533518261</v>
      </c>
      <c r="T76" s="91">
        <v>1.596799996135726E-116</v>
      </c>
      <c r="U76" s="39" t="str">
        <f t="shared" si="15"/>
        <v>Desnutricion</v>
      </c>
      <c r="V76" s="91">
        <v>-1.8054792615797653E-2</v>
      </c>
      <c r="W76" s="91">
        <v>49.279757116640489</v>
      </c>
      <c r="X76" s="39" t="str">
        <f t="shared" si="8"/>
        <v>Normal</v>
      </c>
      <c r="Y76" s="116">
        <v>-0.45029048818366374</v>
      </c>
      <c r="Z76" s="91">
        <v>32.625049831166642</v>
      </c>
      <c r="AA76" s="39" t="str">
        <f t="shared" si="9"/>
        <v>Normal</v>
      </c>
    </row>
    <row r="77" spans="1:27" ht="15.75" x14ac:dyDescent="0.25">
      <c r="A77" s="65">
        <v>74</v>
      </c>
      <c r="B77" s="66" t="s">
        <v>755</v>
      </c>
      <c r="C77" s="65">
        <v>3</v>
      </c>
      <c r="D77" s="65" t="s">
        <v>7</v>
      </c>
      <c r="E77" s="65">
        <v>2</v>
      </c>
      <c r="F77" s="68">
        <v>41553</v>
      </c>
      <c r="G77" s="68">
        <v>44463</v>
      </c>
      <c r="H77" s="69">
        <f t="shared" si="10"/>
        <v>7</v>
      </c>
      <c r="I77" s="69">
        <f t="shared" si="11"/>
        <v>95</v>
      </c>
      <c r="J77" s="65">
        <v>36.799999999999997</v>
      </c>
      <c r="K77" s="65">
        <v>1.28</v>
      </c>
      <c r="L77" s="65">
        <f t="shared" si="12"/>
        <v>128</v>
      </c>
      <c r="M77" s="65">
        <f>106.6-40</f>
        <v>66.599999999999994</v>
      </c>
      <c r="N77" s="70">
        <f t="shared" si="13"/>
        <v>47.968750000000007</v>
      </c>
      <c r="O77" s="65">
        <v>0</v>
      </c>
      <c r="P77" s="65">
        <v>0</v>
      </c>
      <c r="Q77" s="71">
        <f t="shared" si="14"/>
        <v>22.460937499999996</v>
      </c>
      <c r="S77" s="91">
        <v>0.33437018232967752</v>
      </c>
      <c r="T77" s="91">
        <v>63.094988155879761</v>
      </c>
      <c r="U77" s="39" t="str">
        <f t="shared" si="15"/>
        <v>Normal</v>
      </c>
      <c r="V77" s="91">
        <v>0.26240223788076422</v>
      </c>
      <c r="W77" s="91">
        <v>60.349432623221787</v>
      </c>
      <c r="X77" s="39" t="str">
        <f t="shared" si="8"/>
        <v>Normal</v>
      </c>
      <c r="Y77" s="116">
        <v>2.5388672084823622</v>
      </c>
      <c r="Z77" s="91">
        <v>99.443939870631851</v>
      </c>
      <c r="AA77" s="39" t="str">
        <f t="shared" si="9"/>
        <v>Obesidad</v>
      </c>
    </row>
    <row r="78" spans="1:27" ht="15.75" x14ac:dyDescent="0.25">
      <c r="A78" s="72">
        <v>75</v>
      </c>
      <c r="B78" s="73" t="s">
        <v>351</v>
      </c>
      <c r="C78" s="72">
        <v>2</v>
      </c>
      <c r="D78" s="72" t="s">
        <v>26</v>
      </c>
      <c r="E78" s="72">
        <v>1</v>
      </c>
      <c r="F78" s="74">
        <v>41949</v>
      </c>
      <c r="G78" s="68">
        <v>44463</v>
      </c>
      <c r="H78" s="69">
        <f t="shared" si="10"/>
        <v>6</v>
      </c>
      <c r="I78" s="69">
        <f t="shared" si="11"/>
        <v>82</v>
      </c>
      <c r="J78" s="72">
        <v>22.3</v>
      </c>
      <c r="K78" s="72">
        <v>1.18</v>
      </c>
      <c r="L78" s="65">
        <f t="shared" si="12"/>
        <v>118</v>
      </c>
      <c r="M78" s="72">
        <f>104.6-40</f>
        <v>64.599999999999994</v>
      </c>
      <c r="N78" s="70">
        <f t="shared" si="13"/>
        <v>45.254237288135599</v>
      </c>
      <c r="O78" s="65">
        <v>0</v>
      </c>
      <c r="P78" s="65">
        <v>0</v>
      </c>
      <c r="Q78" s="71">
        <f t="shared" si="14"/>
        <v>16.015512783682851</v>
      </c>
      <c r="S78" s="91">
        <v>-0.53305421494675653</v>
      </c>
      <c r="T78" s="91">
        <v>29.699802579663142</v>
      </c>
      <c r="U78" s="39" t="str">
        <f t="shared" si="15"/>
        <v>Normal</v>
      </c>
      <c r="V78" s="91">
        <v>-0.95775713085687997</v>
      </c>
      <c r="W78" s="91">
        <v>16.909262038279977</v>
      </c>
      <c r="X78" s="39" t="str">
        <f t="shared" si="8"/>
        <v>Normal</v>
      </c>
      <c r="Y78" s="116">
        <v>0.3928429845550559</v>
      </c>
      <c r="Z78" s="91">
        <v>65.27822727044132</v>
      </c>
      <c r="AA78" s="39" t="str">
        <f t="shared" si="9"/>
        <v>Normal</v>
      </c>
    </row>
    <row r="79" spans="1:27" ht="15.75" x14ac:dyDescent="0.25">
      <c r="A79" s="72">
        <v>76</v>
      </c>
      <c r="B79" s="73" t="s">
        <v>352</v>
      </c>
      <c r="C79" s="72">
        <v>2</v>
      </c>
      <c r="D79" s="72" t="s">
        <v>26</v>
      </c>
      <c r="E79" s="72">
        <v>2</v>
      </c>
      <c r="F79" s="74">
        <v>41847</v>
      </c>
      <c r="G79" s="68">
        <v>44463</v>
      </c>
      <c r="H79" s="69">
        <f t="shared" si="10"/>
        <v>7</v>
      </c>
      <c r="I79" s="69">
        <f t="shared" si="11"/>
        <v>85</v>
      </c>
      <c r="J79" s="72">
        <v>26.1</v>
      </c>
      <c r="K79" s="72">
        <v>1.1499999999999999</v>
      </c>
      <c r="L79" s="65">
        <f t="shared" si="12"/>
        <v>114.99999999999999</v>
      </c>
      <c r="M79" s="72">
        <f>101.2-40</f>
        <v>61.2</v>
      </c>
      <c r="N79" s="70">
        <f t="shared" si="13"/>
        <v>46.782608695652165</v>
      </c>
      <c r="O79" s="65">
        <v>0</v>
      </c>
      <c r="P79" s="65">
        <v>0</v>
      </c>
      <c r="Q79" s="71">
        <f t="shared" si="14"/>
        <v>19.73534971644613</v>
      </c>
      <c r="S79" s="91">
        <v>-1.1435581701334261</v>
      </c>
      <c r="T79" s="91">
        <v>12.640345879333861</v>
      </c>
      <c r="U79" s="39" t="str">
        <f t="shared" si="15"/>
        <v>Normal</v>
      </c>
      <c r="V79" s="91">
        <v>-0.54558044914719173</v>
      </c>
      <c r="W79" s="91">
        <v>29.267718324051707</v>
      </c>
      <c r="X79" s="39" t="str">
        <f t="shared" si="8"/>
        <v>Normal</v>
      </c>
      <c r="Y79" s="116">
        <v>1.9624813731341129</v>
      </c>
      <c r="Z79" s="91">
        <v>97.514676642704245</v>
      </c>
      <c r="AA79" s="39" t="str">
        <f t="shared" si="9"/>
        <v>Obesidad</v>
      </c>
    </row>
    <row r="80" spans="1:27" ht="15.75" x14ac:dyDescent="0.25">
      <c r="A80" s="72">
        <v>77</v>
      </c>
      <c r="B80" s="73" t="s">
        <v>353</v>
      </c>
      <c r="C80" s="72">
        <v>2</v>
      </c>
      <c r="D80" s="72" t="s">
        <v>26</v>
      </c>
      <c r="E80" s="72">
        <v>2</v>
      </c>
      <c r="F80" s="74">
        <v>41805</v>
      </c>
      <c r="G80" s="68">
        <v>44463</v>
      </c>
      <c r="H80" s="69">
        <f t="shared" si="10"/>
        <v>7</v>
      </c>
      <c r="I80" s="69">
        <f t="shared" si="11"/>
        <v>87</v>
      </c>
      <c r="J80" s="72">
        <v>25.8</v>
      </c>
      <c r="K80" s="72">
        <v>1.26</v>
      </c>
      <c r="L80" s="65">
        <f t="shared" si="12"/>
        <v>126</v>
      </c>
      <c r="M80" s="72">
        <f>108.9-40</f>
        <v>68.900000000000006</v>
      </c>
      <c r="N80" s="70">
        <f t="shared" si="13"/>
        <v>45.317460317460309</v>
      </c>
      <c r="O80" s="65">
        <v>0</v>
      </c>
      <c r="P80" s="65">
        <v>0</v>
      </c>
      <c r="Q80" s="71">
        <f t="shared" si="14"/>
        <v>16.250944822373395</v>
      </c>
      <c r="S80" s="91">
        <v>0.67836734813330135</v>
      </c>
      <c r="T80" s="91">
        <v>75.123059674401873</v>
      </c>
      <c r="U80" s="39" t="str">
        <f t="shared" si="15"/>
        <v>Normal</v>
      </c>
      <c r="V80" s="91">
        <v>-1.5748397225270805</v>
      </c>
      <c r="W80" s="91">
        <v>5.7646722479109931</v>
      </c>
      <c r="X80" s="39" t="str">
        <f t="shared" si="8"/>
        <v>Normal</v>
      </c>
      <c r="Y80" s="116">
        <v>0.44436949926262753</v>
      </c>
      <c r="Z80" s="91">
        <v>67.161226929237202</v>
      </c>
      <c r="AA80" s="39" t="str">
        <f t="shared" si="9"/>
        <v>Normal</v>
      </c>
    </row>
    <row r="81" spans="1:27" ht="15.75" x14ac:dyDescent="0.25">
      <c r="A81" s="72">
        <v>78</v>
      </c>
      <c r="B81" s="73" t="s">
        <v>354</v>
      </c>
      <c r="C81" s="72">
        <v>2</v>
      </c>
      <c r="D81" s="72" t="s">
        <v>26</v>
      </c>
      <c r="E81" s="72">
        <v>1</v>
      </c>
      <c r="F81" s="74">
        <v>41695</v>
      </c>
      <c r="G81" s="68">
        <v>44463</v>
      </c>
      <c r="H81" s="69">
        <f t="shared" si="10"/>
        <v>7</v>
      </c>
      <c r="I81" s="69">
        <f t="shared" si="11"/>
        <v>90</v>
      </c>
      <c r="J81" s="72">
        <v>27.8</v>
      </c>
      <c r="K81" s="72">
        <v>1.25</v>
      </c>
      <c r="L81" s="65">
        <f t="shared" si="12"/>
        <v>125</v>
      </c>
      <c r="M81" s="72">
        <f>106.8-40</f>
        <v>66.8</v>
      </c>
      <c r="N81" s="70">
        <f t="shared" si="13"/>
        <v>46.56</v>
      </c>
      <c r="O81" s="65">
        <v>0</v>
      </c>
      <c r="P81" s="65">
        <v>0</v>
      </c>
      <c r="Q81" s="71">
        <f t="shared" si="14"/>
        <v>17.792000000000002</v>
      </c>
      <c r="S81" s="91">
        <v>8.4852489982233201E-2</v>
      </c>
      <c r="T81" s="91">
        <v>53.381066849918483</v>
      </c>
      <c r="U81" s="39" t="str">
        <f t="shared" si="15"/>
        <v>Normal</v>
      </c>
      <c r="V81" s="91">
        <v>-0.51018975593413507</v>
      </c>
      <c r="W81" s="91">
        <v>30.49592641515056</v>
      </c>
      <c r="X81" s="39" t="str">
        <f t="shared" si="8"/>
        <v>Normal</v>
      </c>
      <c r="Y81" s="116">
        <v>1.2947934852992018</v>
      </c>
      <c r="Z81" s="91">
        <v>90.230426002208503</v>
      </c>
      <c r="AA81" s="39" t="str">
        <f t="shared" si="9"/>
        <v>Obesidad</v>
      </c>
    </row>
    <row r="82" spans="1:27" ht="15.75" x14ac:dyDescent="0.25">
      <c r="A82" s="72">
        <v>79</v>
      </c>
      <c r="B82" s="73" t="s">
        <v>355</v>
      </c>
      <c r="C82" s="72">
        <v>2</v>
      </c>
      <c r="D82" s="72" t="s">
        <v>26</v>
      </c>
      <c r="E82" s="72">
        <v>1</v>
      </c>
      <c r="F82" s="74">
        <v>41910</v>
      </c>
      <c r="G82" s="68">
        <v>44463</v>
      </c>
      <c r="H82" s="69">
        <f t="shared" si="10"/>
        <v>6</v>
      </c>
      <c r="I82" s="69">
        <f t="shared" si="11"/>
        <v>83</v>
      </c>
      <c r="J82" s="72">
        <v>24.5</v>
      </c>
      <c r="K82" s="72">
        <v>1.25</v>
      </c>
      <c r="L82" s="65">
        <f t="shared" si="12"/>
        <v>125</v>
      </c>
      <c r="M82" s="72">
        <f>107.8-40</f>
        <v>67.8</v>
      </c>
      <c r="N82" s="70">
        <f t="shared" si="13"/>
        <v>45.76</v>
      </c>
      <c r="O82" s="65">
        <v>0</v>
      </c>
      <c r="P82" s="65">
        <v>0</v>
      </c>
      <c r="Q82" s="71">
        <f t="shared" si="14"/>
        <v>15.68</v>
      </c>
      <c r="S82" s="91">
        <v>0.71156937379658669</v>
      </c>
      <c r="T82" s="91">
        <v>76.163426119887006</v>
      </c>
      <c r="U82" s="39" t="str">
        <f t="shared" si="15"/>
        <v>Normal</v>
      </c>
      <c r="V82" s="91">
        <v>-0.6301100794330623</v>
      </c>
      <c r="W82" s="91">
        <v>26.431128275174419</v>
      </c>
      <c r="X82" s="39" t="str">
        <f t="shared" si="8"/>
        <v>Normal</v>
      </c>
      <c r="Y82" s="116">
        <v>0.15155988411974416</v>
      </c>
      <c r="Z82" s="91">
        <v>56.023296218053453</v>
      </c>
      <c r="AA82" s="39" t="str">
        <f t="shared" si="9"/>
        <v>Normal</v>
      </c>
    </row>
    <row r="83" spans="1:27" ht="15.75" x14ac:dyDescent="0.25">
      <c r="A83" s="72">
        <v>80</v>
      </c>
      <c r="B83" s="73" t="s">
        <v>356</v>
      </c>
      <c r="C83" s="72">
        <v>2</v>
      </c>
      <c r="D83" s="72" t="s">
        <v>26</v>
      </c>
      <c r="E83" s="72">
        <v>1</v>
      </c>
      <c r="F83" s="74">
        <v>41722</v>
      </c>
      <c r="G83" s="68">
        <v>44463</v>
      </c>
      <c r="H83" s="69">
        <f t="shared" si="10"/>
        <v>7</v>
      </c>
      <c r="I83" s="69">
        <f t="shared" si="11"/>
        <v>90</v>
      </c>
      <c r="J83" s="72">
        <v>23.6</v>
      </c>
      <c r="K83" s="72">
        <v>1.24</v>
      </c>
      <c r="L83" s="65">
        <f t="shared" si="12"/>
        <v>124</v>
      </c>
      <c r="M83" s="72">
        <f>107.8-40</f>
        <v>67.8</v>
      </c>
      <c r="N83" s="70">
        <f t="shared" si="13"/>
        <v>45.322580645161295</v>
      </c>
      <c r="O83" s="65">
        <v>0</v>
      </c>
      <c r="P83" s="65">
        <v>0</v>
      </c>
      <c r="Q83" s="71">
        <f t="shared" si="14"/>
        <v>15.348595213319459</v>
      </c>
      <c r="S83" s="91">
        <v>-9.8058676179082052E-2</v>
      </c>
      <c r="T83" s="91">
        <v>46.094285048040362</v>
      </c>
      <c r="U83" s="39" t="str">
        <f t="shared" si="15"/>
        <v>Normal</v>
      </c>
      <c r="V83" s="91">
        <v>-1.3284113585817752</v>
      </c>
      <c r="W83" s="91">
        <v>9.2021124555012737</v>
      </c>
      <c r="X83" s="39" t="str">
        <f t="shared" si="8"/>
        <v>Normal</v>
      </c>
      <c r="Y83" s="116">
        <v>-0.17847416838365676</v>
      </c>
      <c r="Z83" s="91">
        <v>42.917530307045716</v>
      </c>
      <c r="AA83" s="39" t="str">
        <f t="shared" si="9"/>
        <v>Normal</v>
      </c>
    </row>
    <row r="84" spans="1:27" ht="15.75" x14ac:dyDescent="0.25">
      <c r="A84" s="72">
        <v>81</v>
      </c>
      <c r="B84" s="73" t="s">
        <v>357</v>
      </c>
      <c r="C84" s="72">
        <v>2</v>
      </c>
      <c r="D84" s="72" t="s">
        <v>26</v>
      </c>
      <c r="E84" s="72">
        <v>2</v>
      </c>
      <c r="F84" s="74">
        <v>41915</v>
      </c>
      <c r="G84" s="68">
        <v>44463</v>
      </c>
      <c r="H84" s="69">
        <f t="shared" si="10"/>
        <v>6</v>
      </c>
      <c r="I84" s="69">
        <f t="shared" si="11"/>
        <v>83</v>
      </c>
      <c r="J84" s="72">
        <v>25.8</v>
      </c>
      <c r="K84" s="72">
        <v>1.23</v>
      </c>
      <c r="L84" s="65">
        <f t="shared" si="12"/>
        <v>123</v>
      </c>
      <c r="M84" s="72">
        <f>107.5-40</f>
        <v>67.5</v>
      </c>
      <c r="N84" s="70">
        <f t="shared" si="13"/>
        <v>45.121951219512198</v>
      </c>
      <c r="O84" s="65">
        <v>0</v>
      </c>
      <c r="P84" s="65">
        <v>0</v>
      </c>
      <c r="Q84" s="71">
        <f t="shared" si="14"/>
        <v>17.053341265119968</v>
      </c>
      <c r="S84" s="91">
        <v>0.48951597463480001</v>
      </c>
      <c r="T84" s="91">
        <v>68.776177611746675</v>
      </c>
      <c r="U84" s="39" t="str">
        <f t="shared" si="15"/>
        <v>Normal</v>
      </c>
      <c r="V84" s="91">
        <v>-1.2097874023460042</v>
      </c>
      <c r="W84" s="91">
        <v>11.318024070925528</v>
      </c>
      <c r="X84" s="39" t="str">
        <f t="shared" si="8"/>
        <v>Normal</v>
      </c>
      <c r="Y84" s="116">
        <v>0.90202174408799995</v>
      </c>
      <c r="Z84" s="91">
        <v>81.647734144039276</v>
      </c>
      <c r="AA84" s="39" t="str">
        <f t="shared" si="9"/>
        <v>Normal</v>
      </c>
    </row>
    <row r="85" spans="1:27" ht="15.75" x14ac:dyDescent="0.25">
      <c r="A85" s="72">
        <v>82</v>
      </c>
      <c r="B85" s="73" t="s">
        <v>358</v>
      </c>
      <c r="C85" s="72">
        <v>2</v>
      </c>
      <c r="D85" s="72" t="s">
        <v>26</v>
      </c>
      <c r="E85" s="72">
        <v>2</v>
      </c>
      <c r="F85" s="74">
        <v>41722</v>
      </c>
      <c r="G85" s="68">
        <v>44463</v>
      </c>
      <c r="H85" s="69">
        <f t="shared" si="10"/>
        <v>7</v>
      </c>
      <c r="I85" s="69">
        <f t="shared" si="11"/>
        <v>90</v>
      </c>
      <c r="J85" s="72">
        <v>20.2</v>
      </c>
      <c r="K85" s="72">
        <v>1.23</v>
      </c>
      <c r="L85" s="65">
        <f t="shared" si="12"/>
        <v>123</v>
      </c>
      <c r="M85" s="72">
        <f>105.4-40</f>
        <v>65.400000000000006</v>
      </c>
      <c r="N85" s="70">
        <f t="shared" si="13"/>
        <v>46.829268292682926</v>
      </c>
      <c r="O85" s="65">
        <v>0</v>
      </c>
      <c r="P85" s="65">
        <v>0</v>
      </c>
      <c r="Q85" s="71">
        <f t="shared" si="14"/>
        <v>13.351840835481525</v>
      </c>
      <c r="S85" s="91">
        <v>-0.11795903864963644</v>
      </c>
      <c r="T85" s="91">
        <v>45.30500568229656</v>
      </c>
      <c r="U85" s="39" t="str">
        <f t="shared" si="15"/>
        <v>Normal</v>
      </c>
      <c r="V85" s="91">
        <v>-0.51337886027686419</v>
      </c>
      <c r="W85" s="91">
        <v>30.384316503724062</v>
      </c>
      <c r="X85" s="39" t="str">
        <f t="shared" si="8"/>
        <v>Normal</v>
      </c>
      <c r="Y85" s="116">
        <v>-1.5144055875257936</v>
      </c>
      <c r="Z85" s="91">
        <v>6.4961501497474208</v>
      </c>
      <c r="AA85" s="39" t="str">
        <f t="shared" si="9"/>
        <v>Bajo Peso</v>
      </c>
    </row>
    <row r="86" spans="1:27" ht="15.75" x14ac:dyDescent="0.25">
      <c r="A86" s="72">
        <v>83</v>
      </c>
      <c r="B86" s="73" t="s">
        <v>359</v>
      </c>
      <c r="C86" s="72">
        <v>2</v>
      </c>
      <c r="D86" s="72" t="s">
        <v>26</v>
      </c>
      <c r="E86" s="72">
        <v>1</v>
      </c>
      <c r="F86" s="74">
        <v>41867</v>
      </c>
      <c r="G86" s="68">
        <v>44463</v>
      </c>
      <c r="H86" s="69">
        <f t="shared" si="10"/>
        <v>7</v>
      </c>
      <c r="I86" s="69">
        <f t="shared" si="11"/>
        <v>85</v>
      </c>
      <c r="J86" s="72">
        <v>26</v>
      </c>
      <c r="K86" s="72">
        <v>1.25</v>
      </c>
      <c r="L86" s="65">
        <f t="shared" si="12"/>
        <v>125</v>
      </c>
      <c r="M86" s="72">
        <f>107.4-40</f>
        <v>67.400000000000006</v>
      </c>
      <c r="N86" s="70">
        <f t="shared" si="13"/>
        <v>46.079999999999991</v>
      </c>
      <c r="O86" s="65">
        <v>0</v>
      </c>
      <c r="P86" s="65">
        <v>0</v>
      </c>
      <c r="Q86" s="71">
        <f t="shared" si="14"/>
        <v>16.64</v>
      </c>
      <c r="S86" s="91">
        <v>0.52572169137913416</v>
      </c>
      <c r="T86" s="91">
        <v>70.045920483929152</v>
      </c>
      <c r="U86" s="39" t="str">
        <f t="shared" si="15"/>
        <v>Normal</v>
      </c>
      <c r="V86" s="91">
        <v>-0.8247629083861705</v>
      </c>
      <c r="W86" s="91">
        <v>20.475310430853085</v>
      </c>
      <c r="X86" s="39" t="str">
        <f t="shared" si="8"/>
        <v>Normal</v>
      </c>
      <c r="Y86" s="116">
        <v>0.74440822807021723</v>
      </c>
      <c r="Z86" s="91">
        <v>77.168522866744965</v>
      </c>
      <c r="AA86" s="39" t="str">
        <f t="shared" si="9"/>
        <v>Normal</v>
      </c>
    </row>
    <row r="87" spans="1:27" ht="15.75" x14ac:dyDescent="0.25">
      <c r="A87" s="72">
        <v>84</v>
      </c>
      <c r="B87" s="73" t="s">
        <v>360</v>
      </c>
      <c r="C87" s="72">
        <v>2</v>
      </c>
      <c r="D87" s="72" t="s">
        <v>26</v>
      </c>
      <c r="E87" s="72">
        <v>1</v>
      </c>
      <c r="F87" s="74">
        <v>41706</v>
      </c>
      <c r="G87" s="68">
        <v>44463</v>
      </c>
      <c r="H87" s="69">
        <f t="shared" si="10"/>
        <v>7</v>
      </c>
      <c r="I87" s="69">
        <f t="shared" si="11"/>
        <v>90</v>
      </c>
      <c r="J87" s="72">
        <v>29.3</v>
      </c>
      <c r="K87" s="72">
        <v>1.26</v>
      </c>
      <c r="L87" s="65">
        <f t="shared" si="12"/>
        <v>126</v>
      </c>
      <c r="M87" s="72">
        <f>109.3-40</f>
        <v>69.3</v>
      </c>
      <c r="N87" s="70">
        <f t="shared" si="13"/>
        <v>45</v>
      </c>
      <c r="O87" s="65">
        <v>0</v>
      </c>
      <c r="P87" s="65">
        <v>0</v>
      </c>
      <c r="Q87" s="71">
        <f t="shared" si="14"/>
        <v>18.455530360292265</v>
      </c>
      <c r="S87" s="91">
        <v>0.26776365614355097</v>
      </c>
      <c r="T87" s="91">
        <v>60.555937617235543</v>
      </c>
      <c r="U87" s="39" t="str">
        <f t="shared" si="15"/>
        <v>Normal</v>
      </c>
      <c r="V87" s="91">
        <v>-1.5456776769922029</v>
      </c>
      <c r="W87" s="91">
        <v>6.1091215531149841</v>
      </c>
      <c r="X87" s="39" t="str">
        <f t="shared" si="8"/>
        <v>Normal</v>
      </c>
      <c r="Y87" s="116">
        <v>1.6164411557912626</v>
      </c>
      <c r="Z87" s="91">
        <v>94.70005168733995</v>
      </c>
      <c r="AA87" s="39" t="str">
        <f t="shared" si="9"/>
        <v>Obesidad</v>
      </c>
    </row>
    <row r="88" spans="1:27" ht="15.75" x14ac:dyDescent="0.25">
      <c r="A88" s="55">
        <v>85</v>
      </c>
      <c r="B88" s="73" t="s">
        <v>361</v>
      </c>
      <c r="C88" s="72">
        <v>2</v>
      </c>
      <c r="D88" s="72" t="s">
        <v>26</v>
      </c>
      <c r="E88" s="72">
        <v>1</v>
      </c>
      <c r="F88" s="2">
        <v>41950</v>
      </c>
      <c r="G88" s="68">
        <v>44463</v>
      </c>
      <c r="H88" s="69">
        <f t="shared" si="10"/>
        <v>6</v>
      </c>
      <c r="I88" s="69">
        <f t="shared" si="11"/>
        <v>82</v>
      </c>
      <c r="J88" s="72">
        <v>35.200000000000003</v>
      </c>
      <c r="K88" s="72">
        <v>1.23</v>
      </c>
      <c r="L88" s="65">
        <f t="shared" si="12"/>
        <v>123</v>
      </c>
      <c r="M88" s="1">
        <f>107.4-40</f>
        <v>67.400000000000006</v>
      </c>
      <c r="N88" s="70">
        <f t="shared" si="13"/>
        <v>45.203252032520318</v>
      </c>
      <c r="O88" s="65">
        <v>0</v>
      </c>
      <c r="P88" s="65">
        <v>0</v>
      </c>
      <c r="Q88" s="71">
        <f t="shared" si="14"/>
        <v>23.266574129155931</v>
      </c>
      <c r="S88" s="91">
        <v>0.42385206973847728</v>
      </c>
      <c r="T88" s="91">
        <v>66.416314939265675</v>
      </c>
      <c r="U88" s="39" t="str">
        <f t="shared" si="15"/>
        <v>Normal</v>
      </c>
      <c r="V88" s="91">
        <v>-0.99100734473297925</v>
      </c>
      <c r="W88" s="91">
        <v>16.084099693564301</v>
      </c>
      <c r="X88" s="39" t="str">
        <f t="shared" si="8"/>
        <v>Normal</v>
      </c>
      <c r="Y88" s="116">
        <v>3.5920403163708117</v>
      </c>
      <c r="Z88" s="91">
        <v>99.983595046287078</v>
      </c>
      <c r="AA88" s="39" t="str">
        <f t="shared" si="9"/>
        <v>Obesidad</v>
      </c>
    </row>
    <row r="89" spans="1:27" ht="15.75" x14ac:dyDescent="0.25">
      <c r="A89" s="72">
        <v>86</v>
      </c>
      <c r="B89" s="73" t="s">
        <v>362</v>
      </c>
      <c r="C89" s="72">
        <v>2</v>
      </c>
      <c r="D89" s="72" t="s">
        <v>26</v>
      </c>
      <c r="E89" s="72">
        <v>1</v>
      </c>
      <c r="F89" s="2">
        <v>41825</v>
      </c>
      <c r="G89" s="68">
        <v>44463</v>
      </c>
      <c r="H89" s="69">
        <f t="shared" si="10"/>
        <v>7</v>
      </c>
      <c r="I89" s="69">
        <f t="shared" si="11"/>
        <v>86</v>
      </c>
      <c r="J89" s="72">
        <v>24.3</v>
      </c>
      <c r="K89" s="72">
        <v>1.24</v>
      </c>
      <c r="L89" s="65">
        <f t="shared" si="12"/>
        <v>124</v>
      </c>
      <c r="M89" s="1">
        <f>108.8-40</f>
        <v>68.8</v>
      </c>
      <c r="N89" s="70">
        <f t="shared" si="13"/>
        <v>44.516129032258064</v>
      </c>
      <c r="O89" s="65">
        <v>0</v>
      </c>
      <c r="P89" s="65">
        <v>0</v>
      </c>
      <c r="Q89" s="71">
        <f t="shared" si="14"/>
        <v>15.803850156087409</v>
      </c>
      <c r="S89" s="91">
        <v>0.24784067641612462</v>
      </c>
      <c r="T89" s="91">
        <v>59.787115934409506</v>
      </c>
      <c r="U89" s="39" t="str">
        <f t="shared" si="15"/>
        <v>Normal</v>
      </c>
      <c r="V89" s="91">
        <v>-1.8747495140705766</v>
      </c>
      <c r="W89" s="91">
        <v>3.0413595806075842</v>
      </c>
      <c r="X89" s="39" t="str">
        <f t="shared" si="8"/>
        <v>Piernas cortas</v>
      </c>
      <c r="Y89" s="116">
        <v>0.19533560842360573</v>
      </c>
      <c r="Z89" s="91">
        <v>57.743488877126325</v>
      </c>
      <c r="AA89" s="39" t="str">
        <f t="shared" si="9"/>
        <v>Normal</v>
      </c>
    </row>
    <row r="90" spans="1:27" ht="15.75" x14ac:dyDescent="0.25">
      <c r="A90" s="72">
        <v>87</v>
      </c>
      <c r="B90" s="73" t="s">
        <v>363</v>
      </c>
      <c r="C90" s="72">
        <v>2</v>
      </c>
      <c r="D90" s="72" t="s">
        <v>26</v>
      </c>
      <c r="E90" s="72">
        <v>2</v>
      </c>
      <c r="F90" s="2">
        <v>41844</v>
      </c>
      <c r="G90" s="68">
        <v>44463</v>
      </c>
      <c r="H90" s="69">
        <f t="shared" si="10"/>
        <v>7</v>
      </c>
      <c r="I90" s="69">
        <f t="shared" si="11"/>
        <v>86</v>
      </c>
      <c r="J90" s="72">
        <v>27.9</v>
      </c>
      <c r="K90" s="72">
        <v>1.26</v>
      </c>
      <c r="L90" s="65">
        <f t="shared" si="12"/>
        <v>126</v>
      </c>
      <c r="M90" s="1">
        <f>108.7-40</f>
        <v>68.7</v>
      </c>
      <c r="N90" s="70">
        <f t="shared" si="13"/>
        <v>45.476190476190474</v>
      </c>
      <c r="O90" s="65">
        <v>0</v>
      </c>
      <c r="P90" s="65">
        <v>0</v>
      </c>
      <c r="Q90" s="71">
        <f t="shared" si="14"/>
        <v>17.573696145124714</v>
      </c>
      <c r="S90" s="91">
        <v>0.76793762104681784</v>
      </c>
      <c r="T90" s="91">
        <v>77.87378773617678</v>
      </c>
      <c r="U90" s="39" t="str">
        <f t="shared" si="15"/>
        <v>Normal</v>
      </c>
      <c r="V90" s="91">
        <v>-1.461602847399325</v>
      </c>
      <c r="W90" s="91">
        <v>7.1925036835381695</v>
      </c>
      <c r="X90" s="39" t="str">
        <f t="shared" si="8"/>
        <v>Normal</v>
      </c>
      <c r="Y90" s="116">
        <v>1.1007575101619966</v>
      </c>
      <c r="Z90" s="91">
        <v>86.44988955402907</v>
      </c>
      <c r="AA90" s="39" t="str">
        <f t="shared" si="9"/>
        <v>Obesidad</v>
      </c>
    </row>
    <row r="91" spans="1:27" ht="15.75" x14ac:dyDescent="0.25">
      <c r="A91" s="72">
        <v>88</v>
      </c>
      <c r="B91" s="73" t="s">
        <v>364</v>
      </c>
      <c r="C91" s="72">
        <v>2</v>
      </c>
      <c r="D91" s="72" t="s">
        <v>26</v>
      </c>
      <c r="E91" s="72">
        <v>1</v>
      </c>
      <c r="F91" s="2">
        <v>41907</v>
      </c>
      <c r="G91" s="68">
        <v>44463</v>
      </c>
      <c r="H91" s="69">
        <f t="shared" si="10"/>
        <v>6</v>
      </c>
      <c r="I91" s="69">
        <f t="shared" si="11"/>
        <v>83</v>
      </c>
      <c r="J91" s="72">
        <v>30.6</v>
      </c>
      <c r="K91" s="72">
        <v>1.24</v>
      </c>
      <c r="L91" s="65">
        <f t="shared" si="12"/>
        <v>124</v>
      </c>
      <c r="M91" s="1">
        <f>108.2-40</f>
        <v>68.2</v>
      </c>
      <c r="N91" s="70">
        <f t="shared" si="13"/>
        <v>44.999999999999993</v>
      </c>
      <c r="O91" s="65">
        <v>0</v>
      </c>
      <c r="P91" s="65">
        <v>0</v>
      </c>
      <c r="Q91" s="71">
        <f t="shared" si="14"/>
        <v>19.901144640998961</v>
      </c>
      <c r="S91" s="91">
        <v>0.52128983218877445</v>
      </c>
      <c r="T91" s="91">
        <v>69.89175584810252</v>
      </c>
      <c r="U91" s="39" t="str">
        <f t="shared" si="15"/>
        <v>Normal</v>
      </c>
      <c r="V91" s="91">
        <v>-1.1239650859487014</v>
      </c>
      <c r="W91" s="91">
        <v>13.051391891309095</v>
      </c>
      <c r="X91" s="39" t="str">
        <f t="shared" si="8"/>
        <v>Normal</v>
      </c>
      <c r="Y91" s="116">
        <v>2.401552061091405</v>
      </c>
      <c r="Z91" s="91">
        <v>99.183715708567306</v>
      </c>
      <c r="AA91" s="39" t="str">
        <f t="shared" si="9"/>
        <v>Obesidad</v>
      </c>
    </row>
    <row r="92" spans="1:27" ht="15.75" x14ac:dyDescent="0.25">
      <c r="A92" s="72">
        <v>89</v>
      </c>
      <c r="B92" s="73" t="s">
        <v>365</v>
      </c>
      <c r="C92" s="72">
        <v>2</v>
      </c>
      <c r="D92" s="72" t="s">
        <v>26</v>
      </c>
      <c r="E92" s="72">
        <v>1</v>
      </c>
      <c r="F92" s="2">
        <v>41936</v>
      </c>
      <c r="G92" s="68">
        <v>44463</v>
      </c>
      <c r="H92" s="69">
        <f t="shared" si="10"/>
        <v>6</v>
      </c>
      <c r="I92" s="69">
        <f t="shared" si="11"/>
        <v>83</v>
      </c>
      <c r="J92" s="72">
        <v>23.1</v>
      </c>
      <c r="K92" s="72">
        <v>1.19</v>
      </c>
      <c r="L92" s="65">
        <f t="shared" si="12"/>
        <v>119</v>
      </c>
      <c r="M92" s="1">
        <f>104.2-40</f>
        <v>64.2</v>
      </c>
      <c r="N92" s="70">
        <f t="shared" si="13"/>
        <v>46.050420168067227</v>
      </c>
      <c r="O92" s="65">
        <v>0</v>
      </c>
      <c r="P92" s="65">
        <v>0</v>
      </c>
      <c r="Q92" s="71">
        <f t="shared" si="14"/>
        <v>16.312407315867524</v>
      </c>
      <c r="S92" s="91">
        <v>-0.43010787585030746</v>
      </c>
      <c r="T92" s="91">
        <v>33.355858559162158</v>
      </c>
      <c r="U92" s="39" t="str">
        <f t="shared" si="15"/>
        <v>Normal</v>
      </c>
      <c r="V92" s="91">
        <v>-0.4437414394927271</v>
      </c>
      <c r="W92" s="91">
        <v>32.861476570081244</v>
      </c>
      <c r="X92" s="39" t="str">
        <f t="shared" si="8"/>
        <v>Normal</v>
      </c>
      <c r="Y92" s="116">
        <v>0.57167460790485281</v>
      </c>
      <c r="Z92" s="91">
        <v>71.622877999235087</v>
      </c>
      <c r="AA92" s="39" t="str">
        <f t="shared" si="9"/>
        <v>Normal</v>
      </c>
    </row>
    <row r="93" spans="1:27" ht="15.75" x14ac:dyDescent="0.25">
      <c r="A93" s="72">
        <v>90</v>
      </c>
      <c r="B93" s="73" t="s">
        <v>366</v>
      </c>
      <c r="C93" s="72">
        <v>2</v>
      </c>
      <c r="D93" s="72" t="s">
        <v>26</v>
      </c>
      <c r="E93" s="72">
        <v>1</v>
      </c>
      <c r="F93" s="2">
        <v>41888</v>
      </c>
      <c r="G93" s="68">
        <v>44463</v>
      </c>
      <c r="H93" s="69">
        <f t="shared" si="10"/>
        <v>7</v>
      </c>
      <c r="I93" s="69">
        <f t="shared" si="11"/>
        <v>84</v>
      </c>
      <c r="J93" s="72">
        <v>25.3</v>
      </c>
      <c r="K93" s="72">
        <v>1.23</v>
      </c>
      <c r="L93" s="65">
        <f t="shared" si="12"/>
        <v>123</v>
      </c>
      <c r="M93" s="1">
        <f>106.7-40</f>
        <v>66.7</v>
      </c>
      <c r="N93" s="70">
        <f t="shared" si="13"/>
        <v>45.772357723577237</v>
      </c>
      <c r="O93" s="65">
        <v>0</v>
      </c>
      <c r="P93" s="65">
        <v>0</v>
      </c>
      <c r="Q93" s="71">
        <f t="shared" si="14"/>
        <v>16.722850155330821</v>
      </c>
      <c r="S93" s="91">
        <v>0.23955283287555718</v>
      </c>
      <c r="T93" s="91">
        <v>59.466153299520272</v>
      </c>
      <c r="U93" s="39" t="str">
        <f t="shared" si="15"/>
        <v>Normal</v>
      </c>
      <c r="V93" s="91">
        <v>-1.0282452043754671</v>
      </c>
      <c r="W93" s="91">
        <v>15.191724970622245</v>
      </c>
      <c r="X93" s="39" t="str">
        <f t="shared" si="8"/>
        <v>Normal</v>
      </c>
      <c r="Y93" s="116">
        <v>0.80988309637070255</v>
      </c>
      <c r="Z93" s="91">
        <v>79.099631607085627</v>
      </c>
      <c r="AA93" s="39" t="str">
        <f t="shared" si="9"/>
        <v>Normal</v>
      </c>
    </row>
    <row r="94" spans="1:27" ht="15.75" x14ac:dyDescent="0.25">
      <c r="A94" s="72">
        <v>91</v>
      </c>
      <c r="B94" s="73" t="s">
        <v>375</v>
      </c>
      <c r="C94" s="72">
        <v>2</v>
      </c>
      <c r="D94" s="72" t="s">
        <v>26</v>
      </c>
      <c r="E94" s="72">
        <v>1</v>
      </c>
      <c r="F94" s="2">
        <v>41704</v>
      </c>
      <c r="G94" s="68">
        <v>44463</v>
      </c>
      <c r="H94" s="69">
        <f t="shared" si="10"/>
        <v>7</v>
      </c>
      <c r="I94" s="69">
        <f t="shared" si="11"/>
        <v>90</v>
      </c>
      <c r="J94" s="72">
        <v>35.700000000000003</v>
      </c>
      <c r="K94" s="72">
        <v>1.34</v>
      </c>
      <c r="L94" s="65">
        <f t="shared" si="12"/>
        <v>134</v>
      </c>
      <c r="M94" s="1">
        <f>108.3-40</f>
        <v>68.3</v>
      </c>
      <c r="N94" s="70">
        <f t="shared" si="13"/>
        <v>49.029850746268657</v>
      </c>
      <c r="O94" s="65">
        <v>0</v>
      </c>
      <c r="P94" s="65">
        <v>0</v>
      </c>
      <c r="Q94" s="71">
        <f t="shared" si="14"/>
        <v>19.881933615504565</v>
      </c>
      <c r="S94" s="91">
        <v>1.731052985434073</v>
      </c>
      <c r="T94" s="91">
        <v>95.82788426940516</v>
      </c>
      <c r="U94" s="39" t="str">
        <f t="shared" si="15"/>
        <v>Alto</v>
      </c>
      <c r="V94" s="91">
        <v>1.0549780290435722</v>
      </c>
      <c r="W94" s="91">
        <v>85.428231334816473</v>
      </c>
      <c r="X94" s="39" t="str">
        <f t="shared" si="8"/>
        <v>Normal</v>
      </c>
      <c r="Y94" s="116">
        <v>2.2230659282536944</v>
      </c>
      <c r="Z94" s="91">
        <v>98.689432264267168</v>
      </c>
      <c r="AA94" s="39" t="str">
        <f t="shared" si="9"/>
        <v>Obesidad</v>
      </c>
    </row>
    <row r="95" spans="1:27" ht="15.75" x14ac:dyDescent="0.25">
      <c r="A95" s="72">
        <v>92</v>
      </c>
      <c r="B95" s="73" t="s">
        <v>367</v>
      </c>
      <c r="C95" s="72">
        <v>2</v>
      </c>
      <c r="D95" s="72" t="s">
        <v>26</v>
      </c>
      <c r="E95" s="72">
        <v>2</v>
      </c>
      <c r="F95" s="2">
        <v>41838</v>
      </c>
      <c r="G95" s="68">
        <v>44463</v>
      </c>
      <c r="H95" s="69">
        <f t="shared" si="10"/>
        <v>7</v>
      </c>
      <c r="I95" s="69">
        <f t="shared" si="11"/>
        <v>86</v>
      </c>
      <c r="J95" s="72">
        <v>23.9</v>
      </c>
      <c r="K95" s="72">
        <v>1.37</v>
      </c>
      <c r="L95" s="65">
        <f t="shared" si="12"/>
        <v>137</v>
      </c>
      <c r="M95" s="1">
        <f>102.7-40</f>
        <v>62.7</v>
      </c>
      <c r="N95" s="70">
        <f t="shared" si="13"/>
        <v>54.23357664233577</v>
      </c>
      <c r="O95" s="65">
        <v>0</v>
      </c>
      <c r="P95" s="65">
        <v>0</v>
      </c>
      <c r="Q95" s="71">
        <f t="shared" si="14"/>
        <v>12.733763120038359</v>
      </c>
      <c r="S95" s="91">
        <v>2.7596179623372179</v>
      </c>
      <c r="T95" s="91">
        <v>99.710655046266041</v>
      </c>
      <c r="U95" s="39" t="str">
        <f t="shared" si="15"/>
        <v>Alto</v>
      </c>
      <c r="V95" s="91">
        <v>4.1990369880196727</v>
      </c>
      <c r="W95" s="91">
        <v>99.998659737316459</v>
      </c>
      <c r="X95" s="39" t="str">
        <f t="shared" si="8"/>
        <v>Piernas largas</v>
      </c>
      <c r="Y95" s="116">
        <v>-2.0168733898308662</v>
      </c>
      <c r="Z95" s="91">
        <v>2.1854363840532605</v>
      </c>
      <c r="AA95" s="39" t="str">
        <f t="shared" si="9"/>
        <v>Desnutricion</v>
      </c>
    </row>
    <row r="96" spans="1:27" ht="15.75" x14ac:dyDescent="0.25">
      <c r="A96" s="72">
        <v>93</v>
      </c>
      <c r="B96" s="73" t="s">
        <v>374</v>
      </c>
      <c r="C96" s="72">
        <v>2</v>
      </c>
      <c r="D96" s="72" t="s">
        <v>26</v>
      </c>
      <c r="E96" s="72">
        <v>2</v>
      </c>
      <c r="F96" s="2">
        <v>41880</v>
      </c>
      <c r="G96" s="68">
        <v>44463</v>
      </c>
      <c r="H96" s="69">
        <f t="shared" si="10"/>
        <v>7</v>
      </c>
      <c r="I96" s="69">
        <f t="shared" si="11"/>
        <v>84</v>
      </c>
      <c r="J96" s="72">
        <v>27.1</v>
      </c>
      <c r="K96" s="72">
        <v>1.22</v>
      </c>
      <c r="L96" s="65">
        <f t="shared" si="12"/>
        <v>122</v>
      </c>
      <c r="M96" s="1">
        <f>106.3-40</f>
        <v>66.3</v>
      </c>
      <c r="N96" s="70">
        <f t="shared" si="13"/>
        <v>45.655737704918039</v>
      </c>
      <c r="O96" s="65">
        <v>0</v>
      </c>
      <c r="P96" s="65">
        <v>0</v>
      </c>
      <c r="Q96" s="71">
        <f t="shared" si="14"/>
        <v>18.207471109916689</v>
      </c>
      <c r="S96" s="91">
        <v>0.21759112674543746</v>
      </c>
      <c r="T96" s="91">
        <v>58.612615065797357</v>
      </c>
      <c r="U96" s="39" t="str">
        <f t="shared" si="15"/>
        <v>Normal</v>
      </c>
      <c r="V96" s="91">
        <v>-1.334030544833354</v>
      </c>
      <c r="W96" s="91">
        <v>9.1096923159098271</v>
      </c>
      <c r="X96" s="39" t="str">
        <f t="shared" si="8"/>
        <v>Normal</v>
      </c>
      <c r="Y96" s="116">
        <v>1.4035886459137483</v>
      </c>
      <c r="Z96" s="91">
        <v>91.977931095964266</v>
      </c>
      <c r="AA96" s="39" t="str">
        <f t="shared" si="9"/>
        <v>Obesidad</v>
      </c>
    </row>
    <row r="97" spans="1:27" ht="15.75" x14ac:dyDescent="0.25">
      <c r="A97" s="72">
        <v>94</v>
      </c>
      <c r="B97" s="73" t="s">
        <v>368</v>
      </c>
      <c r="C97" s="72">
        <v>2</v>
      </c>
      <c r="D97" s="72" t="s">
        <v>26</v>
      </c>
      <c r="E97" s="72">
        <v>1</v>
      </c>
      <c r="F97" s="2">
        <v>41824</v>
      </c>
      <c r="G97" s="68">
        <v>44463</v>
      </c>
      <c r="H97" s="69">
        <f t="shared" si="10"/>
        <v>7</v>
      </c>
      <c r="I97" s="69">
        <f t="shared" si="11"/>
        <v>86</v>
      </c>
      <c r="J97" s="72">
        <v>20.9</v>
      </c>
      <c r="K97" s="72">
        <v>1.19</v>
      </c>
      <c r="L97" s="65">
        <f t="shared" si="12"/>
        <v>119</v>
      </c>
      <c r="M97" s="1">
        <f>105.8-40</f>
        <v>65.8</v>
      </c>
      <c r="N97" s="70">
        <f t="shared" si="13"/>
        <v>44.705882352941181</v>
      </c>
      <c r="O97" s="65">
        <v>0</v>
      </c>
      <c r="P97" s="65">
        <v>0</v>
      </c>
      <c r="Q97" s="71">
        <f t="shared" si="14"/>
        <v>14.75884471435633</v>
      </c>
      <c r="S97" s="91">
        <v>-0.68740715911642503</v>
      </c>
      <c r="T97" s="91">
        <v>24.591309373481522</v>
      </c>
      <c r="U97" s="39" t="str">
        <f t="shared" si="15"/>
        <v>Normal</v>
      </c>
      <c r="V97" s="91">
        <v>-1.7452436849849895</v>
      </c>
      <c r="W97" s="91">
        <v>4.0471229997195977</v>
      </c>
      <c r="X97" s="39" t="str">
        <f t="shared" si="8"/>
        <v>Piernas cortas</v>
      </c>
      <c r="Y97" s="116">
        <v>-0.56916382591451964</v>
      </c>
      <c r="Z97" s="91">
        <v>28.462248356319648</v>
      </c>
      <c r="AA97" s="39" t="str">
        <f t="shared" si="9"/>
        <v>Normal</v>
      </c>
    </row>
    <row r="98" spans="1:27" ht="15.75" x14ac:dyDescent="0.25">
      <c r="A98" s="72">
        <v>95</v>
      </c>
      <c r="B98" s="73" t="s">
        <v>369</v>
      </c>
      <c r="C98" s="72">
        <v>2</v>
      </c>
      <c r="D98" s="72" t="s">
        <v>26</v>
      </c>
      <c r="E98" s="72">
        <v>2</v>
      </c>
      <c r="F98" s="2">
        <v>41917</v>
      </c>
      <c r="G98" s="68">
        <v>44463</v>
      </c>
      <c r="H98" s="69">
        <f t="shared" si="10"/>
        <v>6</v>
      </c>
      <c r="I98" s="69">
        <f t="shared" si="11"/>
        <v>83</v>
      </c>
      <c r="J98" s="72">
        <v>23.6</v>
      </c>
      <c r="K98" s="72">
        <v>1.18</v>
      </c>
      <c r="L98" s="65">
        <f t="shared" si="12"/>
        <v>118</v>
      </c>
      <c r="M98" s="1">
        <f>103.9-40</f>
        <v>63.900000000000006</v>
      </c>
      <c r="N98" s="70">
        <f t="shared" si="13"/>
        <v>45.847457627118636</v>
      </c>
      <c r="O98" s="65">
        <v>0</v>
      </c>
      <c r="P98" s="65">
        <v>0</v>
      </c>
      <c r="Q98" s="71">
        <f t="shared" si="14"/>
        <v>16.949152542372882</v>
      </c>
      <c r="S98" s="91">
        <v>-0.42972832536294597</v>
      </c>
      <c r="T98" s="91">
        <v>33.36966381264395</v>
      </c>
      <c r="U98" s="39" t="str">
        <f t="shared" si="15"/>
        <v>Normal</v>
      </c>
      <c r="V98" s="91">
        <v>-0.71000376337924909</v>
      </c>
      <c r="W98" s="91">
        <v>23.885090121710377</v>
      </c>
      <c r="X98" s="39" t="str">
        <f t="shared" si="8"/>
        <v>Normal</v>
      </c>
      <c r="Y98" s="116">
        <v>0.85142805129817334</v>
      </c>
      <c r="Z98" s="91">
        <v>80.273419258366999</v>
      </c>
      <c r="AA98" s="39" t="str">
        <f t="shared" si="9"/>
        <v>Normal</v>
      </c>
    </row>
    <row r="99" spans="1:27" ht="15.75" x14ac:dyDescent="0.25">
      <c r="A99" s="72">
        <v>96</v>
      </c>
      <c r="B99" s="73" t="s">
        <v>373</v>
      </c>
      <c r="C99" s="72">
        <v>2</v>
      </c>
      <c r="D99" s="72" t="s">
        <v>26</v>
      </c>
      <c r="E99" s="72">
        <v>2</v>
      </c>
      <c r="F99" s="2">
        <v>41662</v>
      </c>
      <c r="G99" s="68">
        <v>44463</v>
      </c>
      <c r="H99" s="69">
        <f t="shared" si="10"/>
        <v>7</v>
      </c>
      <c r="I99" s="69">
        <f t="shared" si="11"/>
        <v>92</v>
      </c>
      <c r="J99" s="72">
        <v>26.7</v>
      </c>
      <c r="K99" s="72">
        <v>1.23</v>
      </c>
      <c r="L99" s="65">
        <f t="shared" si="12"/>
        <v>123</v>
      </c>
      <c r="M99" s="1">
        <f>107-40</f>
        <v>67</v>
      </c>
      <c r="N99" s="70">
        <f t="shared" si="13"/>
        <v>45.528455284552841</v>
      </c>
      <c r="O99" s="65">
        <v>0</v>
      </c>
      <c r="P99" s="65">
        <v>0</v>
      </c>
      <c r="Q99" s="71">
        <f t="shared" si="14"/>
        <v>17.648225262740432</v>
      </c>
      <c r="S99" s="91">
        <v>-0.28535478809945419</v>
      </c>
      <c r="T99" s="91">
        <v>38.768617099293024</v>
      </c>
      <c r="U99" s="39" t="str">
        <f t="shared" si="15"/>
        <v>Normal</v>
      </c>
      <c r="V99" s="91">
        <v>-1.4244112784135001</v>
      </c>
      <c r="W99" s="91">
        <v>7.7163725639022616</v>
      </c>
      <c r="X99" s="39" t="str">
        <f t="shared" si="8"/>
        <v>Normal</v>
      </c>
      <c r="Y99" s="116">
        <v>1.0363854495173197</v>
      </c>
      <c r="Z99" s="91">
        <v>84.998882209611111</v>
      </c>
      <c r="AA99" s="39" t="str">
        <f t="shared" si="9"/>
        <v>Normal</v>
      </c>
    </row>
    <row r="100" spans="1:27" ht="15.75" x14ac:dyDescent="0.25">
      <c r="A100" s="72">
        <v>97</v>
      </c>
      <c r="B100" s="73" t="s">
        <v>370</v>
      </c>
      <c r="C100" s="72">
        <v>2</v>
      </c>
      <c r="D100" s="72" t="s">
        <v>26</v>
      </c>
      <c r="E100" s="72">
        <v>1</v>
      </c>
      <c r="F100" s="2">
        <v>41820</v>
      </c>
      <c r="G100" s="68">
        <v>44463</v>
      </c>
      <c r="H100" s="69">
        <f t="shared" si="10"/>
        <v>7</v>
      </c>
      <c r="I100" s="69">
        <f t="shared" si="11"/>
        <v>86</v>
      </c>
      <c r="J100" s="72">
        <v>21.5</v>
      </c>
      <c r="K100" s="72">
        <v>1.2</v>
      </c>
      <c r="L100" s="65">
        <f t="shared" si="12"/>
        <v>120</v>
      </c>
      <c r="M100" s="1">
        <f>104-40</f>
        <v>64</v>
      </c>
      <c r="N100" s="70">
        <f t="shared" si="13"/>
        <v>46.666666666666664</v>
      </c>
      <c r="O100" s="65">
        <v>0</v>
      </c>
      <c r="P100" s="65">
        <v>0</v>
      </c>
      <c r="Q100" s="71">
        <f t="shared" si="14"/>
        <v>14.930555555555555</v>
      </c>
      <c r="S100" s="91">
        <v>-0.50035759200991614</v>
      </c>
      <c r="T100" s="91">
        <v>30.841165423500776</v>
      </c>
      <c r="U100" s="39" t="str">
        <f t="shared" si="15"/>
        <v>Normal</v>
      </c>
      <c r="V100" s="91">
        <v>-0.44075999793026088</v>
      </c>
      <c r="W100" s="91">
        <v>32.969337793779651</v>
      </c>
      <c r="X100" s="39" t="str">
        <f t="shared" si="8"/>
        <v>Normal</v>
      </c>
      <c r="Y100" s="116">
        <v>-0.43513248150550771</v>
      </c>
      <c r="Z100" s="91">
        <v>33.173313386740986</v>
      </c>
      <c r="AA100" s="39" t="str">
        <f t="shared" si="9"/>
        <v>Normal</v>
      </c>
    </row>
    <row r="101" spans="1:27" ht="15.75" x14ac:dyDescent="0.25">
      <c r="A101" s="72">
        <v>98</v>
      </c>
      <c r="B101" s="73" t="s">
        <v>371</v>
      </c>
      <c r="C101" s="72">
        <v>2</v>
      </c>
      <c r="D101" s="72" t="s">
        <v>26</v>
      </c>
      <c r="E101" s="72">
        <v>1</v>
      </c>
      <c r="F101" s="2">
        <v>41912</v>
      </c>
      <c r="G101" s="68">
        <v>44463</v>
      </c>
      <c r="H101" s="69">
        <f t="shared" si="10"/>
        <v>6</v>
      </c>
      <c r="I101" s="69">
        <f t="shared" si="11"/>
        <v>83</v>
      </c>
      <c r="J101" s="72">
        <v>28.9</v>
      </c>
      <c r="K101" s="72">
        <v>1.18</v>
      </c>
      <c r="L101" s="65">
        <f t="shared" si="12"/>
        <v>118</v>
      </c>
      <c r="M101" s="1">
        <f>103.5-40</f>
        <v>63.5</v>
      </c>
      <c r="N101" s="70">
        <f t="shared" si="13"/>
        <v>46.186440677966104</v>
      </c>
      <c r="O101" s="65">
        <v>0</v>
      </c>
      <c r="P101" s="65">
        <v>0</v>
      </c>
      <c r="Q101" s="71">
        <f t="shared" si="14"/>
        <v>20.755530020109166</v>
      </c>
      <c r="S101" s="91">
        <v>-0.62038741745812487</v>
      </c>
      <c r="T101" s="91">
        <v>26.750137717408084</v>
      </c>
      <c r="U101" s="39" t="str">
        <f t="shared" si="15"/>
        <v>Normal</v>
      </c>
      <c r="V101" s="91">
        <v>-0.35689290691966108</v>
      </c>
      <c r="W101" s="91">
        <v>36.05859899618725</v>
      </c>
      <c r="X101" s="39" t="str">
        <f t="shared" si="8"/>
        <v>Normal</v>
      </c>
      <c r="Y101" s="116">
        <v>2.734478131575437</v>
      </c>
      <c r="Z101" s="91">
        <v>99.687603772835601</v>
      </c>
      <c r="AA101" s="39" t="str">
        <f t="shared" si="9"/>
        <v>Obesidad</v>
      </c>
    </row>
    <row r="102" spans="1:27" ht="15.75" x14ac:dyDescent="0.25">
      <c r="A102" s="72">
        <v>99</v>
      </c>
      <c r="B102" s="73" t="s">
        <v>372</v>
      </c>
      <c r="C102" s="72">
        <v>2</v>
      </c>
      <c r="D102" s="72" t="s">
        <v>26</v>
      </c>
      <c r="E102" s="72">
        <v>2</v>
      </c>
      <c r="F102" s="2">
        <v>41908</v>
      </c>
      <c r="G102" s="68">
        <v>44463</v>
      </c>
      <c r="H102" s="69">
        <f t="shared" si="10"/>
        <v>6</v>
      </c>
      <c r="I102" s="69">
        <f t="shared" si="11"/>
        <v>83</v>
      </c>
      <c r="J102" s="72">
        <v>23.3</v>
      </c>
      <c r="K102" s="72">
        <v>1.22</v>
      </c>
      <c r="L102" s="65">
        <f t="shared" si="12"/>
        <v>122</v>
      </c>
      <c r="M102" s="1">
        <f>105.5-40</f>
        <v>65.5</v>
      </c>
      <c r="N102" s="70">
        <f t="shared" si="13"/>
        <v>46.311475409836063</v>
      </c>
      <c r="O102" s="65">
        <v>0</v>
      </c>
      <c r="P102" s="65">
        <v>0</v>
      </c>
      <c r="Q102" s="71">
        <f t="shared" si="14"/>
        <v>15.654393980112873</v>
      </c>
      <c r="S102" s="91">
        <v>0.30566711463525081</v>
      </c>
      <c r="T102" s="91">
        <v>62.007094283764744</v>
      </c>
      <c r="U102" s="39" t="str">
        <f t="shared" si="15"/>
        <v>Normal</v>
      </c>
      <c r="V102" s="91">
        <v>-0.39483634529754963</v>
      </c>
      <c r="W102" s="91">
        <v>34.648183498221108</v>
      </c>
      <c r="X102" s="39" t="str">
        <f t="shared" si="8"/>
        <v>Normal</v>
      </c>
      <c r="Y102" s="116">
        <v>0.15924367467233225</v>
      </c>
      <c r="Z102" s="91">
        <v>56.3261552277189</v>
      </c>
      <c r="AA102" s="39" t="str">
        <f t="shared" si="9"/>
        <v>Normal</v>
      </c>
    </row>
    <row r="103" spans="1:27" ht="15.75" x14ac:dyDescent="0.25">
      <c r="A103" s="72">
        <v>100</v>
      </c>
      <c r="B103" s="73" t="s">
        <v>376</v>
      </c>
      <c r="C103" s="72">
        <v>3</v>
      </c>
      <c r="D103" s="72" t="s">
        <v>7</v>
      </c>
      <c r="E103" s="72">
        <v>1</v>
      </c>
      <c r="F103" s="2">
        <v>41578</v>
      </c>
      <c r="G103" s="68">
        <v>44463</v>
      </c>
      <c r="H103" s="69">
        <f t="shared" si="10"/>
        <v>7</v>
      </c>
      <c r="I103" s="69">
        <f t="shared" si="11"/>
        <v>94</v>
      </c>
      <c r="J103" s="72">
        <v>41.8</v>
      </c>
      <c r="K103" s="72">
        <v>1.35</v>
      </c>
      <c r="L103" s="65">
        <f t="shared" si="12"/>
        <v>135</v>
      </c>
      <c r="M103" s="1">
        <f>113-40</f>
        <v>73</v>
      </c>
      <c r="N103" s="70">
        <f t="shared" si="13"/>
        <v>45.925925925925924</v>
      </c>
      <c r="O103" s="65">
        <v>0</v>
      </c>
      <c r="P103" s="65">
        <v>0</v>
      </c>
      <c r="Q103" s="71">
        <f t="shared" si="14"/>
        <v>22.9355281207133</v>
      </c>
      <c r="S103" s="91">
        <v>1.5455054132705066</v>
      </c>
      <c r="T103" s="91">
        <v>93.888796972812187</v>
      </c>
      <c r="U103" s="39" t="str">
        <f t="shared" si="15"/>
        <v>Normal</v>
      </c>
      <c r="V103" s="91">
        <v>-0.92648744130376459</v>
      </c>
      <c r="W103" s="91">
        <v>17.709636035504229</v>
      </c>
      <c r="X103" s="39" t="str">
        <f t="shared" si="8"/>
        <v>Normal</v>
      </c>
      <c r="Y103" s="116">
        <v>3.1019194051249328</v>
      </c>
      <c r="Z103" s="91">
        <v>99.903864851435429</v>
      </c>
      <c r="AA103" s="39" t="str">
        <f t="shared" si="9"/>
        <v>Obesidad</v>
      </c>
    </row>
    <row r="104" spans="1:27" ht="15.75" x14ac:dyDescent="0.25">
      <c r="A104" s="72">
        <v>101</v>
      </c>
      <c r="B104" s="73" t="s">
        <v>377</v>
      </c>
      <c r="C104" s="72">
        <v>3</v>
      </c>
      <c r="D104" s="72" t="s">
        <v>7</v>
      </c>
      <c r="E104" s="72">
        <v>2</v>
      </c>
      <c r="F104" s="2">
        <v>41275</v>
      </c>
      <c r="G104" s="68">
        <v>44463</v>
      </c>
      <c r="H104" s="69">
        <f t="shared" si="10"/>
        <v>8</v>
      </c>
      <c r="I104" s="69">
        <f t="shared" si="11"/>
        <v>104</v>
      </c>
      <c r="J104" s="72">
        <v>26.3</v>
      </c>
      <c r="K104" s="72">
        <v>1.58</v>
      </c>
      <c r="L104" s="65">
        <f t="shared" si="12"/>
        <v>158</v>
      </c>
      <c r="M104" s="1">
        <f>113.6-40</f>
        <v>73.599999999999994</v>
      </c>
      <c r="N104" s="70">
        <f t="shared" si="13"/>
        <v>53.417721518987349</v>
      </c>
      <c r="O104" s="65">
        <v>0</v>
      </c>
      <c r="P104" s="65">
        <v>0</v>
      </c>
      <c r="Q104" s="71">
        <f t="shared" si="14"/>
        <v>10.535170645729849</v>
      </c>
      <c r="S104" s="91">
        <v>4.578997414141476</v>
      </c>
      <c r="T104" s="91">
        <v>99.999766395013154</v>
      </c>
      <c r="U104" s="39" t="str">
        <f t="shared" si="15"/>
        <v>Alto</v>
      </c>
      <c r="V104" s="91">
        <v>3.385667477353457</v>
      </c>
      <c r="W104" s="91">
        <v>99.96449731658889</v>
      </c>
      <c r="X104" s="39" t="str">
        <f t="shared" si="8"/>
        <v>Piernas largas</v>
      </c>
      <c r="Y104" s="116">
        <v>-4.8743949671053688</v>
      </c>
      <c r="Z104" s="91">
        <v>5.4571217290030488E-5</v>
      </c>
      <c r="AA104" s="39" t="str">
        <f t="shared" si="9"/>
        <v>Desnutricion</v>
      </c>
    </row>
    <row r="105" spans="1:27" ht="15.75" x14ac:dyDescent="0.25">
      <c r="A105" s="72">
        <v>102</v>
      </c>
      <c r="B105" s="73" t="s">
        <v>378</v>
      </c>
      <c r="C105" s="72">
        <v>3</v>
      </c>
      <c r="D105" s="72" t="s">
        <v>7</v>
      </c>
      <c r="E105" s="72">
        <v>2</v>
      </c>
      <c r="F105" s="2">
        <v>41412</v>
      </c>
      <c r="G105" s="68">
        <v>44463</v>
      </c>
      <c r="H105" s="69">
        <f t="shared" si="10"/>
        <v>8</v>
      </c>
      <c r="I105" s="69">
        <f t="shared" si="11"/>
        <v>100</v>
      </c>
      <c r="J105" s="72">
        <v>28.9</v>
      </c>
      <c r="K105" s="72">
        <v>1.27</v>
      </c>
      <c r="L105" s="65">
        <f t="shared" si="12"/>
        <v>127</v>
      </c>
      <c r="M105" s="1">
        <f>106.7-40</f>
        <v>66.7</v>
      </c>
      <c r="N105" s="70">
        <f t="shared" si="13"/>
        <v>47.480314960629919</v>
      </c>
      <c r="O105" s="65">
        <v>0</v>
      </c>
      <c r="P105" s="65">
        <v>0</v>
      </c>
      <c r="Q105" s="71">
        <f t="shared" si="14"/>
        <v>17.91803583607167</v>
      </c>
      <c r="S105" s="91">
        <v>-0.25592031713245905</v>
      </c>
      <c r="T105" s="91">
        <v>39.900618306016241</v>
      </c>
      <c r="U105" s="39" t="str">
        <f t="shared" si="15"/>
        <v>Normal</v>
      </c>
      <c r="V105" s="91">
        <v>-0.39839816704536024</v>
      </c>
      <c r="W105" s="91">
        <v>34.5168354411175</v>
      </c>
      <c r="X105" s="39" t="str">
        <f t="shared" si="8"/>
        <v>Normal</v>
      </c>
      <c r="Y105" s="116">
        <v>1.0017949170590772</v>
      </c>
      <c r="Z105" s="91">
        <v>84.17786736681505</v>
      </c>
      <c r="AA105" s="39" t="str">
        <f t="shared" si="9"/>
        <v>Normal</v>
      </c>
    </row>
    <row r="106" spans="1:27" ht="15.75" x14ac:dyDescent="0.25">
      <c r="A106" s="72">
        <v>103</v>
      </c>
      <c r="B106" s="73" t="s">
        <v>379</v>
      </c>
      <c r="C106" s="72">
        <v>3</v>
      </c>
      <c r="D106" s="72" t="s">
        <v>7</v>
      </c>
      <c r="E106" s="72">
        <v>2</v>
      </c>
      <c r="F106" s="2">
        <v>41637</v>
      </c>
      <c r="G106" s="68">
        <v>44463</v>
      </c>
      <c r="H106" s="69">
        <f t="shared" si="10"/>
        <v>7</v>
      </c>
      <c r="I106" s="69">
        <f t="shared" si="11"/>
        <v>92</v>
      </c>
      <c r="J106" s="72">
        <v>19.899999999999999</v>
      </c>
      <c r="K106" s="72">
        <v>1.19</v>
      </c>
      <c r="L106" s="65">
        <f t="shared" si="12"/>
        <v>119</v>
      </c>
      <c r="M106" s="1">
        <f>104.7-40</f>
        <v>64.7</v>
      </c>
      <c r="N106" s="70">
        <f t="shared" si="13"/>
        <v>45.630252100840337</v>
      </c>
      <c r="O106" s="65">
        <v>0</v>
      </c>
      <c r="P106" s="65">
        <v>0</v>
      </c>
      <c r="Q106" s="71">
        <f t="shared" si="14"/>
        <v>14.052679895487607</v>
      </c>
      <c r="S106" s="91">
        <v>-0.98845886127785065</v>
      </c>
      <c r="T106" s="91">
        <v>16.146398626539071</v>
      </c>
      <c r="U106" s="39" t="str">
        <f t="shared" si="15"/>
        <v>Normal</v>
      </c>
      <c r="V106" s="91">
        <v>-1.3521054801225616</v>
      </c>
      <c r="W106" s="91">
        <v>8.8170787240335287</v>
      </c>
      <c r="X106" s="39" t="str">
        <f t="shared" si="8"/>
        <v>Normal</v>
      </c>
      <c r="Y106" s="116">
        <v>-0.991334685960227</v>
      </c>
      <c r="Z106" s="91">
        <v>16.076109064260415</v>
      </c>
      <c r="AA106" s="39" t="str">
        <f t="shared" si="9"/>
        <v>Normal</v>
      </c>
    </row>
    <row r="107" spans="1:27" ht="15.75" x14ac:dyDescent="0.25">
      <c r="A107" s="72">
        <v>104</v>
      </c>
      <c r="B107" s="73" t="s">
        <v>380</v>
      </c>
      <c r="C107" s="72">
        <v>3</v>
      </c>
      <c r="D107" s="72" t="s">
        <v>7</v>
      </c>
      <c r="E107" s="72">
        <v>1</v>
      </c>
      <c r="F107" s="2">
        <v>41506</v>
      </c>
      <c r="G107" s="68">
        <v>44463</v>
      </c>
      <c r="H107" s="69">
        <f t="shared" si="10"/>
        <v>8</v>
      </c>
      <c r="I107" s="69">
        <f t="shared" si="11"/>
        <v>97</v>
      </c>
      <c r="J107" s="72">
        <v>28.1</v>
      </c>
      <c r="K107" s="72">
        <v>1.31</v>
      </c>
      <c r="L107" s="65">
        <f t="shared" si="12"/>
        <v>131</v>
      </c>
      <c r="M107" s="1">
        <f>110-40</f>
        <v>70</v>
      </c>
      <c r="N107" s="70">
        <f t="shared" si="13"/>
        <v>46.564885496183209</v>
      </c>
      <c r="O107" s="65">
        <v>0</v>
      </c>
      <c r="P107" s="65">
        <v>0</v>
      </c>
      <c r="Q107" s="71">
        <f t="shared" si="14"/>
        <v>16.374337159839168</v>
      </c>
      <c r="S107" s="91">
        <v>0.57890685392313046</v>
      </c>
      <c r="T107" s="91">
        <v>71.867398737077764</v>
      </c>
      <c r="U107" s="39" t="str">
        <f t="shared" si="15"/>
        <v>Normal</v>
      </c>
      <c r="V107" s="91">
        <v>-0.84525217763926919</v>
      </c>
      <c r="W107" s="91">
        <v>19.898502776452244</v>
      </c>
      <c r="X107" s="39" t="str">
        <f t="shared" si="8"/>
        <v>Normal</v>
      </c>
      <c r="Y107" s="116">
        <v>0.38824040757763073</v>
      </c>
      <c r="Z107" s="91">
        <v>65.108093356556509</v>
      </c>
      <c r="AA107" s="39" t="str">
        <f t="shared" si="9"/>
        <v>Normal</v>
      </c>
    </row>
    <row r="108" spans="1:27" ht="15.75" x14ac:dyDescent="0.25">
      <c r="A108" s="72">
        <v>105</v>
      </c>
      <c r="B108" s="73" t="s">
        <v>381</v>
      </c>
      <c r="C108" s="72">
        <v>3</v>
      </c>
      <c r="D108" s="72" t="s">
        <v>7</v>
      </c>
      <c r="E108" s="72">
        <v>2</v>
      </c>
      <c r="F108" s="2">
        <v>41502</v>
      </c>
      <c r="G108" s="68">
        <v>44463</v>
      </c>
      <c r="H108" s="69">
        <f t="shared" si="10"/>
        <v>8</v>
      </c>
      <c r="I108" s="69">
        <f t="shared" si="11"/>
        <v>97</v>
      </c>
      <c r="J108" s="72">
        <v>22.5</v>
      </c>
      <c r="K108" s="72">
        <v>1.23</v>
      </c>
      <c r="L108" s="65">
        <f t="shared" si="12"/>
        <v>123</v>
      </c>
      <c r="M108" s="1">
        <f>107.9-40</f>
        <v>67.900000000000006</v>
      </c>
      <c r="N108" s="70">
        <f t="shared" si="13"/>
        <v>44.796747967479675</v>
      </c>
      <c r="O108" s="65">
        <v>0</v>
      </c>
      <c r="P108" s="65">
        <v>0</v>
      </c>
      <c r="Q108" s="71">
        <f t="shared" si="14"/>
        <v>14.872099940511601</v>
      </c>
      <c r="S108" s="91">
        <v>-0.69398687293546124</v>
      </c>
      <c r="T108" s="91">
        <v>24.384522063433501</v>
      </c>
      <c r="U108" s="39" t="str">
        <f t="shared" si="15"/>
        <v>Normal</v>
      </c>
      <c r="V108" s="91">
        <v>-2.2825910343099811</v>
      </c>
      <c r="W108" s="91">
        <v>1.1227234787807017</v>
      </c>
      <c r="X108" s="39" t="str">
        <f t="shared" si="8"/>
        <v>Piernas cortas</v>
      </c>
      <c r="Y108" s="116">
        <v>-0.50296407869639947</v>
      </c>
      <c r="Z108" s="91">
        <v>30.749476382626096</v>
      </c>
      <c r="AA108" s="39" t="str">
        <f t="shared" si="9"/>
        <v>Normal</v>
      </c>
    </row>
    <row r="109" spans="1:27" ht="15.75" x14ac:dyDescent="0.25">
      <c r="A109" s="72">
        <v>106</v>
      </c>
      <c r="B109" s="73" t="s">
        <v>382</v>
      </c>
      <c r="C109" s="72">
        <v>3</v>
      </c>
      <c r="D109" s="72" t="s">
        <v>7</v>
      </c>
      <c r="E109" s="72">
        <v>1</v>
      </c>
      <c r="F109" s="2">
        <v>41569</v>
      </c>
      <c r="G109" s="68">
        <v>44463</v>
      </c>
      <c r="H109" s="69">
        <f t="shared" si="10"/>
        <v>7</v>
      </c>
      <c r="I109" s="69">
        <f t="shared" si="11"/>
        <v>95</v>
      </c>
      <c r="J109" s="72">
        <v>29.3</v>
      </c>
      <c r="K109" s="72">
        <v>1.39</v>
      </c>
      <c r="L109" s="65">
        <f t="shared" si="12"/>
        <v>139</v>
      </c>
      <c r="M109" s="1">
        <f>106.8-40</f>
        <v>66.8</v>
      </c>
      <c r="N109" s="70">
        <f t="shared" si="13"/>
        <v>51.942446043165468</v>
      </c>
      <c r="O109" s="65">
        <v>0</v>
      </c>
      <c r="P109" s="65">
        <v>0</v>
      </c>
      <c r="Q109" s="71">
        <f t="shared" si="14"/>
        <v>15.164846540034162</v>
      </c>
      <c r="S109" s="91">
        <v>2.168841131457953</v>
      </c>
      <c r="T109" s="91">
        <v>98.495262633765961</v>
      </c>
      <c r="U109" s="39" t="str">
        <f t="shared" si="15"/>
        <v>Alto</v>
      </c>
      <c r="V109" s="91">
        <v>2.7948498479852648</v>
      </c>
      <c r="W109" s="91">
        <v>99.740380872491144</v>
      </c>
      <c r="X109" s="39" t="str">
        <f t="shared" si="8"/>
        <v>Piernas largas</v>
      </c>
      <c r="Y109" s="116">
        <v>-0.38431507567430728</v>
      </c>
      <c r="Z109" s="91">
        <v>35.037246780580247</v>
      </c>
      <c r="AA109" s="39" t="str">
        <f t="shared" si="9"/>
        <v>Normal</v>
      </c>
    </row>
    <row r="110" spans="1:27" ht="15.75" x14ac:dyDescent="0.25">
      <c r="A110" s="72">
        <v>107</v>
      </c>
      <c r="B110" s="73" t="s">
        <v>383</v>
      </c>
      <c r="C110" s="72">
        <v>3</v>
      </c>
      <c r="D110" s="72" t="s">
        <v>7</v>
      </c>
      <c r="E110" s="72">
        <v>2</v>
      </c>
      <c r="F110" s="2">
        <v>41620</v>
      </c>
      <c r="G110" s="68">
        <v>44463</v>
      </c>
      <c r="H110" s="69">
        <f t="shared" si="10"/>
        <v>7</v>
      </c>
      <c r="I110" s="69">
        <f t="shared" si="11"/>
        <v>93</v>
      </c>
      <c r="J110" s="72">
        <v>20.2</v>
      </c>
      <c r="K110" s="72">
        <v>1.1499999999999999</v>
      </c>
      <c r="L110" s="65">
        <f t="shared" si="12"/>
        <v>114.99999999999999</v>
      </c>
      <c r="M110" s="1">
        <f>101.2-40</f>
        <v>61.2</v>
      </c>
      <c r="N110" s="70">
        <f t="shared" si="13"/>
        <v>46.782608695652165</v>
      </c>
      <c r="O110" s="65">
        <v>0</v>
      </c>
      <c r="P110" s="65">
        <v>0</v>
      </c>
      <c r="Q110" s="71">
        <f t="shared" si="14"/>
        <v>15.274102079395087</v>
      </c>
      <c r="S110" s="91">
        <v>-1.7677495634223257</v>
      </c>
      <c r="T110" s="91">
        <v>3.8551390057264467</v>
      </c>
      <c r="U110" s="39" t="str">
        <f t="shared" si="15"/>
        <v>Desnutricion</v>
      </c>
      <c r="V110" s="91">
        <v>-0.54558044914719173</v>
      </c>
      <c r="W110" s="91">
        <v>29.267718324051707</v>
      </c>
      <c r="X110" s="39" t="str">
        <f t="shared" si="8"/>
        <v>Normal</v>
      </c>
      <c r="Y110" s="116">
        <v>-0.19074646854593333</v>
      </c>
      <c r="Z110" s="91">
        <v>42.436211519821278</v>
      </c>
      <c r="AA110" s="39" t="str">
        <f t="shared" si="9"/>
        <v>Normal</v>
      </c>
    </row>
    <row r="111" spans="1:27" ht="15.75" x14ac:dyDescent="0.25">
      <c r="A111" s="72">
        <v>108</v>
      </c>
      <c r="B111" s="73" t="s">
        <v>384</v>
      </c>
      <c r="C111" s="72">
        <v>3</v>
      </c>
      <c r="D111" s="72" t="s">
        <v>7</v>
      </c>
      <c r="E111" s="72">
        <v>1</v>
      </c>
      <c r="F111" s="2">
        <v>41442</v>
      </c>
      <c r="G111" s="68">
        <v>44463</v>
      </c>
      <c r="H111" s="69">
        <f t="shared" si="10"/>
        <v>8</v>
      </c>
      <c r="I111" s="69">
        <f t="shared" si="11"/>
        <v>99</v>
      </c>
      <c r="J111" s="72">
        <v>21</v>
      </c>
      <c r="K111" s="72">
        <v>1.22</v>
      </c>
      <c r="L111" s="65">
        <f t="shared" si="12"/>
        <v>122</v>
      </c>
      <c r="M111" s="1">
        <f>106-40</f>
        <v>66</v>
      </c>
      <c r="N111" s="70">
        <f t="shared" si="13"/>
        <v>45.901639344262293</v>
      </c>
      <c r="O111" s="65">
        <v>0</v>
      </c>
      <c r="P111" s="65">
        <v>0</v>
      </c>
      <c r="Q111" s="71">
        <f t="shared" si="14"/>
        <v>14.109110454178985</v>
      </c>
      <c r="S111" s="91">
        <v>-1.1507622027809281</v>
      </c>
      <c r="T111" s="91">
        <v>12.491503922813383</v>
      </c>
      <c r="U111" s="39" t="str">
        <f t="shared" si="15"/>
        <v>Normal</v>
      </c>
      <c r="V111" s="91">
        <v>-1.2949353193842263</v>
      </c>
      <c r="W111" s="91">
        <v>9.7671271577250511</v>
      </c>
      <c r="X111" s="39" t="str">
        <f t="shared" si="8"/>
        <v>Normal</v>
      </c>
      <c r="Y111" s="116">
        <v>-1.2863356034398346</v>
      </c>
      <c r="Z111" s="91">
        <v>9.9162981027082626</v>
      </c>
      <c r="AA111" s="39" t="str">
        <f t="shared" si="9"/>
        <v>Bajo Peso</v>
      </c>
    </row>
    <row r="112" spans="1:27" ht="15.75" x14ac:dyDescent="0.25">
      <c r="A112" s="72">
        <v>109</v>
      </c>
      <c r="B112" s="73" t="s">
        <v>385</v>
      </c>
      <c r="C112" s="72">
        <v>3</v>
      </c>
      <c r="D112" s="72" t="s">
        <v>7</v>
      </c>
      <c r="E112" s="72">
        <v>2</v>
      </c>
      <c r="F112" s="2">
        <v>41633</v>
      </c>
      <c r="G112" s="68">
        <v>44463</v>
      </c>
      <c r="H112" s="69">
        <f t="shared" si="10"/>
        <v>7</v>
      </c>
      <c r="I112" s="69">
        <f t="shared" si="11"/>
        <v>92</v>
      </c>
      <c r="J112" s="72">
        <v>30.6</v>
      </c>
      <c r="K112" s="72">
        <v>1.32</v>
      </c>
      <c r="L112" s="65">
        <f t="shared" si="12"/>
        <v>132</v>
      </c>
      <c r="M112" s="1">
        <f>109-40</f>
        <v>69</v>
      </c>
      <c r="N112" s="70">
        <f t="shared" si="13"/>
        <v>47.727272727272727</v>
      </c>
      <c r="O112" s="65">
        <v>0</v>
      </c>
      <c r="P112" s="65">
        <v>0</v>
      </c>
      <c r="Q112" s="71">
        <f t="shared" si="14"/>
        <v>17.561983471074381</v>
      </c>
      <c r="S112" s="91">
        <v>1.2966293765519399</v>
      </c>
      <c r="T112" s="91">
        <v>90.262063015818711</v>
      </c>
      <c r="U112" s="39" t="str">
        <f t="shared" si="15"/>
        <v>Normal</v>
      </c>
      <c r="V112" s="91">
        <v>9.9680110795145146E-2</v>
      </c>
      <c r="W112" s="91">
        <v>53.970085441340565</v>
      </c>
      <c r="X112" s="39" t="str">
        <f t="shared" si="8"/>
        <v>Normal</v>
      </c>
      <c r="Y112" s="116">
        <v>0.99902277407451179</v>
      </c>
      <c r="Z112" s="91">
        <v>84.110817046589901</v>
      </c>
      <c r="AA112" s="39" t="str">
        <f t="shared" si="9"/>
        <v>Normal</v>
      </c>
    </row>
    <row r="113" spans="1:27" ht="15.75" x14ac:dyDescent="0.25">
      <c r="A113" s="72">
        <v>110</v>
      </c>
      <c r="B113" s="73" t="s">
        <v>386</v>
      </c>
      <c r="C113" s="72">
        <v>3</v>
      </c>
      <c r="D113" s="72" t="s">
        <v>7</v>
      </c>
      <c r="E113" s="72">
        <v>1</v>
      </c>
      <c r="F113" s="2">
        <v>41599</v>
      </c>
      <c r="G113" s="68">
        <v>44463</v>
      </c>
      <c r="H113" s="69">
        <f t="shared" si="10"/>
        <v>7</v>
      </c>
      <c r="I113" s="69">
        <f t="shared" si="11"/>
        <v>94</v>
      </c>
      <c r="J113" s="72">
        <v>23.1</v>
      </c>
      <c r="K113" s="72">
        <v>1.24</v>
      </c>
      <c r="L113" s="65">
        <f t="shared" si="12"/>
        <v>124</v>
      </c>
      <c r="M113" s="1">
        <f>106.9-40</f>
        <v>66.900000000000006</v>
      </c>
      <c r="N113" s="70">
        <f t="shared" si="13"/>
        <v>46.048387096774192</v>
      </c>
      <c r="O113" s="65">
        <v>0</v>
      </c>
      <c r="P113" s="65">
        <v>0</v>
      </c>
      <c r="Q113" s="71">
        <f t="shared" si="14"/>
        <v>15.023413111342352</v>
      </c>
      <c r="S113" s="91">
        <v>-0.42306331599947705</v>
      </c>
      <c r="T113" s="91">
        <v>33.61245330928142</v>
      </c>
      <c r="U113" s="39" t="str">
        <f t="shared" si="15"/>
        <v>Normal</v>
      </c>
      <c r="V113" s="91">
        <v>-0.84560477149221014</v>
      </c>
      <c r="W113" s="91">
        <v>19.888663142053122</v>
      </c>
      <c r="X113" s="39" t="str">
        <f t="shared" si="8"/>
        <v>Normal</v>
      </c>
      <c r="Y113" s="116">
        <v>-0.47442753016676753</v>
      </c>
      <c r="Z113" s="91">
        <v>31.759753253091361</v>
      </c>
      <c r="AA113" s="39" t="str">
        <f t="shared" si="9"/>
        <v>Normal</v>
      </c>
    </row>
    <row r="114" spans="1:27" ht="15.75" x14ac:dyDescent="0.25">
      <c r="A114" s="72">
        <v>111</v>
      </c>
      <c r="B114" s="73" t="s">
        <v>387</v>
      </c>
      <c r="C114" s="72">
        <v>3</v>
      </c>
      <c r="D114" s="72" t="s">
        <v>7</v>
      </c>
      <c r="E114" s="72">
        <v>2</v>
      </c>
      <c r="F114" s="2">
        <v>41296</v>
      </c>
      <c r="G114" s="68">
        <v>44463</v>
      </c>
      <c r="H114" s="69">
        <f t="shared" si="10"/>
        <v>8</v>
      </c>
      <c r="I114" s="69">
        <f t="shared" si="11"/>
        <v>104</v>
      </c>
      <c r="J114" s="72">
        <v>38.700000000000003</v>
      </c>
      <c r="K114" s="72">
        <v>1.32</v>
      </c>
      <c r="L114" s="65">
        <f t="shared" si="12"/>
        <v>132</v>
      </c>
      <c r="M114" s="1">
        <f>109.8-40</f>
        <v>69.8</v>
      </c>
      <c r="N114" s="70">
        <f t="shared" si="13"/>
        <v>47.121212121212125</v>
      </c>
      <c r="O114" s="65">
        <v>0</v>
      </c>
      <c r="P114" s="65">
        <v>0</v>
      </c>
      <c r="Q114" s="71">
        <f t="shared" si="14"/>
        <v>22.210743801652892</v>
      </c>
      <c r="S114" s="91">
        <v>0.25127426412554044</v>
      </c>
      <c r="T114" s="91">
        <v>59.919896438618039</v>
      </c>
      <c r="U114" s="39" t="str">
        <f t="shared" si="15"/>
        <v>Normal</v>
      </c>
      <c r="V114" s="91">
        <v>-0.64367653787737389</v>
      </c>
      <c r="W114" s="91">
        <v>25.989260358203207</v>
      </c>
      <c r="X114" s="39" t="str">
        <f t="shared" si="8"/>
        <v>Normal</v>
      </c>
      <c r="Y114" s="116">
        <v>2.2614733081825595</v>
      </c>
      <c r="Z114" s="91">
        <v>98.813501813327903</v>
      </c>
      <c r="AA114" s="39" t="str">
        <f t="shared" si="9"/>
        <v>Obesidad</v>
      </c>
    </row>
    <row r="115" spans="1:27" ht="15.75" x14ac:dyDescent="0.25">
      <c r="A115" s="72">
        <v>112</v>
      </c>
      <c r="B115" s="73" t="s">
        <v>388</v>
      </c>
      <c r="C115" s="72">
        <v>3</v>
      </c>
      <c r="D115" s="72" t="s">
        <v>7</v>
      </c>
      <c r="E115" s="72">
        <v>1</v>
      </c>
      <c r="F115" s="2">
        <v>41285</v>
      </c>
      <c r="G115" s="68">
        <v>44463</v>
      </c>
      <c r="H115" s="69">
        <f t="shared" si="10"/>
        <v>8</v>
      </c>
      <c r="I115" s="69">
        <f t="shared" si="11"/>
        <v>104</v>
      </c>
      <c r="J115" s="72">
        <v>41.5</v>
      </c>
      <c r="K115" s="72">
        <v>1.31</v>
      </c>
      <c r="L115" s="65">
        <f t="shared" si="12"/>
        <v>131</v>
      </c>
      <c r="M115" s="1">
        <f>122-40</f>
        <v>82</v>
      </c>
      <c r="N115" s="70">
        <f t="shared" si="13"/>
        <v>37.404580152671755</v>
      </c>
      <c r="O115" s="65">
        <v>0</v>
      </c>
      <c r="P115" s="65">
        <v>0</v>
      </c>
      <c r="Q115" s="71">
        <f t="shared" si="14"/>
        <v>24.182739933570303</v>
      </c>
      <c r="S115" s="91">
        <v>3.220501028983698E-2</v>
      </c>
      <c r="T115" s="91">
        <v>51.284571969014571</v>
      </c>
      <c r="U115" s="39" t="str">
        <f t="shared" si="15"/>
        <v>Normal</v>
      </c>
      <c r="V115" s="91">
        <v>-7.7749569014493156</v>
      </c>
      <c r="W115" s="91">
        <v>3.7736548662460159E-13</v>
      </c>
      <c r="X115" s="39" t="str">
        <f t="shared" si="8"/>
        <v>Piernas cortas</v>
      </c>
      <c r="Y115" s="116">
        <v>3.0949191040402191</v>
      </c>
      <c r="Z115" s="91">
        <v>99.901566708368634</v>
      </c>
      <c r="AA115" s="39" t="str">
        <f t="shared" si="9"/>
        <v>Obesidad</v>
      </c>
    </row>
    <row r="116" spans="1:27" ht="15.75" x14ac:dyDescent="0.25">
      <c r="A116" s="72">
        <v>113</v>
      </c>
      <c r="B116" s="73" t="s">
        <v>389</v>
      </c>
      <c r="C116" s="72">
        <v>3</v>
      </c>
      <c r="D116" s="72" t="s">
        <v>7</v>
      </c>
      <c r="E116" s="72">
        <v>2</v>
      </c>
      <c r="F116" s="2">
        <v>41541</v>
      </c>
      <c r="G116" s="68">
        <v>44463</v>
      </c>
      <c r="H116" s="69">
        <f t="shared" si="10"/>
        <v>8</v>
      </c>
      <c r="I116" s="69">
        <f t="shared" si="11"/>
        <v>96</v>
      </c>
      <c r="J116" s="72">
        <v>25.7</v>
      </c>
      <c r="K116" s="72">
        <v>1.23</v>
      </c>
      <c r="L116" s="65">
        <f t="shared" si="12"/>
        <v>123</v>
      </c>
      <c r="M116" s="1">
        <f>106-40</f>
        <v>66</v>
      </c>
      <c r="N116" s="70">
        <f t="shared" si="13"/>
        <v>46.341463414634148</v>
      </c>
      <c r="O116" s="65">
        <v>0</v>
      </c>
      <c r="P116" s="65">
        <v>0</v>
      </c>
      <c r="Q116" s="71">
        <f t="shared" si="14"/>
        <v>16.987243043162138</v>
      </c>
      <c r="S116" s="91">
        <v>-0.61333109074731229</v>
      </c>
      <c r="T116" s="91">
        <v>26.982871984483982</v>
      </c>
      <c r="U116" s="39" t="str">
        <f t="shared" si="15"/>
        <v>Normal</v>
      </c>
      <c r="V116" s="91">
        <v>-1.18339292336357</v>
      </c>
      <c r="W116" s="91">
        <v>11.832673030708966</v>
      </c>
      <c r="X116" s="39" t="str">
        <f t="shared" si="8"/>
        <v>Normal</v>
      </c>
      <c r="Y116" s="116">
        <v>0.67070982916312361</v>
      </c>
      <c r="Z116" s="91">
        <v>74.879730001012902</v>
      </c>
      <c r="AA116" s="39" t="str">
        <f t="shared" si="9"/>
        <v>Normal</v>
      </c>
    </row>
    <row r="117" spans="1:27" ht="15.75" x14ac:dyDescent="0.25">
      <c r="A117" s="72">
        <v>114</v>
      </c>
      <c r="B117" s="73" t="s">
        <v>390</v>
      </c>
      <c r="C117" s="72">
        <v>3</v>
      </c>
      <c r="D117" s="72" t="s">
        <v>7</v>
      </c>
      <c r="E117" s="72">
        <v>1</v>
      </c>
      <c r="F117" s="2">
        <v>41365</v>
      </c>
      <c r="G117" s="68">
        <v>44463</v>
      </c>
      <c r="H117" s="69">
        <f t="shared" si="10"/>
        <v>8</v>
      </c>
      <c r="I117" s="69">
        <f t="shared" si="11"/>
        <v>101</v>
      </c>
      <c r="J117" s="72">
        <v>32.200000000000003</v>
      </c>
      <c r="K117" s="72">
        <v>1.27</v>
      </c>
      <c r="L117" s="65">
        <f t="shared" si="12"/>
        <v>127</v>
      </c>
      <c r="M117" s="1">
        <f>108.5-40</f>
        <v>68.5</v>
      </c>
      <c r="N117" s="70">
        <f t="shared" si="13"/>
        <v>46.062992125984252</v>
      </c>
      <c r="O117" s="65">
        <v>0</v>
      </c>
      <c r="P117" s="65">
        <v>0</v>
      </c>
      <c r="Q117" s="71">
        <f t="shared" si="14"/>
        <v>19.964039928079856</v>
      </c>
      <c r="S117" s="91">
        <v>-0.42919691113583019</v>
      </c>
      <c r="T117" s="91">
        <v>33.388996534627339</v>
      </c>
      <c r="U117" s="39" t="str">
        <f t="shared" si="15"/>
        <v>Normal</v>
      </c>
      <c r="V117" s="91">
        <v>-1.1848889773991467</v>
      </c>
      <c r="W117" s="91">
        <v>11.803067304546854</v>
      </c>
      <c r="X117" s="39" t="str">
        <f t="shared" si="8"/>
        <v>Normal</v>
      </c>
      <c r="Y117" s="116">
        <v>1.9906227169056705</v>
      </c>
      <c r="Z117" s="91">
        <v>97.673880956849814</v>
      </c>
      <c r="AA117" s="39" t="str">
        <f t="shared" si="9"/>
        <v>Obesidad</v>
      </c>
    </row>
    <row r="118" spans="1:27" ht="15.75" x14ac:dyDescent="0.25">
      <c r="A118" s="72">
        <v>115</v>
      </c>
      <c r="B118" s="73" t="s">
        <v>391</v>
      </c>
      <c r="C118" s="72">
        <v>3</v>
      </c>
      <c r="D118" s="72" t="s">
        <v>7</v>
      </c>
      <c r="E118" s="72">
        <v>2</v>
      </c>
      <c r="F118" s="2">
        <v>41424</v>
      </c>
      <c r="G118" s="68">
        <v>44463</v>
      </c>
      <c r="H118" s="69">
        <f t="shared" si="10"/>
        <v>8</v>
      </c>
      <c r="I118" s="69">
        <f t="shared" si="11"/>
        <v>99</v>
      </c>
      <c r="J118" s="72">
        <v>24.4</v>
      </c>
      <c r="K118" s="72">
        <v>1.29</v>
      </c>
      <c r="L118" s="65">
        <f t="shared" si="12"/>
        <v>129</v>
      </c>
      <c r="M118" s="1">
        <f>108.8-40</f>
        <v>68.8</v>
      </c>
      <c r="N118" s="70">
        <f t="shared" si="13"/>
        <v>46.666666666666664</v>
      </c>
      <c r="O118" s="65">
        <v>0</v>
      </c>
      <c r="P118" s="65">
        <v>0</v>
      </c>
      <c r="Q118" s="71">
        <f t="shared" si="14"/>
        <v>14.662580373775612</v>
      </c>
      <c r="S118" s="91">
        <v>0.16675759106880006</v>
      </c>
      <c r="T118" s="91">
        <v>56.621960561076257</v>
      </c>
      <c r="U118" s="39" t="str">
        <f t="shared" si="15"/>
        <v>Normal</v>
      </c>
      <c r="V118" s="91">
        <v>-0.95709768185266297</v>
      </c>
      <c r="W118" s="91">
        <v>16.925897678537712</v>
      </c>
      <c r="X118" s="39" t="str">
        <f t="shared" si="8"/>
        <v>Normal</v>
      </c>
      <c r="Y118" s="116">
        <v>-0.67324447128753184</v>
      </c>
      <c r="Z118" s="91">
        <v>25.039588659611468</v>
      </c>
      <c r="AA118" s="39" t="str">
        <f t="shared" si="9"/>
        <v>Normal</v>
      </c>
    </row>
    <row r="119" spans="1:27" ht="15.75" x14ac:dyDescent="0.25">
      <c r="A119" s="72">
        <v>116</v>
      </c>
      <c r="B119" s="73" t="s">
        <v>392</v>
      </c>
      <c r="C119" s="72">
        <v>3</v>
      </c>
      <c r="D119" s="72" t="s">
        <v>7</v>
      </c>
      <c r="E119" s="72">
        <v>1</v>
      </c>
      <c r="F119" s="2">
        <v>41568</v>
      </c>
      <c r="G119" s="68">
        <v>44463</v>
      </c>
      <c r="H119" s="69">
        <f t="shared" si="10"/>
        <v>7</v>
      </c>
      <c r="I119" s="69">
        <f t="shared" si="11"/>
        <v>95</v>
      </c>
      <c r="J119" s="72">
        <v>29.1</v>
      </c>
      <c r="K119" s="72">
        <v>1.29</v>
      </c>
      <c r="L119" s="65">
        <f t="shared" si="12"/>
        <v>129</v>
      </c>
      <c r="M119" s="1">
        <f>110-40</f>
        <v>70</v>
      </c>
      <c r="N119" s="70">
        <f t="shared" si="13"/>
        <v>45.736434108527128</v>
      </c>
      <c r="O119" s="65">
        <v>0</v>
      </c>
      <c r="P119" s="65">
        <v>0</v>
      </c>
      <c r="Q119" s="71">
        <f t="shared" si="14"/>
        <v>17.486929872002882</v>
      </c>
      <c r="S119" s="91">
        <v>0.38882641472347579</v>
      </c>
      <c r="T119" s="91">
        <v>65.129772035484081</v>
      </c>
      <c r="U119" s="39" t="str">
        <f t="shared" si="15"/>
        <v>Normal</v>
      </c>
      <c r="V119" s="91">
        <v>-1.0521021909762518</v>
      </c>
      <c r="W119" s="91">
        <v>14.6376333523082</v>
      </c>
      <c r="X119" s="39" t="str">
        <f t="shared" si="8"/>
        <v>Normal</v>
      </c>
      <c r="Y119" s="116">
        <v>1.0445409719282113</v>
      </c>
      <c r="Z119" s="91">
        <v>85.188241331772076</v>
      </c>
      <c r="AA119" s="39" t="str">
        <f t="shared" si="9"/>
        <v>Obesidad</v>
      </c>
    </row>
    <row r="120" spans="1:27" ht="15.75" x14ac:dyDescent="0.25">
      <c r="A120" s="72">
        <v>117</v>
      </c>
      <c r="B120" s="73" t="s">
        <v>393</v>
      </c>
      <c r="C120" s="72">
        <v>3</v>
      </c>
      <c r="D120" s="72" t="s">
        <v>7</v>
      </c>
      <c r="E120" s="72">
        <v>1</v>
      </c>
      <c r="F120" s="2">
        <v>41588</v>
      </c>
      <c r="G120" s="68">
        <v>44463</v>
      </c>
      <c r="H120" s="69">
        <f t="shared" si="10"/>
        <v>7</v>
      </c>
      <c r="I120" s="69">
        <f t="shared" si="11"/>
        <v>94</v>
      </c>
      <c r="J120" s="72">
        <v>24.5</v>
      </c>
      <c r="K120" s="72">
        <v>1.2</v>
      </c>
      <c r="L120" s="65">
        <f t="shared" si="12"/>
        <v>120</v>
      </c>
      <c r="M120" s="1">
        <f>105.2-40</f>
        <v>65.2</v>
      </c>
      <c r="N120" s="70">
        <f t="shared" si="13"/>
        <v>45.666666666666664</v>
      </c>
      <c r="O120" s="65">
        <v>0</v>
      </c>
      <c r="P120" s="65">
        <v>0</v>
      </c>
      <c r="Q120" s="71">
        <f t="shared" si="14"/>
        <v>17.013888888888889</v>
      </c>
      <c r="S120" s="91">
        <v>-1.138906490279473</v>
      </c>
      <c r="T120" s="91">
        <v>12.737107914915969</v>
      </c>
      <c r="U120" s="39" t="str">
        <f t="shared" si="15"/>
        <v>Normal</v>
      </c>
      <c r="V120" s="91">
        <v>-1.098492810537125</v>
      </c>
      <c r="W120" s="91">
        <v>13.599467766064235</v>
      </c>
      <c r="X120" s="39" t="str">
        <f t="shared" si="8"/>
        <v>Normal</v>
      </c>
      <c r="Y120" s="116">
        <v>0.80968235432267333</v>
      </c>
      <c r="Z120" s="91">
        <v>79.093861889795434</v>
      </c>
      <c r="AA120" s="39" t="str">
        <f t="shared" si="9"/>
        <v>Normal</v>
      </c>
    </row>
    <row r="121" spans="1:27" ht="15.75" x14ac:dyDescent="0.25">
      <c r="A121" s="72">
        <v>118</v>
      </c>
      <c r="B121" s="73" t="s">
        <v>394</v>
      </c>
      <c r="C121" s="72">
        <v>3</v>
      </c>
      <c r="D121" s="72" t="s">
        <v>7</v>
      </c>
      <c r="E121" s="72">
        <v>2</v>
      </c>
      <c r="F121" s="2">
        <v>41622</v>
      </c>
      <c r="G121" s="68">
        <v>44463</v>
      </c>
      <c r="H121" s="69">
        <f t="shared" si="10"/>
        <v>7</v>
      </c>
      <c r="I121" s="69">
        <f t="shared" si="11"/>
        <v>93</v>
      </c>
      <c r="J121" s="72">
        <v>19.7</v>
      </c>
      <c r="K121" s="72">
        <v>1.18</v>
      </c>
      <c r="L121" s="65">
        <f t="shared" si="12"/>
        <v>118</v>
      </c>
      <c r="M121" s="1">
        <f>105-40</f>
        <v>65</v>
      </c>
      <c r="N121" s="70">
        <f t="shared" si="13"/>
        <v>44.915254237288138</v>
      </c>
      <c r="O121" s="65">
        <v>0</v>
      </c>
      <c r="P121" s="65">
        <v>0</v>
      </c>
      <c r="Q121" s="71">
        <f t="shared" si="14"/>
        <v>14.148233266302787</v>
      </c>
      <c r="S121" s="91">
        <v>-1.2429092754054014</v>
      </c>
      <c r="T121" s="91">
        <v>10.695063366081291</v>
      </c>
      <c r="U121" s="39" t="str">
        <f t="shared" si="15"/>
        <v>Normal</v>
      </c>
      <c r="V121" s="91">
        <v>-1.8637064725576056</v>
      </c>
      <c r="W121" s="91">
        <v>3.1181467976861015</v>
      </c>
      <c r="X121" s="39" t="str">
        <f t="shared" si="8"/>
        <v>Piernas cortas</v>
      </c>
      <c r="Y121" s="116">
        <v>-0.93503790598695391</v>
      </c>
      <c r="Z121" s="91">
        <v>17.488438241087174</v>
      </c>
      <c r="AA121" s="39" t="str">
        <f t="shared" si="9"/>
        <v>Normal</v>
      </c>
    </row>
    <row r="122" spans="1:27" ht="15.75" x14ac:dyDescent="0.25">
      <c r="A122" s="72">
        <v>119</v>
      </c>
      <c r="B122" s="73" t="s">
        <v>395</v>
      </c>
      <c r="C122" s="72">
        <v>3</v>
      </c>
      <c r="D122" s="72" t="s">
        <v>26</v>
      </c>
      <c r="E122" s="1">
        <v>2</v>
      </c>
      <c r="F122" s="2">
        <v>41385</v>
      </c>
      <c r="G122" s="68">
        <v>44463</v>
      </c>
      <c r="H122" s="69">
        <f t="shared" si="10"/>
        <v>8</v>
      </c>
      <c r="I122" s="69">
        <f t="shared" si="11"/>
        <v>101</v>
      </c>
      <c r="J122" s="1">
        <v>53.8</v>
      </c>
      <c r="K122" s="1">
        <v>1.37</v>
      </c>
      <c r="L122" s="65">
        <f t="shared" si="12"/>
        <v>137</v>
      </c>
      <c r="M122" s="1">
        <f>114.7-40</f>
        <v>74.7</v>
      </c>
      <c r="N122" s="70">
        <f t="shared" si="13"/>
        <v>45.474452554744524</v>
      </c>
      <c r="O122" s="65">
        <v>0</v>
      </c>
      <c r="P122" s="65">
        <v>0</v>
      </c>
      <c r="Q122" s="71">
        <f t="shared" si="14"/>
        <v>28.664286855985928</v>
      </c>
      <c r="S122" s="91">
        <v>1.3484161471306733</v>
      </c>
      <c r="T122" s="91">
        <v>91.123771330530914</v>
      </c>
      <c r="U122" s="39" t="str">
        <f t="shared" si="15"/>
        <v>Normal</v>
      </c>
      <c r="V122" s="91">
        <v>-1.7953133080759847</v>
      </c>
      <c r="W122" s="91">
        <v>3.6301897949117956</v>
      </c>
      <c r="X122" s="39" t="str">
        <f t="shared" si="8"/>
        <v>Piernas cortas</v>
      </c>
      <c r="Y122" s="116">
        <v>3.4758870298143973</v>
      </c>
      <c r="Z122" s="91">
        <v>99.974541664059899</v>
      </c>
      <c r="AA122" s="39" t="str">
        <f t="shared" si="9"/>
        <v>Obesidad</v>
      </c>
    </row>
    <row r="123" spans="1:27" ht="15.75" x14ac:dyDescent="0.25">
      <c r="A123" s="72">
        <v>120</v>
      </c>
      <c r="B123" s="73" t="s">
        <v>396</v>
      </c>
      <c r="C123" s="72">
        <v>3</v>
      </c>
      <c r="D123" s="72" t="s">
        <v>26</v>
      </c>
      <c r="E123" s="1">
        <v>2</v>
      </c>
      <c r="F123" s="2">
        <v>41430</v>
      </c>
      <c r="G123" s="68">
        <v>44463</v>
      </c>
      <c r="H123" s="69">
        <f t="shared" si="10"/>
        <v>8</v>
      </c>
      <c r="I123" s="69">
        <f t="shared" si="11"/>
        <v>99</v>
      </c>
      <c r="J123" s="1">
        <v>27.6</v>
      </c>
      <c r="K123" s="1">
        <v>1.22</v>
      </c>
      <c r="L123" s="65">
        <f t="shared" si="12"/>
        <v>122</v>
      </c>
      <c r="M123" s="1">
        <f>108.4-40</f>
        <v>68.400000000000006</v>
      </c>
      <c r="N123" s="70">
        <f t="shared" si="13"/>
        <v>43.934426229508198</v>
      </c>
      <c r="O123" s="65">
        <v>0</v>
      </c>
      <c r="P123" s="65">
        <v>0</v>
      </c>
      <c r="Q123" s="71">
        <f t="shared" si="14"/>
        <v>18.543402311206666</v>
      </c>
      <c r="S123" s="91">
        <v>-1.0242465283900308</v>
      </c>
      <c r="T123" s="91">
        <v>15.285942354027169</v>
      </c>
      <c r="U123" s="39" t="str">
        <f t="shared" si="15"/>
        <v>Normal</v>
      </c>
      <c r="V123" s="91">
        <v>-2.914416564961237</v>
      </c>
      <c r="W123" s="91">
        <v>0.17817702503787133</v>
      </c>
      <c r="X123" s="39" t="str">
        <f t="shared" si="8"/>
        <v>Piernas cortas</v>
      </c>
      <c r="Y123" s="116">
        <v>1.2661405033750319</v>
      </c>
      <c r="Z123" s="91">
        <v>89.726860807159269</v>
      </c>
      <c r="AA123" s="39" t="str">
        <f t="shared" si="9"/>
        <v>Obesidad</v>
      </c>
    </row>
    <row r="124" spans="1:27" ht="15.75" x14ac:dyDescent="0.25">
      <c r="A124" s="72">
        <v>121</v>
      </c>
      <c r="B124" s="73" t="s">
        <v>397</v>
      </c>
      <c r="C124" s="72">
        <v>3</v>
      </c>
      <c r="D124" s="72" t="s">
        <v>26</v>
      </c>
      <c r="E124" s="1">
        <v>1</v>
      </c>
      <c r="F124" s="2">
        <v>41600</v>
      </c>
      <c r="G124" s="68">
        <v>44463</v>
      </c>
      <c r="H124" s="69">
        <f t="shared" si="10"/>
        <v>7</v>
      </c>
      <c r="I124" s="69">
        <f t="shared" si="11"/>
        <v>94</v>
      </c>
      <c r="J124" s="1">
        <v>27.4</v>
      </c>
      <c r="K124" s="1">
        <v>1.25</v>
      </c>
      <c r="L124" s="65">
        <f t="shared" si="12"/>
        <v>125</v>
      </c>
      <c r="M124" s="1">
        <f>105.6-40</f>
        <v>65.599999999999994</v>
      </c>
      <c r="N124" s="70">
        <f t="shared" si="13"/>
        <v>47.52000000000001</v>
      </c>
      <c r="O124" s="65">
        <v>0</v>
      </c>
      <c r="P124" s="65">
        <v>0</v>
      </c>
      <c r="Q124" s="71">
        <f t="shared" si="14"/>
        <v>17.535999999999998</v>
      </c>
      <c r="S124" s="91">
        <v>-0.24410252242947808</v>
      </c>
      <c r="T124" s="91">
        <v>40.357570950777188</v>
      </c>
      <c r="U124" s="39" t="str">
        <f t="shared" si="15"/>
        <v>Normal</v>
      </c>
      <c r="V124" s="91">
        <v>0.10858622587667977</v>
      </c>
      <c r="W124" s="91">
        <v>54.323465684721917</v>
      </c>
      <c r="X124" s="39" t="str">
        <f t="shared" si="8"/>
        <v>Normal</v>
      </c>
      <c r="Y124" s="116">
        <v>1.0886420566942572</v>
      </c>
      <c r="Z124" s="91">
        <v>86.184411854771554</v>
      </c>
      <c r="AA124" s="39" t="str">
        <f t="shared" si="9"/>
        <v>Obesidad</v>
      </c>
    </row>
    <row r="125" spans="1:27" ht="15.75" x14ac:dyDescent="0.25">
      <c r="A125" s="72">
        <v>122</v>
      </c>
      <c r="B125" s="73" t="s">
        <v>398</v>
      </c>
      <c r="C125" s="72">
        <v>3</v>
      </c>
      <c r="D125" s="72" t="s">
        <v>26</v>
      </c>
      <c r="E125" s="1">
        <v>2</v>
      </c>
      <c r="F125" s="2">
        <v>41398</v>
      </c>
      <c r="G125" s="68">
        <v>44463</v>
      </c>
      <c r="H125" s="69">
        <f t="shared" si="10"/>
        <v>8</v>
      </c>
      <c r="I125" s="69">
        <f t="shared" si="11"/>
        <v>100</v>
      </c>
      <c r="J125" s="1">
        <v>20</v>
      </c>
      <c r="K125" s="1">
        <v>1.28</v>
      </c>
      <c r="L125" s="65">
        <f t="shared" si="12"/>
        <v>128</v>
      </c>
      <c r="M125" s="1">
        <f>104.7-40</f>
        <v>64.7</v>
      </c>
      <c r="N125" s="70">
        <f t="shared" si="13"/>
        <v>49.453125</v>
      </c>
      <c r="O125" s="65">
        <v>0</v>
      </c>
      <c r="P125" s="65">
        <v>0</v>
      </c>
      <c r="Q125" s="71">
        <f t="shared" si="14"/>
        <v>12.20703125</v>
      </c>
      <c r="S125" s="91">
        <v>-8.653761997681568E-2</v>
      </c>
      <c r="T125" s="91">
        <v>46.551952590414949</v>
      </c>
      <c r="U125" s="39" t="str">
        <f t="shared" si="15"/>
        <v>Normal</v>
      </c>
      <c r="V125" s="91">
        <v>0.9138273986559432</v>
      </c>
      <c r="W125" s="91">
        <v>81.959622639101852</v>
      </c>
      <c r="X125" s="39" t="str">
        <f t="shared" si="8"/>
        <v>Normal</v>
      </c>
      <c r="Y125" s="116">
        <v>-2.721456570731601</v>
      </c>
      <c r="Z125" s="91">
        <v>0.32497462316463582</v>
      </c>
      <c r="AA125" s="39" t="str">
        <f t="shared" si="9"/>
        <v>Desnutricion</v>
      </c>
    </row>
    <row r="126" spans="1:27" ht="15.75" x14ac:dyDescent="0.25">
      <c r="A126" s="72">
        <v>123</v>
      </c>
      <c r="B126" s="73" t="s">
        <v>399</v>
      </c>
      <c r="C126" s="72">
        <v>3</v>
      </c>
      <c r="D126" s="72" t="s">
        <v>26</v>
      </c>
      <c r="E126" s="1">
        <v>2</v>
      </c>
      <c r="F126" s="2">
        <v>41454</v>
      </c>
      <c r="G126" s="68">
        <v>44463</v>
      </c>
      <c r="H126" s="69">
        <f t="shared" si="10"/>
        <v>8</v>
      </c>
      <c r="I126" s="69">
        <f t="shared" si="11"/>
        <v>98</v>
      </c>
      <c r="J126" s="1">
        <v>20.8</v>
      </c>
      <c r="K126" s="1">
        <v>1.21</v>
      </c>
      <c r="L126" s="65">
        <f t="shared" si="12"/>
        <v>121</v>
      </c>
      <c r="M126" s="1">
        <f>105-40</f>
        <v>65</v>
      </c>
      <c r="N126" s="70">
        <f t="shared" si="13"/>
        <v>46.280991735537192</v>
      </c>
      <c r="O126" s="65">
        <v>0</v>
      </c>
      <c r="P126" s="65">
        <v>0</v>
      </c>
      <c r="Q126" s="71">
        <f t="shared" si="14"/>
        <v>14.206679871593471</v>
      </c>
      <c r="S126" s="91">
        <v>-1.1160988288162326</v>
      </c>
      <c r="T126" s="91">
        <v>13.218991671856827</v>
      </c>
      <c r="U126" s="39" t="str">
        <f t="shared" si="15"/>
        <v>Normal</v>
      </c>
      <c r="V126" s="91">
        <v>-1.2256643850152915</v>
      </c>
      <c r="W126" s="91">
        <v>11.016249894439021</v>
      </c>
      <c r="X126" s="39" t="str">
        <f t="shared" si="8"/>
        <v>Normal</v>
      </c>
      <c r="Y126" s="116">
        <v>-0.96966857953836905</v>
      </c>
      <c r="Z126" s="91">
        <v>16.610585848397459</v>
      </c>
      <c r="AA126" s="39" t="str">
        <f t="shared" si="9"/>
        <v>Normal</v>
      </c>
    </row>
    <row r="127" spans="1:27" ht="15.75" x14ac:dyDescent="0.25">
      <c r="A127" s="72">
        <v>124</v>
      </c>
      <c r="B127" s="73" t="s">
        <v>400</v>
      </c>
      <c r="C127" s="72">
        <v>3</v>
      </c>
      <c r="D127" s="72" t="s">
        <v>26</v>
      </c>
      <c r="E127" s="1">
        <v>2</v>
      </c>
      <c r="F127" s="2">
        <v>41349</v>
      </c>
      <c r="G127" s="68">
        <v>44463</v>
      </c>
      <c r="H127" s="69">
        <f t="shared" si="10"/>
        <v>8</v>
      </c>
      <c r="I127" s="69">
        <f t="shared" si="11"/>
        <v>102</v>
      </c>
      <c r="J127" s="1">
        <v>34.700000000000003</v>
      </c>
      <c r="K127" s="1">
        <v>1.35</v>
      </c>
      <c r="L127" s="65">
        <f t="shared" si="12"/>
        <v>135</v>
      </c>
      <c r="M127" s="1">
        <f>110.5-40</f>
        <v>70.5</v>
      </c>
      <c r="N127" s="70">
        <f t="shared" si="13"/>
        <v>47.777777777777779</v>
      </c>
      <c r="O127" s="65">
        <v>0</v>
      </c>
      <c r="P127" s="65">
        <v>0</v>
      </c>
      <c r="Q127" s="71">
        <f t="shared" si="14"/>
        <v>19.039780521262003</v>
      </c>
      <c r="S127" s="91">
        <v>0.92372103876438838</v>
      </c>
      <c r="T127" s="91">
        <v>82.218421231086623</v>
      </c>
      <c r="U127" s="39" t="str">
        <f t="shared" si="15"/>
        <v>Normal</v>
      </c>
      <c r="V127" s="91">
        <v>-0.19675558417454411</v>
      </c>
      <c r="W127" s="91">
        <v>42.200940514853635</v>
      </c>
      <c r="X127" s="39" t="str">
        <f t="shared" si="8"/>
        <v>Normal</v>
      </c>
      <c r="Y127" s="116">
        <v>1.3851891794049012</v>
      </c>
      <c r="Z127" s="91">
        <v>91.700268574946008</v>
      </c>
      <c r="AA127" s="39" t="str">
        <f t="shared" si="9"/>
        <v>Obesidad</v>
      </c>
    </row>
    <row r="128" spans="1:27" ht="15.75" x14ac:dyDescent="0.25">
      <c r="A128" s="72">
        <v>125</v>
      </c>
      <c r="B128" s="73" t="s">
        <v>401</v>
      </c>
      <c r="C128" s="72">
        <v>3</v>
      </c>
      <c r="D128" s="72" t="s">
        <v>26</v>
      </c>
      <c r="E128" s="1">
        <v>2</v>
      </c>
      <c r="F128" s="2">
        <v>41549</v>
      </c>
      <c r="G128" s="68">
        <v>44463</v>
      </c>
      <c r="H128" s="69">
        <f t="shared" si="10"/>
        <v>7</v>
      </c>
      <c r="I128" s="69">
        <f t="shared" si="11"/>
        <v>95</v>
      </c>
      <c r="J128" s="1">
        <v>24.3</v>
      </c>
      <c r="K128" s="1">
        <v>1.26</v>
      </c>
      <c r="L128" s="65">
        <f t="shared" si="12"/>
        <v>126</v>
      </c>
      <c r="M128" s="1">
        <f>106-40</f>
        <v>66</v>
      </c>
      <c r="N128" s="70">
        <f t="shared" si="13"/>
        <v>47.619047619047613</v>
      </c>
      <c r="O128" s="65">
        <v>0</v>
      </c>
      <c r="P128" s="65">
        <v>0</v>
      </c>
      <c r="Q128" s="71">
        <f t="shared" si="14"/>
        <v>15.306122448979592</v>
      </c>
      <c r="S128" s="91">
        <v>-1.2235168898350083E-2</v>
      </c>
      <c r="T128" s="91">
        <v>49.511899559943686</v>
      </c>
      <c r="U128" s="39" t="str">
        <f t="shared" si="15"/>
        <v>Normal</v>
      </c>
      <c r="V128" s="91">
        <v>2.6461551430095251E-2</v>
      </c>
      <c r="W128" s="91">
        <v>51.055539981684149</v>
      </c>
      <c r="X128" s="39" t="str">
        <f t="shared" si="8"/>
        <v>Normal</v>
      </c>
      <c r="Y128" s="116">
        <v>-0.20196885774770576</v>
      </c>
      <c r="Z128" s="91">
        <v>41.997053518437198</v>
      </c>
      <c r="AA128" s="39" t="str">
        <f t="shared" si="9"/>
        <v>Normal</v>
      </c>
    </row>
    <row r="129" spans="1:27" ht="15.75" x14ac:dyDescent="0.25">
      <c r="A129" s="72">
        <v>126</v>
      </c>
      <c r="B129" s="73" t="s">
        <v>402</v>
      </c>
      <c r="C129" s="72">
        <v>3</v>
      </c>
      <c r="D129" s="72" t="s">
        <v>26</v>
      </c>
      <c r="E129" s="1">
        <v>1</v>
      </c>
      <c r="F129" s="2">
        <v>41480</v>
      </c>
      <c r="G129" s="68">
        <v>44463</v>
      </c>
      <c r="H129" s="69">
        <f t="shared" si="10"/>
        <v>8</v>
      </c>
      <c r="I129" s="69">
        <f t="shared" si="11"/>
        <v>97</v>
      </c>
      <c r="J129" s="1">
        <v>27.7</v>
      </c>
      <c r="K129" s="1">
        <v>1.3</v>
      </c>
      <c r="L129" s="65">
        <f t="shared" si="12"/>
        <v>130</v>
      </c>
      <c r="M129" s="1">
        <f>110.1-40</f>
        <v>70.099999999999994</v>
      </c>
      <c r="N129" s="70">
        <f t="shared" si="13"/>
        <v>46.07692307692308</v>
      </c>
      <c r="O129" s="65">
        <v>0</v>
      </c>
      <c r="P129" s="65">
        <v>0</v>
      </c>
      <c r="Q129" s="71">
        <f t="shared" si="14"/>
        <v>16.390532544378697</v>
      </c>
      <c r="S129" s="91">
        <v>0.40279208591390442</v>
      </c>
      <c r="T129" s="91">
        <v>65.64494081724807</v>
      </c>
      <c r="U129" s="39" t="str">
        <f t="shared" si="15"/>
        <v>Normal</v>
      </c>
      <c r="V129" s="91">
        <v>-1.1754074473894618</v>
      </c>
      <c r="W129" s="91">
        <v>11.991587270036472</v>
      </c>
      <c r="X129" s="39" t="str">
        <f t="shared" si="8"/>
        <v>Normal</v>
      </c>
      <c r="Y129" s="116">
        <v>0.39799887370476866</v>
      </c>
      <c r="Z129" s="91">
        <v>65.468449201422345</v>
      </c>
      <c r="AA129" s="39" t="str">
        <f t="shared" si="9"/>
        <v>Normal</v>
      </c>
    </row>
    <row r="130" spans="1:27" ht="15.75" x14ac:dyDescent="0.25">
      <c r="A130" s="72">
        <v>127</v>
      </c>
      <c r="B130" s="73" t="s">
        <v>403</v>
      </c>
      <c r="C130" s="72">
        <v>3</v>
      </c>
      <c r="D130" s="72" t="s">
        <v>26</v>
      </c>
      <c r="E130" s="1">
        <v>1</v>
      </c>
      <c r="F130" s="2">
        <v>41446</v>
      </c>
      <c r="G130" s="68">
        <v>44463</v>
      </c>
      <c r="H130" s="69">
        <f t="shared" si="10"/>
        <v>8</v>
      </c>
      <c r="I130" s="69">
        <f t="shared" si="11"/>
        <v>99</v>
      </c>
      <c r="J130" s="1">
        <v>27.7</v>
      </c>
      <c r="K130" s="1">
        <v>1.25</v>
      </c>
      <c r="L130" s="65">
        <f t="shared" si="12"/>
        <v>125</v>
      </c>
      <c r="M130" s="1">
        <f>106-40</f>
        <v>66</v>
      </c>
      <c r="N130" s="70">
        <f t="shared" si="13"/>
        <v>47.199999999999996</v>
      </c>
      <c r="O130" s="65">
        <v>0</v>
      </c>
      <c r="P130" s="65">
        <v>0</v>
      </c>
      <c r="Q130" s="71">
        <f t="shared" si="14"/>
        <v>17.727999999999998</v>
      </c>
      <c r="S130" s="91">
        <v>-0.62795779772553439</v>
      </c>
      <c r="T130" s="91">
        <v>26.501579331127278</v>
      </c>
      <c r="U130" s="39" t="str">
        <f t="shared" si="15"/>
        <v>Normal</v>
      </c>
      <c r="V130" s="91">
        <v>-0.42113555705950717</v>
      </c>
      <c r="W130" s="91">
        <v>33.682804922569176</v>
      </c>
      <c r="X130" s="39" t="str">
        <f t="shared" si="8"/>
        <v>Normal</v>
      </c>
      <c r="Y130" s="116">
        <v>1.0898555749479149</v>
      </c>
      <c r="Z130" s="91">
        <v>86.21116157356974</v>
      </c>
      <c r="AA130" s="39" t="str">
        <f t="shared" si="9"/>
        <v>Obesidad</v>
      </c>
    </row>
    <row r="131" spans="1:27" ht="15.75" x14ac:dyDescent="0.25">
      <c r="A131" s="72">
        <v>128</v>
      </c>
      <c r="B131" s="73" t="s">
        <v>404</v>
      </c>
      <c r="C131" s="72">
        <v>3</v>
      </c>
      <c r="D131" s="72" t="s">
        <v>26</v>
      </c>
      <c r="E131" s="1">
        <v>1</v>
      </c>
      <c r="F131" s="2">
        <v>41484</v>
      </c>
      <c r="G131" s="68">
        <v>44463</v>
      </c>
      <c r="H131" s="69">
        <f t="shared" si="10"/>
        <v>8</v>
      </c>
      <c r="I131" s="69">
        <f t="shared" si="11"/>
        <v>97</v>
      </c>
      <c r="J131" s="1">
        <v>26.5</v>
      </c>
      <c r="K131" s="1">
        <v>1.25</v>
      </c>
      <c r="L131" s="65">
        <f t="shared" si="12"/>
        <v>125</v>
      </c>
      <c r="M131" s="1">
        <f>107.5-40</f>
        <v>67.5</v>
      </c>
      <c r="N131" s="70">
        <f t="shared" si="13"/>
        <v>46</v>
      </c>
      <c r="O131" s="65">
        <v>0</v>
      </c>
      <c r="P131" s="65">
        <v>0</v>
      </c>
      <c r="Q131" s="71">
        <f t="shared" si="14"/>
        <v>16.96</v>
      </c>
      <c r="S131" s="91">
        <v>-0.47778175413223328</v>
      </c>
      <c r="T131" s="91">
        <v>31.640277444546179</v>
      </c>
      <c r="U131" s="39" t="str">
        <f t="shared" si="15"/>
        <v>Normal</v>
      </c>
      <c r="V131" s="91">
        <v>-1.2278010200190865</v>
      </c>
      <c r="W131" s="91">
        <v>10.976083634008669</v>
      </c>
      <c r="X131" s="39" t="str">
        <f t="shared" si="8"/>
        <v>Normal</v>
      </c>
      <c r="Y131" s="116">
        <v>0.72652268337618697</v>
      </c>
      <c r="Z131" s="91">
        <v>76.624079654828208</v>
      </c>
      <c r="AA131" s="39" t="str">
        <f t="shared" si="9"/>
        <v>Normal</v>
      </c>
    </row>
    <row r="132" spans="1:27" ht="15.75" x14ac:dyDescent="0.25">
      <c r="A132" s="72">
        <v>129</v>
      </c>
      <c r="B132" s="73" t="s">
        <v>405</v>
      </c>
      <c r="C132" s="72">
        <v>3</v>
      </c>
      <c r="D132" s="72" t="s">
        <v>26</v>
      </c>
      <c r="E132" s="1">
        <v>1</v>
      </c>
      <c r="F132" s="2">
        <v>41478</v>
      </c>
      <c r="G132" s="68">
        <v>44463</v>
      </c>
      <c r="H132" s="69">
        <f t="shared" si="10"/>
        <v>8</v>
      </c>
      <c r="I132" s="69">
        <f t="shared" si="11"/>
        <v>98</v>
      </c>
      <c r="J132" s="1">
        <v>33.9</v>
      </c>
      <c r="K132" s="1">
        <v>1.34</v>
      </c>
      <c r="L132" s="65">
        <f t="shared" si="12"/>
        <v>134</v>
      </c>
      <c r="M132" s="1">
        <f>110.3-40</f>
        <v>70.3</v>
      </c>
      <c r="N132" s="70">
        <f t="shared" si="13"/>
        <v>47.537313432835823</v>
      </c>
      <c r="O132" s="65">
        <v>0</v>
      </c>
      <c r="P132" s="65">
        <v>0</v>
      </c>
      <c r="Q132" s="71">
        <f t="shared" si="14"/>
        <v>18.879483181109375</v>
      </c>
      <c r="S132" s="91">
        <v>1.0232644435598164</v>
      </c>
      <c r="T132" s="91">
        <v>84.690858477926156</v>
      </c>
      <c r="U132" s="39" t="str">
        <f t="shared" si="15"/>
        <v>Normal</v>
      </c>
      <c r="V132" s="91">
        <v>-0.19840513211189742</v>
      </c>
      <c r="W132" s="91">
        <v>42.136405120827725</v>
      </c>
      <c r="X132" s="39" t="str">
        <f t="shared" ref="X132:X195" si="16">IF(V132&lt;-1.645,"Piernas cortas",IF(AND(V132&gt;=-1.645,V132&lt;=1.645),"Normal",IF(V132&gt;1.645,"Piernas largas")))</f>
        <v>Normal</v>
      </c>
      <c r="Y132" s="116">
        <v>1.6346747093255127</v>
      </c>
      <c r="Z132" s="91">
        <v>94.894137152808412</v>
      </c>
      <c r="AA132" s="39" t="str">
        <f t="shared" ref="AA132:AA195" si="17">IF(Z132&lt;5,"Desnutricion",IF(AND(Z132&gt;=5,Z132&lt;15),"Bajo Peso",IF(AND(Z132&gt;=15,Z132&lt;=85),"Normal",IF(Z132&gt;85,"Obesidad"))))</f>
        <v>Obesidad</v>
      </c>
    </row>
    <row r="133" spans="1:27" ht="15.75" x14ac:dyDescent="0.25">
      <c r="A133" s="72">
        <v>130</v>
      </c>
      <c r="B133" s="73" t="s">
        <v>406</v>
      </c>
      <c r="C133" s="72">
        <v>3</v>
      </c>
      <c r="D133" s="72" t="s">
        <v>26</v>
      </c>
      <c r="E133" s="1">
        <v>2</v>
      </c>
      <c r="F133" s="2">
        <v>41281</v>
      </c>
      <c r="G133" s="68">
        <v>44463</v>
      </c>
      <c r="H133" s="69">
        <f t="shared" ref="H133:H196" si="18">DATEDIF(F133,G133,"y")</f>
        <v>8</v>
      </c>
      <c r="I133" s="69">
        <f t="shared" ref="I133:I196" si="19">DATEDIF(F133,G133,"m")</f>
        <v>104</v>
      </c>
      <c r="J133" s="1">
        <v>24.5</v>
      </c>
      <c r="K133" s="1">
        <v>1.25</v>
      </c>
      <c r="L133" s="65">
        <f t="shared" ref="L133:L196" si="20">K133*100</f>
        <v>125</v>
      </c>
      <c r="M133" s="1">
        <f>107-40</f>
        <v>67</v>
      </c>
      <c r="N133" s="70">
        <f t="shared" ref="N133:N196" si="21">((L133-M133)/L133)*100</f>
        <v>46.400000000000006</v>
      </c>
      <c r="O133" s="65">
        <v>0</v>
      </c>
      <c r="P133" s="65">
        <v>0</v>
      </c>
      <c r="Q133" s="71">
        <f t="shared" ref="Q133:Q196" si="22">J133/(K133*K133)</f>
        <v>15.68</v>
      </c>
      <c r="S133" s="91">
        <v>-0.9138819685710563</v>
      </c>
      <c r="T133" s="91">
        <v>18.038943466772405</v>
      </c>
      <c r="U133" s="39" t="str">
        <f t="shared" ref="U133:U196" si="23">IF(S133&lt;-1.645,"Desnutricion",IF(AND(S133&gt;=-1.645,S133&lt;=1.645),"Normal",IF(S133&gt;1.645,"Alto")))</f>
        <v>Normal</v>
      </c>
      <c r="V133" s="91">
        <v>-1.1425316589265833</v>
      </c>
      <c r="W133" s="91">
        <v>12.661654712787374</v>
      </c>
      <c r="X133" s="39" t="str">
        <f t="shared" si="16"/>
        <v>Normal</v>
      </c>
      <c r="Y133" s="116">
        <v>-0.14574352335601129</v>
      </c>
      <c r="Z133" s="91">
        <v>44.206193075601107</v>
      </c>
      <c r="AA133" s="39" t="str">
        <f t="shared" si="17"/>
        <v>Normal</v>
      </c>
    </row>
    <row r="134" spans="1:27" ht="15.75" x14ac:dyDescent="0.25">
      <c r="A134" s="72">
        <v>131</v>
      </c>
      <c r="B134" s="73" t="s">
        <v>407</v>
      </c>
      <c r="C134" s="72">
        <v>3</v>
      </c>
      <c r="D134" s="72" t="s">
        <v>26</v>
      </c>
      <c r="E134" s="1">
        <v>2</v>
      </c>
      <c r="F134" s="2">
        <v>41378</v>
      </c>
      <c r="G134" s="68">
        <v>44463</v>
      </c>
      <c r="H134" s="69">
        <f t="shared" si="18"/>
        <v>8</v>
      </c>
      <c r="I134" s="69">
        <f t="shared" si="19"/>
        <v>101</v>
      </c>
      <c r="J134" s="1">
        <v>37.200000000000003</v>
      </c>
      <c r="K134" s="1">
        <v>1.31</v>
      </c>
      <c r="L134" s="65">
        <f t="shared" si="20"/>
        <v>131</v>
      </c>
      <c r="M134" s="1">
        <f>112.1-40</f>
        <v>72.099999999999994</v>
      </c>
      <c r="N134" s="70">
        <f t="shared" si="21"/>
        <v>44.961832061068705</v>
      </c>
      <c r="O134" s="65">
        <v>0</v>
      </c>
      <c r="P134" s="65">
        <v>0</v>
      </c>
      <c r="Q134" s="71">
        <f t="shared" si="22"/>
        <v>21.677058446477478</v>
      </c>
      <c r="S134" s="91">
        <v>0.33666139407820683</v>
      </c>
      <c r="T134" s="91">
        <v>63.181391541637254</v>
      </c>
      <c r="U134" s="39" t="str">
        <f t="shared" si="23"/>
        <v>Normal</v>
      </c>
      <c r="V134" s="91">
        <v>-2.1631532942838874</v>
      </c>
      <c r="W134" s="91">
        <v>1.5264695597147329</v>
      </c>
      <c r="X134" s="39" t="str">
        <f t="shared" si="16"/>
        <v>Piernas cortas</v>
      </c>
      <c r="Y134" s="116">
        <v>2.196845247315462</v>
      </c>
      <c r="Z134" s="91">
        <v>98.598424984046375</v>
      </c>
      <c r="AA134" s="39" t="str">
        <f t="shared" si="17"/>
        <v>Obesidad</v>
      </c>
    </row>
    <row r="135" spans="1:27" ht="15.75" x14ac:dyDescent="0.25">
      <c r="A135" s="72">
        <v>132</v>
      </c>
      <c r="B135" s="73" t="s">
        <v>408</v>
      </c>
      <c r="C135" s="72">
        <v>3</v>
      </c>
      <c r="D135" s="72" t="s">
        <v>26</v>
      </c>
      <c r="E135" s="1">
        <v>1</v>
      </c>
      <c r="F135" s="2">
        <v>41489</v>
      </c>
      <c r="G135" s="68">
        <v>44463</v>
      </c>
      <c r="H135" s="69">
        <f t="shared" si="18"/>
        <v>8</v>
      </c>
      <c r="I135" s="69">
        <f t="shared" si="19"/>
        <v>97</v>
      </c>
      <c r="J135" s="1">
        <v>23</v>
      </c>
      <c r="K135" s="1">
        <v>1.24</v>
      </c>
      <c r="L135" s="65">
        <f t="shared" si="20"/>
        <v>124</v>
      </c>
      <c r="M135" s="1">
        <f>109-40</f>
        <v>69</v>
      </c>
      <c r="N135" s="70">
        <f t="shared" si="21"/>
        <v>44.354838709677416</v>
      </c>
      <c r="O135" s="65">
        <v>0</v>
      </c>
      <c r="P135" s="65">
        <v>0</v>
      </c>
      <c r="Q135" s="71">
        <f t="shared" si="22"/>
        <v>14.958376690946929</v>
      </c>
      <c r="S135" s="91">
        <v>-0.65389652214146177</v>
      </c>
      <c r="T135" s="91">
        <v>25.658923737614899</v>
      </c>
      <c r="U135" s="39" t="str">
        <f t="shared" si="23"/>
        <v>Normal</v>
      </c>
      <c r="V135" s="91">
        <v>-2.3717788643960702</v>
      </c>
      <c r="W135" s="91">
        <v>0.88513411244542717</v>
      </c>
      <c r="X135" s="39" t="str">
        <f t="shared" si="16"/>
        <v>Piernas cortas</v>
      </c>
      <c r="Y135" s="116">
        <v>-0.56771127476590033</v>
      </c>
      <c r="Z135" s="91">
        <v>28.511551724178307</v>
      </c>
      <c r="AA135" s="39" t="str">
        <f t="shared" si="17"/>
        <v>Normal</v>
      </c>
    </row>
    <row r="136" spans="1:27" ht="15.75" x14ac:dyDescent="0.25">
      <c r="A136" s="72">
        <v>133</v>
      </c>
      <c r="B136" s="73" t="s">
        <v>409</v>
      </c>
      <c r="C136" s="72">
        <v>3</v>
      </c>
      <c r="D136" s="72" t="s">
        <v>26</v>
      </c>
      <c r="E136" s="1">
        <v>1</v>
      </c>
      <c r="F136" s="2">
        <v>41520</v>
      </c>
      <c r="G136" s="68">
        <v>44463</v>
      </c>
      <c r="H136" s="69">
        <f t="shared" si="18"/>
        <v>8</v>
      </c>
      <c r="I136" s="69">
        <f t="shared" si="19"/>
        <v>96</v>
      </c>
      <c r="J136" s="1">
        <v>29.6</v>
      </c>
      <c r="K136" s="1">
        <v>1.26</v>
      </c>
      <c r="L136" s="65">
        <f t="shared" si="20"/>
        <v>126</v>
      </c>
      <c r="M136" s="1">
        <f>106.7-40</f>
        <v>66.7</v>
      </c>
      <c r="N136" s="70">
        <f t="shared" si="21"/>
        <v>47.063492063492063</v>
      </c>
      <c r="O136" s="65">
        <v>0</v>
      </c>
      <c r="P136" s="65">
        <v>0</v>
      </c>
      <c r="Q136" s="71">
        <f t="shared" si="22"/>
        <v>18.644494834971024</v>
      </c>
      <c r="S136" s="91">
        <v>-0.22398979627204485</v>
      </c>
      <c r="T136" s="91">
        <v>41.138262146473366</v>
      </c>
      <c r="U136" s="39" t="str">
        <f t="shared" si="23"/>
        <v>Normal</v>
      </c>
      <c r="V136" s="91">
        <v>-0.5117660833898543</v>
      </c>
      <c r="W136" s="91">
        <v>30.44073650743012</v>
      </c>
      <c r="X136" s="39" t="str">
        <f t="shared" si="16"/>
        <v>Normal</v>
      </c>
      <c r="Y136" s="116">
        <v>1.576295389552042</v>
      </c>
      <c r="Z136" s="91">
        <v>94.252112816264642</v>
      </c>
      <c r="AA136" s="39" t="str">
        <f t="shared" si="17"/>
        <v>Obesidad</v>
      </c>
    </row>
    <row r="137" spans="1:27" ht="15.75" x14ac:dyDescent="0.25">
      <c r="A137" s="72">
        <v>134</v>
      </c>
      <c r="B137" s="73" t="s">
        <v>410</v>
      </c>
      <c r="C137" s="72">
        <v>3</v>
      </c>
      <c r="D137" s="72" t="s">
        <v>26</v>
      </c>
      <c r="E137" s="1">
        <v>1</v>
      </c>
      <c r="F137" s="2">
        <v>41432</v>
      </c>
      <c r="G137" s="68">
        <v>44463</v>
      </c>
      <c r="H137" s="69">
        <f t="shared" si="18"/>
        <v>8</v>
      </c>
      <c r="I137" s="69">
        <f t="shared" si="19"/>
        <v>99</v>
      </c>
      <c r="J137" s="1">
        <v>25.7</v>
      </c>
      <c r="K137" s="1">
        <v>1.22</v>
      </c>
      <c r="L137" s="65">
        <f t="shared" si="20"/>
        <v>122</v>
      </c>
      <c r="M137" s="1">
        <f>106.4-40</f>
        <v>66.400000000000006</v>
      </c>
      <c r="N137" s="70">
        <f t="shared" si="21"/>
        <v>45.573770491803273</v>
      </c>
      <c r="O137" s="65">
        <v>0</v>
      </c>
      <c r="P137" s="65">
        <v>0</v>
      </c>
      <c r="Q137" s="71">
        <f t="shared" si="22"/>
        <v>17.266863746304757</v>
      </c>
      <c r="S137" s="91">
        <v>-1.1507622027809281</v>
      </c>
      <c r="T137" s="91">
        <v>12.491503922813383</v>
      </c>
      <c r="U137" s="39" t="str">
        <f t="shared" si="23"/>
        <v>Normal</v>
      </c>
      <c r="V137" s="91">
        <v>-1.5198535839156981</v>
      </c>
      <c r="W137" s="91">
        <v>6.4273889190483127</v>
      </c>
      <c r="X137" s="39" t="str">
        <f t="shared" si="16"/>
        <v>Normal</v>
      </c>
      <c r="Y137" s="116">
        <v>0.85550824653079061</v>
      </c>
      <c r="Z137" s="91">
        <v>80.386507946564862</v>
      </c>
      <c r="AA137" s="39" t="str">
        <f t="shared" si="17"/>
        <v>Normal</v>
      </c>
    </row>
    <row r="138" spans="1:27" ht="15.75" x14ac:dyDescent="0.25">
      <c r="A138" s="72">
        <v>135</v>
      </c>
      <c r="B138" s="73" t="s">
        <v>411</v>
      </c>
      <c r="C138" s="72">
        <v>3</v>
      </c>
      <c r="D138" s="72" t="s">
        <v>26</v>
      </c>
      <c r="E138" s="1">
        <v>1</v>
      </c>
      <c r="F138" s="2">
        <v>41448</v>
      </c>
      <c r="G138" s="68">
        <v>44463</v>
      </c>
      <c r="H138" s="69">
        <f t="shared" si="18"/>
        <v>8</v>
      </c>
      <c r="I138" s="69">
        <f t="shared" si="19"/>
        <v>99</v>
      </c>
      <c r="J138" s="1">
        <v>29.5</v>
      </c>
      <c r="K138" s="1">
        <v>1.24</v>
      </c>
      <c r="L138" s="65">
        <f t="shared" si="20"/>
        <v>124</v>
      </c>
      <c r="M138" s="1">
        <f>106-40</f>
        <v>66</v>
      </c>
      <c r="N138" s="70">
        <f t="shared" si="21"/>
        <v>46.774193548387096</v>
      </c>
      <c r="O138" s="65">
        <v>0</v>
      </c>
      <c r="P138" s="65">
        <v>0</v>
      </c>
      <c r="Q138" s="71">
        <f t="shared" si="22"/>
        <v>19.185744016649323</v>
      </c>
      <c r="S138" s="91">
        <v>-0.80222593274399978</v>
      </c>
      <c r="T138" s="91">
        <v>21.121113900435429</v>
      </c>
      <c r="U138" s="39" t="str">
        <f t="shared" si="23"/>
        <v>Normal</v>
      </c>
      <c r="V138" s="91">
        <v>-0.70478783135398237</v>
      </c>
      <c r="W138" s="91">
        <v>24.047114121638476</v>
      </c>
      <c r="X138" s="39" t="str">
        <f t="shared" si="16"/>
        <v>Normal</v>
      </c>
      <c r="Y138" s="116">
        <v>1.7390921494977871</v>
      </c>
      <c r="Z138" s="91">
        <v>95.899072233824285</v>
      </c>
      <c r="AA138" s="39" t="str">
        <f t="shared" si="17"/>
        <v>Obesidad</v>
      </c>
    </row>
    <row r="139" spans="1:27" ht="15.75" x14ac:dyDescent="0.25">
      <c r="A139" s="72">
        <v>136</v>
      </c>
      <c r="B139" s="73" t="s">
        <v>412</v>
      </c>
      <c r="C139" s="72">
        <v>3</v>
      </c>
      <c r="D139" s="72" t="s">
        <v>26</v>
      </c>
      <c r="E139" s="1">
        <v>2</v>
      </c>
      <c r="F139" s="2">
        <v>41308</v>
      </c>
      <c r="G139" s="68">
        <v>44463</v>
      </c>
      <c r="H139" s="69">
        <f t="shared" si="18"/>
        <v>8</v>
      </c>
      <c r="I139" s="69">
        <f t="shared" si="19"/>
        <v>103</v>
      </c>
      <c r="J139" s="1">
        <v>42</v>
      </c>
      <c r="K139" s="1">
        <v>1.38</v>
      </c>
      <c r="L139" s="65">
        <f t="shared" si="20"/>
        <v>138</v>
      </c>
      <c r="M139" s="1">
        <f>115.9-40</f>
        <v>75.900000000000006</v>
      </c>
      <c r="N139" s="70">
        <f t="shared" si="21"/>
        <v>44.999999999999993</v>
      </c>
      <c r="O139" s="65">
        <v>0</v>
      </c>
      <c r="P139" s="65">
        <v>0</v>
      </c>
      <c r="Q139" s="71">
        <f t="shared" si="22"/>
        <v>22.054190296156275</v>
      </c>
      <c r="S139" s="91">
        <v>1.3384178850565418</v>
      </c>
      <c r="T139" s="91">
        <v>90.961987405224434</v>
      </c>
      <c r="U139" s="39" t="str">
        <f t="shared" si="23"/>
        <v>Normal</v>
      </c>
      <c r="V139" s="91">
        <v>-2.1356072929509171</v>
      </c>
      <c r="W139" s="91">
        <v>1.6355718242641952</v>
      </c>
      <c r="X139" s="39" t="str">
        <f t="shared" si="16"/>
        <v>Piernas cortas</v>
      </c>
      <c r="Y139" s="116">
        <v>2.2460639546665115</v>
      </c>
      <c r="Z139" s="91">
        <v>98.765004413383338</v>
      </c>
      <c r="AA139" s="39" t="str">
        <f t="shared" si="17"/>
        <v>Obesidad</v>
      </c>
    </row>
    <row r="140" spans="1:27" ht="15.75" x14ac:dyDescent="0.25">
      <c r="A140" s="72">
        <v>137</v>
      </c>
      <c r="B140" s="73" t="s">
        <v>413</v>
      </c>
      <c r="C140" s="72">
        <v>3</v>
      </c>
      <c r="D140" s="72" t="s">
        <v>26</v>
      </c>
      <c r="E140" s="1">
        <v>2</v>
      </c>
      <c r="F140" s="2">
        <v>41629</v>
      </c>
      <c r="G140" s="68">
        <v>44463</v>
      </c>
      <c r="H140" s="69">
        <f t="shared" si="18"/>
        <v>7</v>
      </c>
      <c r="I140" s="69">
        <f t="shared" si="19"/>
        <v>93</v>
      </c>
      <c r="J140" s="1">
        <v>27.1</v>
      </c>
      <c r="K140" s="1">
        <v>1.24</v>
      </c>
      <c r="L140" s="65">
        <f t="shared" si="20"/>
        <v>124</v>
      </c>
      <c r="M140" s="1">
        <f>106-40</f>
        <v>66</v>
      </c>
      <c r="N140" s="70">
        <f t="shared" si="21"/>
        <v>46.774193548387096</v>
      </c>
      <c r="O140" s="65">
        <v>0</v>
      </c>
      <c r="P140" s="65">
        <v>0</v>
      </c>
      <c r="Q140" s="71">
        <f t="shared" si="22"/>
        <v>17.62486992715921</v>
      </c>
      <c r="S140" s="91">
        <v>-0.1932286993715624</v>
      </c>
      <c r="T140" s="91">
        <v>42.338993170601633</v>
      </c>
      <c r="U140" s="39" t="str">
        <f t="shared" si="23"/>
        <v>Normal</v>
      </c>
      <c r="V140" s="91">
        <v>-0.55139177290538077</v>
      </c>
      <c r="W140" s="91">
        <v>29.068256961088125</v>
      </c>
      <c r="X140" s="39" t="str">
        <f t="shared" si="16"/>
        <v>Normal</v>
      </c>
      <c r="Y140" s="116">
        <v>1.00900081882597</v>
      </c>
      <c r="Z140" s="91">
        <v>84.351287925562346</v>
      </c>
      <c r="AA140" s="39" t="str">
        <f t="shared" si="17"/>
        <v>Normal</v>
      </c>
    </row>
    <row r="141" spans="1:27" ht="15.75" x14ac:dyDescent="0.25">
      <c r="A141" s="72">
        <v>138</v>
      </c>
      <c r="B141" s="73" t="s">
        <v>414</v>
      </c>
      <c r="C141" s="72">
        <v>3</v>
      </c>
      <c r="D141" s="72" t="s">
        <v>26</v>
      </c>
      <c r="E141" s="1">
        <v>2</v>
      </c>
      <c r="F141" s="2">
        <v>41618</v>
      </c>
      <c r="G141" s="68">
        <v>44463</v>
      </c>
      <c r="H141" s="69">
        <f t="shared" si="18"/>
        <v>7</v>
      </c>
      <c r="I141" s="69">
        <f t="shared" si="19"/>
        <v>93</v>
      </c>
      <c r="J141" s="1">
        <v>24.1</v>
      </c>
      <c r="K141" s="1">
        <v>1.18</v>
      </c>
      <c r="L141" s="65">
        <f t="shared" si="20"/>
        <v>118</v>
      </c>
      <c r="M141" s="1">
        <f>104.5-40</f>
        <v>64.5</v>
      </c>
      <c r="N141" s="70">
        <f t="shared" si="21"/>
        <v>45.33898305084746</v>
      </c>
      <c r="O141" s="65">
        <v>0</v>
      </c>
      <c r="P141" s="65">
        <v>0</v>
      </c>
      <c r="Q141" s="71">
        <f t="shared" si="22"/>
        <v>17.308244757253664</v>
      </c>
      <c r="S141" s="91">
        <v>-1.2429092754054014</v>
      </c>
      <c r="T141" s="91">
        <v>10.695063366081291</v>
      </c>
      <c r="U141" s="39" t="str">
        <f t="shared" si="23"/>
        <v>Normal</v>
      </c>
      <c r="V141" s="91">
        <v>-1.5594603935836282</v>
      </c>
      <c r="W141" s="91">
        <v>5.9443725869262796</v>
      </c>
      <c r="X141" s="39" t="str">
        <f t="shared" si="16"/>
        <v>Normal</v>
      </c>
      <c r="Y141" s="116">
        <v>0.86967077864246156</v>
      </c>
      <c r="Z141" s="91">
        <v>80.77598271112403</v>
      </c>
      <c r="AA141" s="39" t="str">
        <f t="shared" si="17"/>
        <v>Normal</v>
      </c>
    </row>
    <row r="142" spans="1:27" ht="15.75" x14ac:dyDescent="0.25">
      <c r="A142" s="72">
        <v>139</v>
      </c>
      <c r="B142" s="73" t="s">
        <v>415</v>
      </c>
      <c r="C142" s="72">
        <v>3</v>
      </c>
      <c r="D142" s="72" t="s">
        <v>26</v>
      </c>
      <c r="E142" s="1">
        <v>2</v>
      </c>
      <c r="F142" s="2">
        <v>41278</v>
      </c>
      <c r="G142" s="68">
        <v>44463</v>
      </c>
      <c r="H142" s="69">
        <f t="shared" si="18"/>
        <v>8</v>
      </c>
      <c r="I142" s="69">
        <f t="shared" si="19"/>
        <v>104</v>
      </c>
      <c r="J142" s="1">
        <v>24.6</v>
      </c>
      <c r="K142" s="1">
        <v>1.19</v>
      </c>
      <c r="L142" s="65">
        <f t="shared" si="20"/>
        <v>119</v>
      </c>
      <c r="M142" s="1">
        <f>105.4-40</f>
        <v>65.400000000000006</v>
      </c>
      <c r="N142" s="70">
        <f t="shared" si="21"/>
        <v>45.042016806722685</v>
      </c>
      <c r="O142" s="65">
        <v>0</v>
      </c>
      <c r="P142" s="65">
        <v>0</v>
      </c>
      <c r="Q142" s="71">
        <f t="shared" si="22"/>
        <v>17.37165454417061</v>
      </c>
      <c r="S142" s="91">
        <v>-1.912587310882425</v>
      </c>
      <c r="T142" s="91">
        <v>2.790045269882365</v>
      </c>
      <c r="U142" s="39" t="str">
        <f t="shared" si="23"/>
        <v>Desnutricion</v>
      </c>
      <c r="V142" s="91">
        <v>-2.1053131202198467</v>
      </c>
      <c r="W142" s="91">
        <v>1.7632030389725952</v>
      </c>
      <c r="X142" s="39" t="str">
        <f t="shared" si="16"/>
        <v>Piernas cortas</v>
      </c>
      <c r="Y142" s="116">
        <v>0.69214725437530467</v>
      </c>
      <c r="Z142" s="91">
        <v>75.557757064173629</v>
      </c>
      <c r="AA142" s="39" t="str">
        <f t="shared" si="17"/>
        <v>Normal</v>
      </c>
    </row>
    <row r="143" spans="1:27" ht="15.75" x14ac:dyDescent="0.25">
      <c r="A143" s="72">
        <v>140</v>
      </c>
      <c r="B143" s="73" t="s">
        <v>416</v>
      </c>
      <c r="C143" s="72">
        <v>3</v>
      </c>
      <c r="D143" s="72" t="s">
        <v>26</v>
      </c>
      <c r="E143" s="1">
        <v>2</v>
      </c>
      <c r="F143" s="2">
        <v>41572</v>
      </c>
      <c r="G143" s="68">
        <v>44463</v>
      </c>
      <c r="H143" s="69">
        <f t="shared" si="18"/>
        <v>7</v>
      </c>
      <c r="I143" s="69">
        <f t="shared" si="19"/>
        <v>94</v>
      </c>
      <c r="J143" s="1">
        <v>23.3</v>
      </c>
      <c r="K143" s="1">
        <v>1.25</v>
      </c>
      <c r="L143" s="65">
        <f t="shared" si="20"/>
        <v>125</v>
      </c>
      <c r="M143" s="1">
        <f>106.5-40</f>
        <v>66.5</v>
      </c>
      <c r="N143" s="70">
        <f t="shared" si="21"/>
        <v>46.800000000000004</v>
      </c>
      <c r="O143" s="65">
        <v>0</v>
      </c>
      <c r="P143" s="65">
        <v>0</v>
      </c>
      <c r="Q143" s="71">
        <f t="shared" si="22"/>
        <v>14.912000000000001</v>
      </c>
      <c r="S143" s="91">
        <v>-0.10219239270680235</v>
      </c>
      <c r="T143" s="91">
        <v>45.930198294234877</v>
      </c>
      <c r="U143" s="39" t="str">
        <f t="shared" si="23"/>
        <v>Normal</v>
      </c>
      <c r="V143" s="91">
        <v>-0.53357397025553011</v>
      </c>
      <c r="W143" s="91">
        <v>29.681816060429544</v>
      </c>
      <c r="X143" s="39" t="str">
        <f t="shared" si="16"/>
        <v>Normal</v>
      </c>
      <c r="Y143" s="116">
        <v>-0.43036320715111875</v>
      </c>
      <c r="Z143" s="91">
        <v>33.346572753310177</v>
      </c>
      <c r="AA143" s="39" t="str">
        <f t="shared" si="17"/>
        <v>Normal</v>
      </c>
    </row>
    <row r="144" spans="1:27" ht="15.75" x14ac:dyDescent="0.25">
      <c r="A144" s="72">
        <v>141</v>
      </c>
      <c r="B144" s="73" t="s">
        <v>417</v>
      </c>
      <c r="C144" s="72">
        <v>4</v>
      </c>
      <c r="D144" s="1" t="s">
        <v>7</v>
      </c>
      <c r="E144" s="1">
        <v>2</v>
      </c>
      <c r="F144" s="2">
        <v>41216</v>
      </c>
      <c r="G144" s="68">
        <v>44463</v>
      </c>
      <c r="H144" s="69">
        <f t="shared" si="18"/>
        <v>8</v>
      </c>
      <c r="I144" s="69">
        <f t="shared" si="19"/>
        <v>106</v>
      </c>
      <c r="J144" s="1">
        <v>26.7</v>
      </c>
      <c r="K144" s="1">
        <v>1.32</v>
      </c>
      <c r="L144" s="65">
        <f t="shared" si="20"/>
        <v>132</v>
      </c>
      <c r="M144" s="1">
        <f>107.5-40</f>
        <v>67.5</v>
      </c>
      <c r="N144" s="70">
        <f t="shared" si="21"/>
        <v>48.863636363636367</v>
      </c>
      <c r="O144" s="65">
        <v>0</v>
      </c>
      <c r="P144" s="65">
        <v>0</v>
      </c>
      <c r="Q144" s="71">
        <f t="shared" si="22"/>
        <v>15.323691460055095</v>
      </c>
      <c r="S144" s="91">
        <v>8.4254324701043673E-2</v>
      </c>
      <c r="T144" s="91">
        <v>53.357288658696753</v>
      </c>
      <c r="U144" s="39" t="str">
        <f t="shared" si="23"/>
        <v>Normal</v>
      </c>
      <c r="V144" s="91">
        <v>0.52782035387729731</v>
      </c>
      <c r="W144" s="91">
        <v>70.118798563441175</v>
      </c>
      <c r="X144" s="39" t="str">
        <f t="shared" si="16"/>
        <v>Normal</v>
      </c>
      <c r="Y144" s="116">
        <v>-0.39099059814302539</v>
      </c>
      <c r="Z144" s="91">
        <v>34.790209270506601</v>
      </c>
      <c r="AA144" s="39" t="str">
        <f t="shared" si="17"/>
        <v>Normal</v>
      </c>
    </row>
    <row r="145" spans="1:27" ht="15.75" x14ac:dyDescent="0.25">
      <c r="A145" s="72">
        <v>142</v>
      </c>
      <c r="B145" s="73" t="s">
        <v>418</v>
      </c>
      <c r="C145" s="72">
        <v>4</v>
      </c>
      <c r="D145" s="1" t="s">
        <v>7</v>
      </c>
      <c r="E145" s="1">
        <v>2</v>
      </c>
      <c r="F145" s="2">
        <v>41050</v>
      </c>
      <c r="G145" s="68">
        <v>44463</v>
      </c>
      <c r="H145" s="69">
        <f t="shared" si="18"/>
        <v>9</v>
      </c>
      <c r="I145" s="69">
        <f t="shared" si="19"/>
        <v>112</v>
      </c>
      <c r="J145" s="1">
        <v>32.9</v>
      </c>
      <c r="K145" s="1">
        <v>13.32</v>
      </c>
      <c r="L145" s="65">
        <f t="shared" si="20"/>
        <v>1332</v>
      </c>
      <c r="M145" s="1">
        <f>109.5-40</f>
        <v>69.5</v>
      </c>
      <c r="N145" s="70">
        <f t="shared" si="21"/>
        <v>94.782282282282281</v>
      </c>
      <c r="O145" s="65">
        <v>0</v>
      </c>
      <c r="P145" s="65">
        <v>0</v>
      </c>
      <c r="Q145" s="71">
        <f t="shared" si="22"/>
        <v>0.18543318092867642</v>
      </c>
      <c r="S145" s="91">
        <v>192.84789006980191</v>
      </c>
      <c r="T145" s="91">
        <v>100</v>
      </c>
      <c r="U145" s="39" t="str">
        <f t="shared" si="23"/>
        <v>Alto</v>
      </c>
      <c r="V145" s="91">
        <v>21.023558812535303</v>
      </c>
      <c r="W145" s="91">
        <v>100</v>
      </c>
      <c r="X145" s="39" t="str">
        <f t="shared" si="16"/>
        <v>Piernas largas</v>
      </c>
      <c r="Y145" s="116">
        <v>-4194.4938673192501</v>
      </c>
      <c r="Z145" s="91">
        <v>0</v>
      </c>
      <c r="AA145" s="39" t="str">
        <f t="shared" si="17"/>
        <v>Desnutricion</v>
      </c>
    </row>
    <row r="146" spans="1:27" ht="15.75" x14ac:dyDescent="0.25">
      <c r="A146" s="72">
        <v>143</v>
      </c>
      <c r="B146" s="73" t="s">
        <v>419</v>
      </c>
      <c r="C146" s="72">
        <v>4</v>
      </c>
      <c r="D146" s="1" t="s">
        <v>7</v>
      </c>
      <c r="E146" s="1">
        <v>1</v>
      </c>
      <c r="F146" s="2">
        <v>41098</v>
      </c>
      <c r="G146" s="68">
        <v>44463</v>
      </c>
      <c r="H146" s="69">
        <f t="shared" si="18"/>
        <v>9</v>
      </c>
      <c r="I146" s="69">
        <f t="shared" si="19"/>
        <v>110</v>
      </c>
      <c r="J146" s="1">
        <v>38.5</v>
      </c>
      <c r="K146" s="1">
        <v>1.35</v>
      </c>
      <c r="L146" s="65">
        <f t="shared" si="20"/>
        <v>135</v>
      </c>
      <c r="M146" s="1">
        <f>110.8-40</f>
        <v>70.8</v>
      </c>
      <c r="N146" s="70">
        <f t="shared" si="21"/>
        <v>47.555555555555557</v>
      </c>
      <c r="O146" s="65">
        <v>0</v>
      </c>
      <c r="P146" s="65">
        <v>0</v>
      </c>
      <c r="Q146" s="71">
        <f t="shared" si="22"/>
        <v>21.124828532235938</v>
      </c>
      <c r="S146" s="91">
        <v>0.2568142132559687</v>
      </c>
      <c r="T146" s="91">
        <v>60.133890130499957</v>
      </c>
      <c r="U146" s="39" t="str">
        <f t="shared" si="23"/>
        <v>Normal</v>
      </c>
      <c r="V146" s="91">
        <v>-0.45983388832990069</v>
      </c>
      <c r="W146" s="91">
        <v>32.281772839342246</v>
      </c>
      <c r="X146" s="39" t="str">
        <f t="shared" si="16"/>
        <v>Normal</v>
      </c>
      <c r="Y146" s="116">
        <v>2.157699877735769</v>
      </c>
      <c r="Z146" s="91">
        <v>98.452441326302434</v>
      </c>
      <c r="AA146" s="39" t="str">
        <f t="shared" si="17"/>
        <v>Obesidad</v>
      </c>
    </row>
    <row r="147" spans="1:27" ht="15.75" x14ac:dyDescent="0.25">
      <c r="A147" s="72">
        <v>144</v>
      </c>
      <c r="B147" s="73" t="s">
        <v>420</v>
      </c>
      <c r="C147" s="72">
        <v>4</v>
      </c>
      <c r="D147" s="1" t="s">
        <v>7</v>
      </c>
      <c r="E147" s="1">
        <v>1</v>
      </c>
      <c r="F147" s="2">
        <v>41163</v>
      </c>
      <c r="G147" s="68">
        <v>44463</v>
      </c>
      <c r="H147" s="69">
        <f t="shared" si="18"/>
        <v>9</v>
      </c>
      <c r="I147" s="69">
        <f t="shared" si="19"/>
        <v>108</v>
      </c>
      <c r="J147" s="1">
        <v>36.6</v>
      </c>
      <c r="K147" s="1">
        <v>1.39</v>
      </c>
      <c r="L147" s="65">
        <f t="shared" si="20"/>
        <v>139</v>
      </c>
      <c r="M147" s="1">
        <f>113.4-40</f>
        <v>73.400000000000006</v>
      </c>
      <c r="N147" s="70">
        <f t="shared" si="21"/>
        <v>47.194244604316545</v>
      </c>
      <c r="O147" s="65">
        <v>0</v>
      </c>
      <c r="P147" s="65">
        <v>0</v>
      </c>
      <c r="Q147" s="71">
        <f t="shared" si="22"/>
        <v>18.943118886186017</v>
      </c>
      <c r="S147" s="91">
        <v>1.0703559568304764</v>
      </c>
      <c r="T147" s="91">
        <v>85.777044200932835</v>
      </c>
      <c r="U147" s="39" t="str">
        <f t="shared" si="23"/>
        <v>Normal</v>
      </c>
      <c r="V147" s="91">
        <v>-0.69858561633407867</v>
      </c>
      <c r="W147" s="91">
        <v>24.240551764119527</v>
      </c>
      <c r="X147" s="39" t="str">
        <f t="shared" si="16"/>
        <v>Normal</v>
      </c>
      <c r="Y147" s="116">
        <v>1.447098734523337</v>
      </c>
      <c r="Z147" s="91">
        <v>92.606536379125643</v>
      </c>
      <c r="AA147" s="39" t="str">
        <f t="shared" si="17"/>
        <v>Obesidad</v>
      </c>
    </row>
    <row r="148" spans="1:27" ht="15.75" x14ac:dyDescent="0.25">
      <c r="A148" s="72">
        <v>145</v>
      </c>
      <c r="B148" s="73" t="s">
        <v>421</v>
      </c>
      <c r="C148" s="72">
        <v>4</v>
      </c>
      <c r="D148" s="1" t="s">
        <v>7</v>
      </c>
      <c r="E148" s="1">
        <v>2</v>
      </c>
      <c r="F148" s="2">
        <v>41116</v>
      </c>
      <c r="G148" s="68">
        <v>44463</v>
      </c>
      <c r="H148" s="69">
        <f t="shared" si="18"/>
        <v>9</v>
      </c>
      <c r="I148" s="69">
        <f t="shared" si="19"/>
        <v>109</v>
      </c>
      <c r="J148" s="1">
        <v>34.6</v>
      </c>
      <c r="K148" s="1">
        <v>1.31</v>
      </c>
      <c r="L148" s="65">
        <f t="shared" si="20"/>
        <v>131</v>
      </c>
      <c r="M148" s="1">
        <f>109.8-40</f>
        <v>69.8</v>
      </c>
      <c r="N148" s="70">
        <f t="shared" si="21"/>
        <v>46.717557251908396</v>
      </c>
      <c r="O148" s="65">
        <v>0</v>
      </c>
      <c r="P148" s="65">
        <v>0</v>
      </c>
      <c r="Q148" s="71">
        <f t="shared" si="22"/>
        <v>20.161995221723675</v>
      </c>
      <c r="S148" s="91">
        <v>-0.32580636488126313</v>
      </c>
      <c r="T148" s="91">
        <v>37.228543139782964</v>
      </c>
      <c r="U148" s="39" t="str">
        <f t="shared" si="23"/>
        <v>Normal</v>
      </c>
      <c r="V148" s="91">
        <v>-1.1298013385581731</v>
      </c>
      <c r="W148" s="91">
        <v>12.927997203354538</v>
      </c>
      <c r="X148" s="39" t="str">
        <f t="shared" si="16"/>
        <v>Normal</v>
      </c>
      <c r="Y148" s="116">
        <v>1.6020445206033029</v>
      </c>
      <c r="Z148" s="91">
        <v>94.542711755381021</v>
      </c>
      <c r="AA148" s="39" t="str">
        <f t="shared" si="17"/>
        <v>Obesidad</v>
      </c>
    </row>
    <row r="149" spans="1:27" ht="15.75" x14ac:dyDescent="0.25">
      <c r="A149" s="72">
        <v>146</v>
      </c>
      <c r="B149" s="73" t="s">
        <v>439</v>
      </c>
      <c r="C149" s="72">
        <v>4</v>
      </c>
      <c r="D149" s="1" t="s">
        <v>7</v>
      </c>
      <c r="E149" s="1">
        <v>2</v>
      </c>
      <c r="F149" s="2">
        <v>41130</v>
      </c>
      <c r="G149" s="68">
        <v>44463</v>
      </c>
      <c r="H149" s="69">
        <f t="shared" si="18"/>
        <v>9</v>
      </c>
      <c r="I149" s="69">
        <f t="shared" si="19"/>
        <v>109</v>
      </c>
      <c r="J149" s="1">
        <v>28.9</v>
      </c>
      <c r="K149" s="1">
        <v>1.4</v>
      </c>
      <c r="L149" s="65">
        <f t="shared" si="20"/>
        <v>140</v>
      </c>
      <c r="M149" s="1">
        <f>112-40</f>
        <v>72</v>
      </c>
      <c r="N149" s="70">
        <f t="shared" si="21"/>
        <v>48.571428571428569</v>
      </c>
      <c r="O149" s="65">
        <v>0</v>
      </c>
      <c r="P149" s="65">
        <v>0</v>
      </c>
      <c r="Q149" s="71">
        <f t="shared" si="22"/>
        <v>14.744897959183675</v>
      </c>
      <c r="S149" s="91">
        <v>1.1411290915854848</v>
      </c>
      <c r="T149" s="91">
        <v>87.309189665551841</v>
      </c>
      <c r="U149" s="39" t="str">
        <f t="shared" si="23"/>
        <v>Normal</v>
      </c>
      <c r="V149" s="91">
        <v>0.12736233227613036</v>
      </c>
      <c r="W149" s="91">
        <v>55.067318605455625</v>
      </c>
      <c r="X149" s="39" t="str">
        <f t="shared" si="16"/>
        <v>Normal</v>
      </c>
      <c r="Y149" s="116">
        <v>-0.8127431388944294</v>
      </c>
      <c r="Z149" s="91">
        <v>20.818267118254678</v>
      </c>
      <c r="AA149" s="39" t="str">
        <f t="shared" si="17"/>
        <v>Normal</v>
      </c>
    </row>
    <row r="150" spans="1:27" ht="15.75" x14ac:dyDescent="0.25">
      <c r="A150" s="72">
        <v>147</v>
      </c>
      <c r="B150" s="73" t="s">
        <v>422</v>
      </c>
      <c r="C150" s="72">
        <v>4</v>
      </c>
      <c r="D150" s="1" t="s">
        <v>7</v>
      </c>
      <c r="E150" s="1">
        <v>1</v>
      </c>
      <c r="F150" s="2">
        <v>40941</v>
      </c>
      <c r="G150" s="68">
        <v>44463</v>
      </c>
      <c r="H150" s="69">
        <f t="shared" si="18"/>
        <v>9</v>
      </c>
      <c r="I150" s="69">
        <f t="shared" si="19"/>
        <v>115</v>
      </c>
      <c r="J150" s="1">
        <v>25.3</v>
      </c>
      <c r="K150" s="1">
        <v>1.29</v>
      </c>
      <c r="L150" s="65">
        <f t="shared" si="20"/>
        <v>129</v>
      </c>
      <c r="M150" s="1">
        <f>109-40</f>
        <v>69</v>
      </c>
      <c r="N150" s="70">
        <f t="shared" si="21"/>
        <v>46.511627906976742</v>
      </c>
      <c r="O150" s="65">
        <v>0</v>
      </c>
      <c r="P150" s="65">
        <v>0</v>
      </c>
      <c r="Q150" s="71">
        <f t="shared" si="22"/>
        <v>15.203413256414878</v>
      </c>
      <c r="S150" s="91">
        <v>-1.0632036466936436</v>
      </c>
      <c r="T150" s="91">
        <v>14.384480451042418</v>
      </c>
      <c r="U150" s="39" t="str">
        <f t="shared" si="23"/>
        <v>Normal</v>
      </c>
      <c r="V150" s="91">
        <v>-1.1551645064310565</v>
      </c>
      <c r="W150" s="91">
        <v>12.401153325244708</v>
      </c>
      <c r="X150" s="39" t="str">
        <f t="shared" si="16"/>
        <v>Normal</v>
      </c>
      <c r="Y150" s="116">
        <v>-0.69229434366255482</v>
      </c>
      <c r="Z150" s="91">
        <v>24.437625076009407</v>
      </c>
      <c r="AA150" s="39" t="str">
        <f t="shared" si="17"/>
        <v>Normal</v>
      </c>
    </row>
    <row r="151" spans="1:27" ht="15.75" x14ac:dyDescent="0.25">
      <c r="A151" s="72">
        <v>148</v>
      </c>
      <c r="B151" s="73" t="s">
        <v>423</v>
      </c>
      <c r="C151" s="72">
        <v>4</v>
      </c>
      <c r="D151" s="1" t="s">
        <v>7</v>
      </c>
      <c r="E151" s="1">
        <v>1</v>
      </c>
      <c r="F151" s="2">
        <v>41053</v>
      </c>
      <c r="G151" s="68">
        <v>44463</v>
      </c>
      <c r="H151" s="69">
        <f t="shared" si="18"/>
        <v>9</v>
      </c>
      <c r="I151" s="69">
        <f t="shared" si="19"/>
        <v>112</v>
      </c>
      <c r="J151" s="1">
        <v>32.200000000000003</v>
      </c>
      <c r="K151" s="1">
        <v>1.26</v>
      </c>
      <c r="L151" s="65">
        <f t="shared" si="20"/>
        <v>126</v>
      </c>
      <c r="M151" s="1">
        <f>109.9-40</f>
        <v>69.900000000000006</v>
      </c>
      <c r="N151" s="70">
        <f t="shared" si="21"/>
        <v>44.523809523809518</v>
      </c>
      <c r="O151" s="65">
        <v>0</v>
      </c>
      <c r="P151" s="65">
        <v>0</v>
      </c>
      <c r="Q151" s="71">
        <f t="shared" si="22"/>
        <v>20.282186948853617</v>
      </c>
      <c r="S151" s="91">
        <v>-1.3555134268570064</v>
      </c>
      <c r="T151" s="91">
        <v>8.7627016834382445</v>
      </c>
      <c r="U151" s="39" t="str">
        <f t="shared" si="23"/>
        <v>Normal</v>
      </c>
      <c r="V151" s="91">
        <v>-2.5277245152384231</v>
      </c>
      <c r="W151" s="91">
        <v>0.57402197257634069</v>
      </c>
      <c r="X151" s="39" t="str">
        <f t="shared" si="16"/>
        <v>Piernas cortas</v>
      </c>
      <c r="Y151" s="116">
        <v>1.8462457897224716</v>
      </c>
      <c r="Z151" s="91">
        <v>96.757173746001399</v>
      </c>
      <c r="AA151" s="39" t="str">
        <f t="shared" si="17"/>
        <v>Obesidad</v>
      </c>
    </row>
    <row r="152" spans="1:27" ht="15.75" x14ac:dyDescent="0.25">
      <c r="A152" s="72">
        <v>149</v>
      </c>
      <c r="B152" s="73" t="s">
        <v>424</v>
      </c>
      <c r="C152" s="72">
        <v>4</v>
      </c>
      <c r="D152" s="1" t="s">
        <v>7</v>
      </c>
      <c r="E152" s="1">
        <v>1</v>
      </c>
      <c r="F152" s="2">
        <v>41158</v>
      </c>
      <c r="G152" s="68">
        <v>44463</v>
      </c>
      <c r="H152" s="69">
        <f t="shared" si="18"/>
        <v>9</v>
      </c>
      <c r="I152" s="69">
        <f t="shared" si="19"/>
        <v>108</v>
      </c>
      <c r="J152" s="1">
        <v>52.3</v>
      </c>
      <c r="K152" s="1">
        <v>1.43</v>
      </c>
      <c r="L152" s="65">
        <f t="shared" si="20"/>
        <v>143</v>
      </c>
      <c r="M152" s="1">
        <f>114.2-40</f>
        <v>74.2</v>
      </c>
      <c r="N152" s="70">
        <f t="shared" si="21"/>
        <v>48.111888111888113</v>
      </c>
      <c r="O152" s="65">
        <v>0</v>
      </c>
      <c r="P152" s="65">
        <v>0</v>
      </c>
      <c r="Q152" s="71">
        <f t="shared" si="22"/>
        <v>25.575822778619983</v>
      </c>
      <c r="S152" s="91">
        <v>1.7357105641721018</v>
      </c>
      <c r="T152" s="91">
        <v>95.869248768579112</v>
      </c>
      <c r="U152" s="39" t="str">
        <f t="shared" si="23"/>
        <v>Alto</v>
      </c>
      <c r="V152" s="91">
        <v>-9.6068966291466773E-2</v>
      </c>
      <c r="W152" s="91">
        <v>46.173289929380658</v>
      </c>
      <c r="X152" s="39" t="str">
        <f t="shared" si="16"/>
        <v>Normal</v>
      </c>
      <c r="Y152" s="116">
        <v>3.2510978924473322</v>
      </c>
      <c r="Z152" s="91">
        <v>99.942519866408048</v>
      </c>
      <c r="AA152" s="39" t="str">
        <f t="shared" si="17"/>
        <v>Obesidad</v>
      </c>
    </row>
    <row r="153" spans="1:27" ht="15.75" x14ac:dyDescent="0.25">
      <c r="A153" s="72">
        <v>150</v>
      </c>
      <c r="B153" s="73" t="s">
        <v>425</v>
      </c>
      <c r="C153" s="72">
        <v>4</v>
      </c>
      <c r="D153" s="1" t="s">
        <v>7</v>
      </c>
      <c r="E153" s="1">
        <v>1</v>
      </c>
      <c r="F153" s="2">
        <v>40954</v>
      </c>
      <c r="G153" s="68">
        <v>44463</v>
      </c>
      <c r="H153" s="69">
        <f t="shared" si="18"/>
        <v>9</v>
      </c>
      <c r="I153" s="69">
        <f t="shared" si="19"/>
        <v>115</v>
      </c>
      <c r="J153" s="1">
        <v>38</v>
      </c>
      <c r="K153" s="1">
        <v>1.31</v>
      </c>
      <c r="L153" s="65">
        <f t="shared" si="20"/>
        <v>131</v>
      </c>
      <c r="M153" s="1">
        <f>108.8-40</f>
        <v>68.8</v>
      </c>
      <c r="N153" s="70">
        <f t="shared" si="21"/>
        <v>47.480916030534353</v>
      </c>
      <c r="O153" s="65">
        <v>0</v>
      </c>
      <c r="P153" s="65">
        <v>0</v>
      </c>
      <c r="Q153" s="71">
        <f t="shared" si="22"/>
        <v>22.143231746401721</v>
      </c>
      <c r="S153" s="91">
        <v>-0.74183874320747378</v>
      </c>
      <c r="T153" s="91">
        <v>22.909252185027633</v>
      </c>
      <c r="U153" s="39" t="str">
        <f t="shared" si="23"/>
        <v>Normal</v>
      </c>
      <c r="V153" s="91">
        <v>-0.50899205870761954</v>
      </c>
      <c r="W153" s="91">
        <v>30.537889525084534</v>
      </c>
      <c r="X153" s="39" t="str">
        <f t="shared" si="16"/>
        <v>Normal</v>
      </c>
      <c r="Y153" s="116">
        <v>2.3187115105192535</v>
      </c>
      <c r="Z153" s="91">
        <v>98.979465800700481</v>
      </c>
      <c r="AA153" s="39" t="str">
        <f t="shared" si="17"/>
        <v>Obesidad</v>
      </c>
    </row>
    <row r="154" spans="1:27" ht="15.75" x14ac:dyDescent="0.25">
      <c r="A154" s="72">
        <v>151</v>
      </c>
      <c r="B154" s="73" t="s">
        <v>426</v>
      </c>
      <c r="C154" s="72">
        <v>4</v>
      </c>
      <c r="D154" s="1" t="s">
        <v>7</v>
      </c>
      <c r="E154" s="1">
        <v>2</v>
      </c>
      <c r="F154" s="2">
        <v>40933</v>
      </c>
      <c r="G154" s="68">
        <v>44463</v>
      </c>
      <c r="H154" s="69">
        <f t="shared" si="18"/>
        <v>9</v>
      </c>
      <c r="I154" s="69">
        <f t="shared" si="19"/>
        <v>115</v>
      </c>
      <c r="J154" s="1">
        <v>46.2</v>
      </c>
      <c r="K154" s="1">
        <v>1.26</v>
      </c>
      <c r="L154" s="65">
        <f t="shared" si="20"/>
        <v>126</v>
      </c>
      <c r="M154" s="1">
        <f>115.5-40</f>
        <v>75.5</v>
      </c>
      <c r="N154" s="70">
        <f t="shared" si="21"/>
        <v>40.079365079365083</v>
      </c>
      <c r="O154" s="65">
        <v>0</v>
      </c>
      <c r="P154" s="65">
        <v>0</v>
      </c>
      <c r="Q154" s="71">
        <f t="shared" si="22"/>
        <v>29.100529100529101</v>
      </c>
      <c r="S154" s="91">
        <v>-1.6004410708802943</v>
      </c>
      <c r="T154" s="91">
        <v>5.4750385010032003</v>
      </c>
      <c r="U154" s="39" t="str">
        <f t="shared" si="23"/>
        <v>Normal</v>
      </c>
      <c r="V154" s="91">
        <v>-6.1256719289344073</v>
      </c>
      <c r="W154" s="91">
        <v>4.515085068379251E-8</v>
      </c>
      <c r="X154" s="39" t="str">
        <f t="shared" si="16"/>
        <v>Piernas cortas</v>
      </c>
      <c r="Y154" s="116">
        <v>3.1923207255730461</v>
      </c>
      <c r="Z154" s="91">
        <v>99.929432737555828</v>
      </c>
      <c r="AA154" s="39" t="str">
        <f t="shared" si="17"/>
        <v>Obesidad</v>
      </c>
    </row>
    <row r="155" spans="1:27" ht="15.75" x14ac:dyDescent="0.25">
      <c r="A155" s="72">
        <v>152</v>
      </c>
      <c r="B155" s="73" t="s">
        <v>427</v>
      </c>
      <c r="C155" s="72">
        <v>4</v>
      </c>
      <c r="D155" s="1" t="s">
        <v>7</v>
      </c>
      <c r="E155" s="1">
        <v>1</v>
      </c>
      <c r="F155" s="2">
        <v>41166</v>
      </c>
      <c r="G155" s="68">
        <v>44463</v>
      </c>
      <c r="H155" s="69">
        <f t="shared" si="18"/>
        <v>9</v>
      </c>
      <c r="I155" s="69">
        <f t="shared" si="19"/>
        <v>108</v>
      </c>
      <c r="J155" s="1">
        <v>37</v>
      </c>
      <c r="K155" s="1">
        <v>1.43</v>
      </c>
      <c r="L155" s="65">
        <f t="shared" si="20"/>
        <v>143</v>
      </c>
      <c r="M155" s="1">
        <f>113.4-40</f>
        <v>73.400000000000006</v>
      </c>
      <c r="N155" s="70">
        <f t="shared" si="21"/>
        <v>48.671328671328666</v>
      </c>
      <c r="O155" s="65">
        <v>0</v>
      </c>
      <c r="P155" s="65">
        <v>0</v>
      </c>
      <c r="Q155" s="71">
        <f t="shared" si="22"/>
        <v>18.093794317570545</v>
      </c>
      <c r="S155" s="91">
        <v>1.7357105641721018</v>
      </c>
      <c r="T155" s="91">
        <v>95.869248768579112</v>
      </c>
      <c r="U155" s="39" t="str">
        <f t="shared" si="23"/>
        <v>Alto</v>
      </c>
      <c r="V155" s="91">
        <v>0.26511416442280128</v>
      </c>
      <c r="W155" s="91">
        <v>60.453924199331667</v>
      </c>
      <c r="X155" s="39" t="str">
        <f t="shared" si="16"/>
        <v>Normal</v>
      </c>
      <c r="Y155" s="116">
        <v>1.0850574143310785</v>
      </c>
      <c r="Z155" s="91">
        <v>86.105188646796847</v>
      </c>
      <c r="AA155" s="39" t="str">
        <f t="shared" si="17"/>
        <v>Obesidad</v>
      </c>
    </row>
    <row r="156" spans="1:27" ht="15.75" x14ac:dyDescent="0.25">
      <c r="A156" s="72">
        <v>153</v>
      </c>
      <c r="B156" s="73" t="s">
        <v>428</v>
      </c>
      <c r="C156" s="72">
        <v>4</v>
      </c>
      <c r="D156" s="1" t="s">
        <v>7</v>
      </c>
      <c r="E156" s="1">
        <v>2</v>
      </c>
      <c r="F156" s="2">
        <v>41046</v>
      </c>
      <c r="G156" s="68">
        <v>44463</v>
      </c>
      <c r="H156" s="69">
        <f t="shared" si="18"/>
        <v>9</v>
      </c>
      <c r="I156" s="69">
        <f t="shared" si="19"/>
        <v>112</v>
      </c>
      <c r="J156" s="1">
        <v>28.2</v>
      </c>
      <c r="K156" s="1">
        <v>1.33</v>
      </c>
      <c r="L156" s="65">
        <f t="shared" si="20"/>
        <v>133</v>
      </c>
      <c r="M156" s="1">
        <f>109.7-40</f>
        <v>69.7</v>
      </c>
      <c r="N156" s="70">
        <f t="shared" si="21"/>
        <v>47.593984962406012</v>
      </c>
      <c r="O156" s="65">
        <v>0</v>
      </c>
      <c r="P156" s="65">
        <v>0</v>
      </c>
      <c r="Q156" s="71">
        <f t="shared" si="22"/>
        <v>15.942110916388714</v>
      </c>
      <c r="S156" s="91">
        <v>-0.24482029883436127</v>
      </c>
      <c r="T156" s="91">
        <v>40.329778796247354</v>
      </c>
      <c r="U156" s="39" t="str">
        <f t="shared" si="23"/>
        <v>Normal</v>
      </c>
      <c r="V156" s="91">
        <v>-0.52879692725249849</v>
      </c>
      <c r="W156" s="91">
        <v>29.847316477721353</v>
      </c>
      <c r="X156" s="39" t="str">
        <f t="shared" si="16"/>
        <v>Normal</v>
      </c>
      <c r="Y156" s="116">
        <v>-0.16610992947048051</v>
      </c>
      <c r="Z156" s="91">
        <v>43.403522006493191</v>
      </c>
      <c r="AA156" s="39" t="str">
        <f t="shared" si="17"/>
        <v>Normal</v>
      </c>
    </row>
    <row r="157" spans="1:27" ht="15.75" x14ac:dyDescent="0.25">
      <c r="A157" s="72">
        <v>154</v>
      </c>
      <c r="B157" s="73" t="s">
        <v>429</v>
      </c>
      <c r="C157" s="72">
        <v>4</v>
      </c>
      <c r="D157" s="1" t="s">
        <v>7</v>
      </c>
      <c r="E157" s="1">
        <v>1</v>
      </c>
      <c r="F157" s="2">
        <v>41226</v>
      </c>
      <c r="G157" s="68">
        <v>44463</v>
      </c>
      <c r="H157" s="69">
        <f t="shared" si="18"/>
        <v>8</v>
      </c>
      <c r="I157" s="69">
        <f t="shared" si="19"/>
        <v>106</v>
      </c>
      <c r="J157" s="1">
        <v>26</v>
      </c>
      <c r="K157" s="1">
        <v>1.3</v>
      </c>
      <c r="L157" s="65">
        <f t="shared" si="20"/>
        <v>130</v>
      </c>
      <c r="M157" s="1">
        <f>107.4-40</f>
        <v>67.400000000000006</v>
      </c>
      <c r="N157" s="70">
        <f t="shared" si="21"/>
        <v>48.153846153846146</v>
      </c>
      <c r="O157" s="65">
        <v>0</v>
      </c>
      <c r="P157" s="65">
        <v>0</v>
      </c>
      <c r="Q157" s="71">
        <f t="shared" si="22"/>
        <v>15.384615384615383</v>
      </c>
      <c r="S157" s="91">
        <v>-0.28371707975052435</v>
      </c>
      <c r="T157" s="91">
        <v>38.831360231031297</v>
      </c>
      <c r="U157" s="39" t="str">
        <f t="shared" si="23"/>
        <v>Normal</v>
      </c>
      <c r="V157" s="91">
        <v>0.20428096684430547</v>
      </c>
      <c r="W157" s="91">
        <v>58.093302868991628</v>
      </c>
      <c r="X157" s="39" t="str">
        <f t="shared" si="16"/>
        <v>Normal</v>
      </c>
      <c r="Y157" s="116">
        <v>-0.40181274020717306</v>
      </c>
      <c r="Z157" s="91">
        <v>34.391092263530268</v>
      </c>
      <c r="AA157" s="39" t="str">
        <f t="shared" si="17"/>
        <v>Normal</v>
      </c>
    </row>
    <row r="158" spans="1:27" ht="15.75" x14ac:dyDescent="0.25">
      <c r="A158" s="72">
        <v>155</v>
      </c>
      <c r="B158" s="73" t="s">
        <v>430</v>
      </c>
      <c r="C158" s="72">
        <v>4</v>
      </c>
      <c r="D158" s="1" t="s">
        <v>7</v>
      </c>
      <c r="E158" s="1">
        <v>2</v>
      </c>
      <c r="F158" s="2">
        <v>41164</v>
      </c>
      <c r="G158" s="68">
        <v>44463</v>
      </c>
      <c r="H158" s="69">
        <f t="shared" si="18"/>
        <v>9</v>
      </c>
      <c r="I158" s="69">
        <f t="shared" si="19"/>
        <v>108</v>
      </c>
      <c r="J158" s="1">
        <v>32.1</v>
      </c>
      <c r="K158" s="1">
        <v>1.27</v>
      </c>
      <c r="L158" s="65">
        <f t="shared" si="20"/>
        <v>127</v>
      </c>
      <c r="M158" s="1">
        <f>106.8-40</f>
        <v>66.8</v>
      </c>
      <c r="N158" s="70">
        <f t="shared" si="21"/>
        <v>47.401574803149607</v>
      </c>
      <c r="O158" s="65">
        <v>0</v>
      </c>
      <c r="P158" s="65">
        <v>0</v>
      </c>
      <c r="Q158" s="71">
        <f t="shared" si="22"/>
        <v>19.90203980407961</v>
      </c>
      <c r="S158" s="91">
        <v>-0.89915269861489866</v>
      </c>
      <c r="T158" s="91">
        <v>18.428566570493867</v>
      </c>
      <c r="U158" s="39" t="str">
        <f t="shared" si="23"/>
        <v>Normal</v>
      </c>
      <c r="V158" s="91">
        <v>-0.65969798637951438</v>
      </c>
      <c r="W158" s="91">
        <v>25.472382956757588</v>
      </c>
      <c r="X158" s="39" t="str">
        <f t="shared" si="16"/>
        <v>Normal</v>
      </c>
      <c r="Y158" s="116">
        <v>1.5437019701557748</v>
      </c>
      <c r="Z158" s="91">
        <v>93.866972559113336</v>
      </c>
      <c r="AA158" s="39" t="str">
        <f t="shared" si="17"/>
        <v>Obesidad</v>
      </c>
    </row>
    <row r="159" spans="1:27" ht="15.75" x14ac:dyDescent="0.25">
      <c r="A159" s="72">
        <v>156</v>
      </c>
      <c r="B159" s="73" t="s">
        <v>431</v>
      </c>
      <c r="C159" s="72">
        <v>4</v>
      </c>
      <c r="D159" s="1" t="s">
        <v>7</v>
      </c>
      <c r="E159" s="1">
        <v>2</v>
      </c>
      <c r="F159" s="2">
        <v>40914</v>
      </c>
      <c r="G159" s="68">
        <v>44463</v>
      </c>
      <c r="H159" s="69">
        <f t="shared" si="18"/>
        <v>9</v>
      </c>
      <c r="I159" s="69">
        <f t="shared" si="19"/>
        <v>116</v>
      </c>
      <c r="J159" s="1">
        <v>34.700000000000003</v>
      </c>
      <c r="K159" s="1">
        <v>1.4</v>
      </c>
      <c r="L159" s="65">
        <f t="shared" si="20"/>
        <v>140</v>
      </c>
      <c r="M159" s="1">
        <f>114.8-40</f>
        <v>74.8</v>
      </c>
      <c r="N159" s="70">
        <f t="shared" si="21"/>
        <v>46.571428571428577</v>
      </c>
      <c r="O159" s="65">
        <v>0</v>
      </c>
      <c r="P159" s="65">
        <v>0</v>
      </c>
      <c r="Q159" s="71">
        <f t="shared" si="22"/>
        <v>17.704081632653065</v>
      </c>
      <c r="S159" s="91">
        <v>0.54458068518218594</v>
      </c>
      <c r="T159" s="91">
        <v>70.69790290850591</v>
      </c>
      <c r="U159" s="39" t="str">
        <f t="shared" si="23"/>
        <v>Normal</v>
      </c>
      <c r="V159" s="91">
        <v>-1.2312068486332484</v>
      </c>
      <c r="W159" s="91">
        <v>10.912275530278487</v>
      </c>
      <c r="X159" s="39" t="str">
        <f t="shared" si="16"/>
        <v>Normal</v>
      </c>
      <c r="Y159" s="116">
        <v>0.58202539993546643</v>
      </c>
      <c r="Z159" s="91">
        <v>71.972521390194672</v>
      </c>
      <c r="AA159" s="39" t="str">
        <f t="shared" si="17"/>
        <v>Normal</v>
      </c>
    </row>
    <row r="160" spans="1:27" ht="15.75" x14ac:dyDescent="0.25">
      <c r="A160" s="72">
        <v>157</v>
      </c>
      <c r="B160" s="73" t="s">
        <v>432</v>
      </c>
      <c r="C160" s="72">
        <v>4</v>
      </c>
      <c r="D160" s="1" t="s">
        <v>7</v>
      </c>
      <c r="E160" s="1">
        <v>1</v>
      </c>
      <c r="F160" s="2">
        <v>40957</v>
      </c>
      <c r="G160" s="68">
        <v>44463</v>
      </c>
      <c r="H160" s="69">
        <f t="shared" si="18"/>
        <v>9</v>
      </c>
      <c r="I160" s="69">
        <f t="shared" si="19"/>
        <v>115</v>
      </c>
      <c r="J160" s="1">
        <v>30.8</v>
      </c>
      <c r="K160" s="1">
        <v>1.33</v>
      </c>
      <c r="L160" s="65">
        <f t="shared" si="20"/>
        <v>133</v>
      </c>
      <c r="M160" s="1">
        <f>110.4-40</f>
        <v>70.400000000000006</v>
      </c>
      <c r="N160" s="70">
        <f t="shared" si="21"/>
        <v>47.067669172932327</v>
      </c>
      <c r="O160" s="65">
        <v>0</v>
      </c>
      <c r="P160" s="65">
        <v>0</v>
      </c>
      <c r="Q160" s="71">
        <f t="shared" si="22"/>
        <v>17.411950929956468</v>
      </c>
      <c r="S160" s="91">
        <v>-0.42047383972130631</v>
      </c>
      <c r="T160" s="91">
        <v>33.706966811273972</v>
      </c>
      <c r="U160" s="39" t="str">
        <f t="shared" si="23"/>
        <v>Normal</v>
      </c>
      <c r="V160" s="91">
        <v>-0.78269937992210414</v>
      </c>
      <c r="W160" s="91">
        <v>21.690183322829654</v>
      </c>
      <c r="X160" s="39" t="str">
        <f t="shared" si="16"/>
        <v>Normal</v>
      </c>
      <c r="Y160" s="116">
        <v>0.62098758817586563</v>
      </c>
      <c r="Z160" s="91">
        <v>73.269610515627875</v>
      </c>
      <c r="AA160" s="39" t="str">
        <f t="shared" si="17"/>
        <v>Normal</v>
      </c>
    </row>
    <row r="161" spans="1:27" ht="15.75" x14ac:dyDescent="0.25">
      <c r="A161" s="72">
        <v>158</v>
      </c>
      <c r="B161" s="73" t="s">
        <v>433</v>
      </c>
      <c r="C161" s="72">
        <v>4</v>
      </c>
      <c r="D161" s="1" t="s">
        <v>7</v>
      </c>
      <c r="E161" s="1">
        <v>2</v>
      </c>
      <c r="F161" s="2">
        <v>40940</v>
      </c>
      <c r="G161" s="68">
        <v>44463</v>
      </c>
      <c r="H161" s="69">
        <f t="shared" si="18"/>
        <v>9</v>
      </c>
      <c r="I161" s="69">
        <f t="shared" si="19"/>
        <v>115</v>
      </c>
      <c r="J161" s="1">
        <v>32.799999999999997</v>
      </c>
      <c r="K161" s="1">
        <v>1.37</v>
      </c>
      <c r="L161" s="65">
        <f t="shared" si="20"/>
        <v>137</v>
      </c>
      <c r="M161" s="1">
        <f>112.2-40</f>
        <v>72.2</v>
      </c>
      <c r="N161" s="70">
        <f t="shared" si="21"/>
        <v>47.299270072992698</v>
      </c>
      <c r="O161" s="65">
        <v>0</v>
      </c>
      <c r="P161" s="65">
        <v>0</v>
      </c>
      <c r="Q161" s="71">
        <f t="shared" si="22"/>
        <v>17.475624700303687</v>
      </c>
      <c r="S161" s="91">
        <v>0.15071046937844887</v>
      </c>
      <c r="T161" s="91">
        <v>55.98979428982345</v>
      </c>
      <c r="U161" s="39" t="str">
        <f t="shared" si="23"/>
        <v>Normal</v>
      </c>
      <c r="V161" s="91">
        <v>-0.72953511643768543</v>
      </c>
      <c r="W161" s="91">
        <v>23.283719756630802</v>
      </c>
      <c r="X161" s="39" t="str">
        <f t="shared" si="16"/>
        <v>Normal</v>
      </c>
      <c r="Y161" s="116">
        <v>0.50719729428789651</v>
      </c>
      <c r="Z161" s="91">
        <v>69.399180334809955</v>
      </c>
      <c r="AA161" s="39" t="str">
        <f t="shared" si="17"/>
        <v>Normal</v>
      </c>
    </row>
    <row r="162" spans="1:27" ht="15.75" x14ac:dyDescent="0.25">
      <c r="A162" s="72">
        <v>159</v>
      </c>
      <c r="B162" s="73" t="s">
        <v>434</v>
      </c>
      <c r="C162" s="65">
        <v>4</v>
      </c>
      <c r="D162" s="7" t="s">
        <v>7</v>
      </c>
      <c r="E162" s="1">
        <v>1</v>
      </c>
      <c r="F162" s="6">
        <v>41056</v>
      </c>
      <c r="G162" s="68">
        <v>44463</v>
      </c>
      <c r="H162" s="69">
        <f t="shared" si="18"/>
        <v>9</v>
      </c>
      <c r="I162" s="69">
        <f t="shared" si="19"/>
        <v>111</v>
      </c>
      <c r="J162" s="1">
        <v>29.7</v>
      </c>
      <c r="K162" s="1">
        <v>1.3</v>
      </c>
      <c r="L162" s="65">
        <f t="shared" si="20"/>
        <v>130</v>
      </c>
      <c r="M162" s="1">
        <f>110.4-40</f>
        <v>70.400000000000006</v>
      </c>
      <c r="N162" s="70">
        <f t="shared" si="21"/>
        <v>45.84615384615384</v>
      </c>
      <c r="O162" s="65">
        <v>0</v>
      </c>
      <c r="P162" s="65">
        <v>0</v>
      </c>
      <c r="Q162" s="71">
        <f t="shared" si="22"/>
        <v>17.57396449704142</v>
      </c>
      <c r="S162" s="91">
        <v>-0.63521425692507849</v>
      </c>
      <c r="T162" s="91">
        <v>26.264434305772621</v>
      </c>
      <c r="U162" s="39" t="str">
        <f t="shared" si="23"/>
        <v>Normal</v>
      </c>
      <c r="V162" s="91">
        <v>-1.6073942631063707</v>
      </c>
      <c r="W162" s="91">
        <v>5.3983953883655147</v>
      </c>
      <c r="X162" s="39" t="str">
        <f t="shared" si="16"/>
        <v>Normal</v>
      </c>
      <c r="Y162" s="116">
        <v>0.78135000843554447</v>
      </c>
      <c r="Z162" s="91">
        <v>78.270166745264802</v>
      </c>
      <c r="AA162" s="39" t="str">
        <f t="shared" si="17"/>
        <v>Normal</v>
      </c>
    </row>
    <row r="163" spans="1:27" ht="15.75" x14ac:dyDescent="0.25">
      <c r="A163" s="72">
        <v>160</v>
      </c>
      <c r="B163" s="73" t="s">
        <v>435</v>
      </c>
      <c r="C163" s="65">
        <v>4</v>
      </c>
      <c r="D163" s="7" t="s">
        <v>7</v>
      </c>
      <c r="E163" s="1">
        <v>2</v>
      </c>
      <c r="F163" s="2">
        <v>41054</v>
      </c>
      <c r="G163" s="68">
        <v>44463</v>
      </c>
      <c r="H163" s="69">
        <f t="shared" si="18"/>
        <v>9</v>
      </c>
      <c r="I163" s="69">
        <f t="shared" si="19"/>
        <v>111</v>
      </c>
      <c r="J163" s="1">
        <v>30.1</v>
      </c>
      <c r="K163" s="1">
        <v>1.36</v>
      </c>
      <c r="L163" s="65">
        <f t="shared" si="20"/>
        <v>136</v>
      </c>
      <c r="M163" s="1">
        <f>110.8-40</f>
        <v>70.8</v>
      </c>
      <c r="N163" s="70">
        <f t="shared" si="21"/>
        <v>47.941176470588239</v>
      </c>
      <c r="O163" s="65">
        <v>0</v>
      </c>
      <c r="P163" s="65">
        <v>0</v>
      </c>
      <c r="Q163" s="71">
        <f t="shared" si="22"/>
        <v>16.273788927335637</v>
      </c>
      <c r="S163" s="91">
        <v>0.32147360733456298</v>
      </c>
      <c r="T163" s="91">
        <v>62.607424501381089</v>
      </c>
      <c r="U163" s="39" t="str">
        <f t="shared" si="23"/>
        <v>Normal</v>
      </c>
      <c r="V163" s="91">
        <v>-0.29405257414219832</v>
      </c>
      <c r="W163" s="91">
        <v>38.435886494085423</v>
      </c>
      <c r="X163" s="39" t="str">
        <f t="shared" si="16"/>
        <v>Normal</v>
      </c>
      <c r="Y163" s="116">
        <v>2.9399961823444905E-2</v>
      </c>
      <c r="Z163" s="91">
        <v>51.172719837341788</v>
      </c>
      <c r="AA163" s="39" t="str">
        <f t="shared" si="17"/>
        <v>Normal</v>
      </c>
    </row>
    <row r="164" spans="1:27" ht="15.75" x14ac:dyDescent="0.25">
      <c r="A164" s="72">
        <v>161</v>
      </c>
      <c r="B164" s="73" t="s">
        <v>436</v>
      </c>
      <c r="C164" s="65">
        <v>4</v>
      </c>
      <c r="D164" s="7" t="s">
        <v>7</v>
      </c>
      <c r="E164" s="1">
        <v>1</v>
      </c>
      <c r="F164" s="2">
        <v>41200</v>
      </c>
      <c r="G164" s="68">
        <v>44463</v>
      </c>
      <c r="H164" s="69">
        <f t="shared" si="18"/>
        <v>8</v>
      </c>
      <c r="I164" s="69">
        <f t="shared" si="19"/>
        <v>107</v>
      </c>
      <c r="J164" s="1">
        <v>27.4</v>
      </c>
      <c r="K164" s="1">
        <v>1.38</v>
      </c>
      <c r="L164" s="65">
        <f t="shared" si="20"/>
        <v>138</v>
      </c>
      <c r="M164" s="1">
        <f>113-40</f>
        <v>73</v>
      </c>
      <c r="N164" s="70">
        <f t="shared" si="21"/>
        <v>47.10144927536232</v>
      </c>
      <c r="O164" s="65">
        <v>0</v>
      </c>
      <c r="P164" s="65">
        <v>0</v>
      </c>
      <c r="Q164" s="71">
        <f t="shared" si="22"/>
        <v>14.387733669397187</v>
      </c>
      <c r="S164" s="91">
        <v>0.98189637227990323</v>
      </c>
      <c r="T164" s="91">
        <v>83.692454842204583</v>
      </c>
      <c r="U164" s="39" t="str">
        <f t="shared" si="23"/>
        <v>Normal</v>
      </c>
      <c r="V164" s="91">
        <v>-0.48653676431966986</v>
      </c>
      <c r="W164" s="91">
        <v>31.329332286722533</v>
      </c>
      <c r="X164" s="39" t="str">
        <f t="shared" si="16"/>
        <v>Normal</v>
      </c>
      <c r="Y164" s="116">
        <v>-1.1749012534643377</v>
      </c>
      <c r="Z164" s="91">
        <v>12.001711204317964</v>
      </c>
      <c r="AA164" s="39" t="str">
        <f t="shared" si="17"/>
        <v>Bajo Peso</v>
      </c>
    </row>
    <row r="165" spans="1:27" ht="15.75" x14ac:dyDescent="0.25">
      <c r="A165" s="72">
        <v>162</v>
      </c>
      <c r="B165" s="73" t="s">
        <v>437</v>
      </c>
      <c r="C165" s="65">
        <v>4</v>
      </c>
      <c r="D165" s="7" t="s">
        <v>7</v>
      </c>
      <c r="E165" s="1">
        <v>2</v>
      </c>
      <c r="F165" s="2">
        <v>41246</v>
      </c>
      <c r="G165" s="68">
        <v>44463</v>
      </c>
      <c r="H165" s="69">
        <f t="shared" si="18"/>
        <v>8</v>
      </c>
      <c r="I165" s="69">
        <f t="shared" si="19"/>
        <v>105</v>
      </c>
      <c r="J165" s="1">
        <v>34.5</v>
      </c>
      <c r="K165" s="1">
        <v>1.31</v>
      </c>
      <c r="L165" s="65">
        <f t="shared" si="20"/>
        <v>131</v>
      </c>
      <c r="M165" s="1">
        <f>110.5-40</f>
        <v>70.5</v>
      </c>
      <c r="N165" s="70">
        <f t="shared" si="21"/>
        <v>46.18320610687023</v>
      </c>
      <c r="O165" s="65">
        <v>0</v>
      </c>
      <c r="P165" s="65">
        <v>0</v>
      </c>
      <c r="Q165" s="71">
        <f t="shared" si="22"/>
        <v>20.103723559233142</v>
      </c>
      <c r="S165" s="91">
        <v>1.8062303169626003E-3</v>
      </c>
      <c r="T165" s="91">
        <v>50.072058124976706</v>
      </c>
      <c r="U165" s="39" t="str">
        <f t="shared" si="23"/>
        <v>Normal</v>
      </c>
      <c r="V165" s="91">
        <v>-1.2941475566183465</v>
      </c>
      <c r="W165" s="91">
        <v>9.7807228719142234</v>
      </c>
      <c r="X165" s="39" t="str">
        <f t="shared" si="16"/>
        <v>Normal</v>
      </c>
      <c r="Y165" s="116">
        <v>1.6697789040059967</v>
      </c>
      <c r="Z165" s="91">
        <v>95.25184421335419</v>
      </c>
      <c r="AA165" s="39" t="str">
        <f t="shared" si="17"/>
        <v>Obesidad</v>
      </c>
    </row>
    <row r="166" spans="1:27" ht="15.75" x14ac:dyDescent="0.25">
      <c r="A166" s="72">
        <v>163</v>
      </c>
      <c r="B166" s="73" t="s">
        <v>438</v>
      </c>
      <c r="C166" s="65">
        <v>4</v>
      </c>
      <c r="D166" s="7" t="s">
        <v>7</v>
      </c>
      <c r="E166" s="1">
        <v>1</v>
      </c>
      <c r="F166" s="2">
        <v>41227</v>
      </c>
      <c r="G166" s="68">
        <v>44463</v>
      </c>
      <c r="H166" s="69">
        <f t="shared" si="18"/>
        <v>8</v>
      </c>
      <c r="I166" s="69">
        <f t="shared" si="19"/>
        <v>106</v>
      </c>
      <c r="J166" s="1">
        <v>43.1</v>
      </c>
      <c r="K166" s="1">
        <v>1.32</v>
      </c>
      <c r="L166" s="65">
        <f t="shared" si="20"/>
        <v>132</v>
      </c>
      <c r="M166" s="1">
        <f>110-40</f>
        <v>70</v>
      </c>
      <c r="N166" s="70">
        <f t="shared" si="21"/>
        <v>46.969696969696969</v>
      </c>
      <c r="O166" s="65">
        <v>0</v>
      </c>
      <c r="P166" s="65">
        <v>0</v>
      </c>
      <c r="Q166" s="71">
        <f t="shared" si="22"/>
        <v>24.735996326905415</v>
      </c>
      <c r="S166" s="91">
        <v>5.2360958333487334E-2</v>
      </c>
      <c r="T166" s="91">
        <v>52.087945892170893</v>
      </c>
      <c r="U166" s="39" t="str">
        <f t="shared" si="23"/>
        <v>Normal</v>
      </c>
      <c r="V166" s="91">
        <v>-0.5742048022635956</v>
      </c>
      <c r="W166" s="91">
        <v>28.291461001106178</v>
      </c>
      <c r="X166" s="39" t="str">
        <f t="shared" si="16"/>
        <v>Normal</v>
      </c>
      <c r="Y166" s="116">
        <v>3.150418065876528</v>
      </c>
      <c r="Z166" s="91">
        <v>99.918481510237328</v>
      </c>
      <c r="AA166" s="39" t="str">
        <f t="shared" si="17"/>
        <v>Obesidad</v>
      </c>
    </row>
    <row r="167" spans="1:27" ht="15.75" x14ac:dyDescent="0.25">
      <c r="A167" s="82">
        <v>164</v>
      </c>
      <c r="B167" s="83" t="s">
        <v>440</v>
      </c>
      <c r="C167" s="72">
        <v>4</v>
      </c>
      <c r="D167" s="1" t="s">
        <v>26</v>
      </c>
      <c r="E167" s="1">
        <v>1</v>
      </c>
      <c r="F167" s="2">
        <v>41129</v>
      </c>
      <c r="G167" s="68">
        <v>44463</v>
      </c>
      <c r="H167" s="69">
        <f t="shared" si="18"/>
        <v>9</v>
      </c>
      <c r="I167" s="69">
        <f t="shared" si="19"/>
        <v>109</v>
      </c>
      <c r="J167" s="1">
        <v>55.4</v>
      </c>
      <c r="K167" s="1">
        <v>1.42</v>
      </c>
      <c r="L167" s="65">
        <f t="shared" si="20"/>
        <v>142</v>
      </c>
      <c r="M167" s="1">
        <f>115.5-40</f>
        <v>75.5</v>
      </c>
      <c r="N167" s="70">
        <f t="shared" si="21"/>
        <v>46.83098591549296</v>
      </c>
      <c r="O167" s="65">
        <v>0</v>
      </c>
      <c r="P167" s="65">
        <v>0</v>
      </c>
      <c r="Q167" s="71">
        <f t="shared" si="22"/>
        <v>27.474707399325531</v>
      </c>
      <c r="S167" s="91">
        <v>1.4889783841135837</v>
      </c>
      <c r="T167" s="91">
        <v>93.175346954422025</v>
      </c>
      <c r="U167" s="39" t="str">
        <f t="shared" si="23"/>
        <v>Normal</v>
      </c>
      <c r="V167" s="91">
        <v>-0.94065010319923525</v>
      </c>
      <c r="W167" s="91">
        <v>17.344209847593</v>
      </c>
      <c r="X167" s="39" t="str">
        <f t="shared" si="16"/>
        <v>Normal</v>
      </c>
      <c r="Y167" s="116">
        <v>3.5335000535889467</v>
      </c>
      <c r="Z167" s="91">
        <v>99.979495199663248</v>
      </c>
      <c r="AA167" s="39" t="str">
        <f t="shared" si="17"/>
        <v>Obesidad</v>
      </c>
    </row>
    <row r="168" spans="1:27" ht="15.75" x14ac:dyDescent="0.25">
      <c r="A168" s="82">
        <v>165</v>
      </c>
      <c r="B168" s="83" t="s">
        <v>441</v>
      </c>
      <c r="C168" s="72">
        <v>4</v>
      </c>
      <c r="D168" s="1" t="s">
        <v>26</v>
      </c>
      <c r="E168" s="1">
        <v>2</v>
      </c>
      <c r="F168" s="2">
        <v>41055</v>
      </c>
      <c r="G168" s="68">
        <v>44463</v>
      </c>
      <c r="H168" s="69">
        <f t="shared" si="18"/>
        <v>9</v>
      </c>
      <c r="I168" s="69">
        <f t="shared" si="19"/>
        <v>111</v>
      </c>
      <c r="J168" s="1">
        <v>51.3</v>
      </c>
      <c r="K168" s="1">
        <v>1.39</v>
      </c>
      <c r="L168" s="65">
        <f t="shared" si="20"/>
        <v>139</v>
      </c>
      <c r="M168" s="1">
        <f>113.5-40</f>
        <v>73.5</v>
      </c>
      <c r="N168" s="70">
        <f t="shared" si="21"/>
        <v>47.122302158273385</v>
      </c>
      <c r="O168" s="65">
        <v>0</v>
      </c>
      <c r="P168" s="65">
        <v>0</v>
      </c>
      <c r="Q168" s="71">
        <f t="shared" si="22"/>
        <v>26.551420733916466</v>
      </c>
      <c r="S168" s="91">
        <v>0.80654594512939037</v>
      </c>
      <c r="T168" s="91">
        <v>79.003593634851143</v>
      </c>
      <c r="U168" s="39" t="str">
        <f t="shared" si="23"/>
        <v>Normal</v>
      </c>
      <c r="V168" s="91">
        <v>-0.85073117422601141</v>
      </c>
      <c r="W168" s="91">
        <v>19.745935090516863</v>
      </c>
      <c r="X168" s="39" t="str">
        <f t="shared" si="16"/>
        <v>Normal</v>
      </c>
      <c r="Y168" s="116">
        <v>2.933301398304466</v>
      </c>
      <c r="Z168" s="91">
        <v>99.832310928156275</v>
      </c>
      <c r="AA168" s="39" t="str">
        <f t="shared" si="17"/>
        <v>Obesidad</v>
      </c>
    </row>
    <row r="169" spans="1:27" ht="15.75" x14ac:dyDescent="0.25">
      <c r="A169" s="82">
        <v>166</v>
      </c>
      <c r="B169" s="83" t="s">
        <v>442</v>
      </c>
      <c r="C169" s="72">
        <v>4</v>
      </c>
      <c r="D169" s="1" t="s">
        <v>26</v>
      </c>
      <c r="E169" s="1">
        <v>2</v>
      </c>
      <c r="F169" s="2">
        <v>41055</v>
      </c>
      <c r="G169" s="68">
        <v>44463</v>
      </c>
      <c r="H169" s="69">
        <f t="shared" si="18"/>
        <v>9</v>
      </c>
      <c r="I169" s="69">
        <f t="shared" si="19"/>
        <v>111</v>
      </c>
      <c r="J169" s="1">
        <v>49.2</v>
      </c>
      <c r="K169" s="1">
        <v>1.39</v>
      </c>
      <c r="L169" s="65">
        <f t="shared" si="20"/>
        <v>139</v>
      </c>
      <c r="M169" s="1">
        <f>113.3-40</f>
        <v>73.3</v>
      </c>
      <c r="N169" s="70">
        <f t="shared" si="21"/>
        <v>47.266187050359711</v>
      </c>
      <c r="O169" s="65">
        <v>0</v>
      </c>
      <c r="P169" s="65">
        <v>0</v>
      </c>
      <c r="Q169" s="71">
        <f t="shared" si="22"/>
        <v>25.464520469954977</v>
      </c>
      <c r="S169" s="91">
        <v>0.80654594512939037</v>
      </c>
      <c r="T169" s="91">
        <v>79.003593634851143</v>
      </c>
      <c r="U169" s="39" t="str">
        <f t="shared" si="23"/>
        <v>Normal</v>
      </c>
      <c r="V169" s="91">
        <v>-0.75215421377901004</v>
      </c>
      <c r="W169" s="91">
        <v>22.597916224122923</v>
      </c>
      <c r="X169" s="39" t="str">
        <f t="shared" si="16"/>
        <v>Normal</v>
      </c>
      <c r="Y169" s="116">
        <v>2.7588843805148686</v>
      </c>
      <c r="Z169" s="91">
        <v>99.710004743902431</v>
      </c>
      <c r="AA169" s="39" t="str">
        <f t="shared" si="17"/>
        <v>Obesidad</v>
      </c>
    </row>
    <row r="170" spans="1:27" ht="15.75" x14ac:dyDescent="0.25">
      <c r="A170" s="72">
        <v>167</v>
      </c>
      <c r="B170" s="73" t="s">
        <v>443</v>
      </c>
      <c r="C170" s="72">
        <v>4</v>
      </c>
      <c r="D170" s="1" t="s">
        <v>26</v>
      </c>
      <c r="E170" s="1">
        <v>1</v>
      </c>
      <c r="F170" s="2">
        <v>41058</v>
      </c>
      <c r="G170" s="68">
        <v>44463</v>
      </c>
      <c r="H170" s="69">
        <f t="shared" si="18"/>
        <v>9</v>
      </c>
      <c r="I170" s="69">
        <f t="shared" si="19"/>
        <v>111</v>
      </c>
      <c r="J170" s="1">
        <v>32.6</v>
      </c>
      <c r="K170" s="1">
        <v>1.35</v>
      </c>
      <c r="L170" s="65">
        <f t="shared" si="20"/>
        <v>135</v>
      </c>
      <c r="M170" s="1">
        <f>111.3-40</f>
        <v>71.3</v>
      </c>
      <c r="N170" s="70">
        <f t="shared" si="21"/>
        <v>47.185185185185183</v>
      </c>
      <c r="O170" s="65">
        <v>0</v>
      </c>
      <c r="P170" s="65">
        <v>0</v>
      </c>
      <c r="Q170" s="71">
        <f t="shared" si="22"/>
        <v>17.887517146776403</v>
      </c>
      <c r="S170" s="91">
        <v>0.18399422505206503</v>
      </c>
      <c r="T170" s="91">
        <v>57.299100733853315</v>
      </c>
      <c r="U170" s="39" t="str">
        <f t="shared" si="23"/>
        <v>Normal</v>
      </c>
      <c r="V170" s="91">
        <v>-0.70459770487300066</v>
      </c>
      <c r="W170" s="91">
        <v>24.053031360694234</v>
      </c>
      <c r="X170" s="39" t="str">
        <f t="shared" si="16"/>
        <v>Normal</v>
      </c>
      <c r="Y170" s="116">
        <v>0.93003181308101568</v>
      </c>
      <c r="Z170" s="91">
        <v>82.382269342071581</v>
      </c>
      <c r="AA170" s="39" t="str">
        <f t="shared" si="17"/>
        <v>Normal</v>
      </c>
    </row>
    <row r="171" spans="1:27" ht="15.75" x14ac:dyDescent="0.25">
      <c r="A171" s="72">
        <v>168</v>
      </c>
      <c r="B171" s="73" t="s">
        <v>444</v>
      </c>
      <c r="C171" s="72">
        <v>4</v>
      </c>
      <c r="D171" s="1" t="s">
        <v>26</v>
      </c>
      <c r="E171" s="1">
        <v>1</v>
      </c>
      <c r="F171" s="2">
        <v>40961</v>
      </c>
      <c r="G171" s="68">
        <v>44463</v>
      </c>
      <c r="H171" s="69">
        <f t="shared" si="18"/>
        <v>9</v>
      </c>
      <c r="I171" s="69">
        <f t="shared" si="19"/>
        <v>115</v>
      </c>
      <c r="J171" s="1">
        <v>23</v>
      </c>
      <c r="K171" s="1">
        <v>1.27</v>
      </c>
      <c r="L171" s="65">
        <f t="shared" si="20"/>
        <v>127</v>
      </c>
      <c r="M171" s="1">
        <f>107.4-40</f>
        <v>67.400000000000006</v>
      </c>
      <c r="N171" s="70">
        <f t="shared" si="21"/>
        <v>46.929133858267711</v>
      </c>
      <c r="O171" s="65">
        <v>0</v>
      </c>
      <c r="P171" s="65">
        <v>0</v>
      </c>
      <c r="Q171" s="71">
        <f t="shared" si="22"/>
        <v>14.260028520057039</v>
      </c>
      <c r="S171" s="91">
        <v>-1.3845685501798113</v>
      </c>
      <c r="T171" s="91">
        <v>8.3092216801809951</v>
      </c>
      <c r="U171" s="39" t="str">
        <f t="shared" si="23"/>
        <v>Normal</v>
      </c>
      <c r="V171" s="91">
        <v>-0.87504519238796541</v>
      </c>
      <c r="W171" s="91">
        <v>19.077465828056596</v>
      </c>
      <c r="X171" s="39" t="str">
        <f t="shared" si="16"/>
        <v>Normal</v>
      </c>
      <c r="Y171" s="116">
        <v>-1.4262519194672176</v>
      </c>
      <c r="Z171" s="91">
        <v>7.6897818879922335</v>
      </c>
      <c r="AA171" s="39" t="str">
        <f t="shared" si="17"/>
        <v>Bajo Peso</v>
      </c>
    </row>
    <row r="172" spans="1:27" ht="15.75" x14ac:dyDescent="0.25">
      <c r="A172" s="72">
        <v>169</v>
      </c>
      <c r="B172" s="73" t="s">
        <v>445</v>
      </c>
      <c r="C172" s="72">
        <v>4</v>
      </c>
      <c r="D172" s="1" t="s">
        <v>26</v>
      </c>
      <c r="E172" s="1">
        <v>2</v>
      </c>
      <c r="F172" s="2">
        <v>41059</v>
      </c>
      <c r="G172" s="68">
        <v>44463</v>
      </c>
      <c r="H172" s="69">
        <f t="shared" si="18"/>
        <v>9</v>
      </c>
      <c r="I172" s="69">
        <f t="shared" si="19"/>
        <v>111</v>
      </c>
      <c r="J172" s="1">
        <v>54.2</v>
      </c>
      <c r="K172" s="1">
        <v>1.53</v>
      </c>
      <c r="L172" s="65">
        <f t="shared" si="20"/>
        <v>153</v>
      </c>
      <c r="M172" s="1">
        <f>119.6-40</f>
        <v>79.599999999999994</v>
      </c>
      <c r="N172" s="70">
        <f t="shared" si="21"/>
        <v>47.973856209150327</v>
      </c>
      <c r="O172" s="65">
        <v>0</v>
      </c>
      <c r="P172" s="65">
        <v>0</v>
      </c>
      <c r="Q172" s="71">
        <f t="shared" si="22"/>
        <v>23.153487974710583</v>
      </c>
      <c r="S172" s="91">
        <v>3.070216854838598</v>
      </c>
      <c r="T172" s="91">
        <v>99.893048300680761</v>
      </c>
      <c r="U172" s="39" t="str">
        <f t="shared" si="23"/>
        <v>Alto</v>
      </c>
      <c r="V172" s="91">
        <v>-0.27205284095244803</v>
      </c>
      <c r="W172" s="91">
        <v>39.279069489077187</v>
      </c>
      <c r="X172" s="39" t="str">
        <f t="shared" si="16"/>
        <v>Normal</v>
      </c>
      <c r="Y172" s="116">
        <v>2.3193777925783348</v>
      </c>
      <c r="Z172" s="91">
        <v>98.981271965134994</v>
      </c>
      <c r="AA172" s="39" t="str">
        <f t="shared" si="17"/>
        <v>Obesidad</v>
      </c>
    </row>
    <row r="173" spans="1:27" ht="15.75" x14ac:dyDescent="0.25">
      <c r="A173" s="72">
        <v>170</v>
      </c>
      <c r="B173" s="73" t="s">
        <v>446</v>
      </c>
      <c r="C173" s="72">
        <v>4</v>
      </c>
      <c r="D173" s="1" t="s">
        <v>26</v>
      </c>
      <c r="E173" s="1">
        <v>2</v>
      </c>
      <c r="F173" s="2">
        <v>41078</v>
      </c>
      <c r="G173" s="68">
        <v>44463</v>
      </c>
      <c r="H173" s="69">
        <f t="shared" si="18"/>
        <v>9</v>
      </c>
      <c r="I173" s="69">
        <f t="shared" si="19"/>
        <v>111</v>
      </c>
      <c r="J173" s="1">
        <v>25.7</v>
      </c>
      <c r="K173" s="1">
        <v>1.3</v>
      </c>
      <c r="L173" s="65">
        <f t="shared" si="20"/>
        <v>130</v>
      </c>
      <c r="M173" s="1">
        <f>109.4-40</f>
        <v>69.400000000000006</v>
      </c>
      <c r="N173" s="70">
        <f t="shared" si="21"/>
        <v>46.615384615384606</v>
      </c>
      <c r="O173" s="65">
        <v>0</v>
      </c>
      <c r="P173" s="65">
        <v>0</v>
      </c>
      <c r="Q173" s="71">
        <f t="shared" si="22"/>
        <v>15.207100591715975</v>
      </c>
      <c r="S173" s="91">
        <v>-0.64867106825509913</v>
      </c>
      <c r="T173" s="91">
        <v>25.827550433056434</v>
      </c>
      <c r="U173" s="39" t="str">
        <f t="shared" si="23"/>
        <v>Normal</v>
      </c>
      <c r="V173" s="91">
        <v>-1.2006671420711459</v>
      </c>
      <c r="W173" s="91">
        <v>11.494017238739556</v>
      </c>
      <c r="X173" s="39" t="str">
        <f t="shared" si="16"/>
        <v>Normal</v>
      </c>
      <c r="Y173" s="116">
        <v>-0.5645049728110404</v>
      </c>
      <c r="Z173" s="91">
        <v>28.620525840800838</v>
      </c>
      <c r="AA173" s="39" t="str">
        <f t="shared" si="17"/>
        <v>Normal</v>
      </c>
    </row>
    <row r="174" spans="1:27" ht="15.75" x14ac:dyDescent="0.25">
      <c r="A174" s="72">
        <v>171</v>
      </c>
      <c r="B174" s="73" t="s">
        <v>447</v>
      </c>
      <c r="C174" s="72">
        <v>4</v>
      </c>
      <c r="D174" s="1" t="s">
        <v>26</v>
      </c>
      <c r="E174" s="1">
        <v>2</v>
      </c>
      <c r="F174" s="2">
        <v>40991</v>
      </c>
      <c r="G174" s="68">
        <v>44463</v>
      </c>
      <c r="H174" s="69">
        <f t="shared" si="18"/>
        <v>9</v>
      </c>
      <c r="I174" s="69">
        <f t="shared" si="19"/>
        <v>114</v>
      </c>
      <c r="J174" s="1">
        <v>26.5</v>
      </c>
      <c r="K174" s="1">
        <v>1.34</v>
      </c>
      <c r="L174" s="65">
        <f t="shared" si="20"/>
        <v>134</v>
      </c>
      <c r="M174" s="1">
        <f>110.5-40</f>
        <v>70.5</v>
      </c>
      <c r="N174" s="70">
        <f t="shared" si="21"/>
        <v>47.388059701492537</v>
      </c>
      <c r="O174" s="65">
        <v>0</v>
      </c>
      <c r="P174" s="65">
        <v>0</v>
      </c>
      <c r="Q174" s="71">
        <f t="shared" si="22"/>
        <v>14.758298061929157</v>
      </c>
      <c r="S174" s="91">
        <v>-0.24624764097436619</v>
      </c>
      <c r="T174" s="91">
        <v>40.274526926615131</v>
      </c>
      <c r="U174" s="39" t="str">
        <f t="shared" si="23"/>
        <v>Normal</v>
      </c>
      <c r="V174" s="91">
        <v>-0.66891445685091733</v>
      </c>
      <c r="W174" s="91">
        <v>25.177502380122586</v>
      </c>
      <c r="X174" s="39" t="str">
        <f t="shared" si="16"/>
        <v>Normal</v>
      </c>
      <c r="Y174" s="116">
        <v>-0.91217628851704502</v>
      </c>
      <c r="Z174" s="91">
        <v>18.083796195493306</v>
      </c>
      <c r="AA174" s="39" t="str">
        <f t="shared" si="17"/>
        <v>Normal</v>
      </c>
    </row>
    <row r="175" spans="1:27" ht="15.75" x14ac:dyDescent="0.25">
      <c r="A175" s="72">
        <v>172</v>
      </c>
      <c r="B175" s="73" t="s">
        <v>448</v>
      </c>
      <c r="C175" s="72">
        <v>4</v>
      </c>
      <c r="D175" s="1" t="s">
        <v>26</v>
      </c>
      <c r="E175" s="1">
        <v>1</v>
      </c>
      <c r="F175" s="2">
        <v>41233</v>
      </c>
      <c r="G175" s="68">
        <v>44463</v>
      </c>
      <c r="H175" s="69">
        <f t="shared" si="18"/>
        <v>8</v>
      </c>
      <c r="I175" s="69">
        <f t="shared" si="19"/>
        <v>106</v>
      </c>
      <c r="J175" s="1">
        <v>23.5</v>
      </c>
      <c r="K175" s="1">
        <v>1.18</v>
      </c>
      <c r="L175" s="65">
        <f t="shared" si="20"/>
        <v>118</v>
      </c>
      <c r="M175" s="1">
        <f>104.8-40</f>
        <v>64.8</v>
      </c>
      <c r="N175" s="70">
        <f t="shared" si="21"/>
        <v>45.084745762711862</v>
      </c>
      <c r="O175" s="65">
        <v>0</v>
      </c>
      <c r="P175" s="65">
        <v>0</v>
      </c>
      <c r="Q175" s="71">
        <f t="shared" si="22"/>
        <v>16.877334099396727</v>
      </c>
      <c r="S175" s="91">
        <v>-2.3001853082545969</v>
      </c>
      <c r="T175" s="91">
        <v>1.0718861906260457</v>
      </c>
      <c r="U175" s="39" t="str">
        <f t="shared" si="23"/>
        <v>Desnutricion</v>
      </c>
      <c r="V175" s="91">
        <v>-1.8586216750893803</v>
      </c>
      <c r="W175" s="91">
        <v>3.1540391286957208</v>
      </c>
      <c r="X175" s="39" t="str">
        <f t="shared" si="16"/>
        <v>Piernas cortas</v>
      </c>
      <c r="Y175" s="116">
        <v>0.51840513509191233</v>
      </c>
      <c r="Z175" s="91">
        <v>69.7912183675638</v>
      </c>
      <c r="AA175" s="39" t="str">
        <f t="shared" si="17"/>
        <v>Normal</v>
      </c>
    </row>
    <row r="176" spans="1:27" ht="15.75" x14ac:dyDescent="0.25">
      <c r="A176" s="72">
        <v>173</v>
      </c>
      <c r="B176" s="73" t="s">
        <v>451</v>
      </c>
      <c r="C176" s="72">
        <v>4</v>
      </c>
      <c r="D176" s="1" t="s">
        <v>26</v>
      </c>
      <c r="E176" s="1">
        <v>2</v>
      </c>
      <c r="F176" s="2">
        <v>41095</v>
      </c>
      <c r="G176" s="68">
        <v>44463</v>
      </c>
      <c r="H176" s="69">
        <f t="shared" si="18"/>
        <v>9</v>
      </c>
      <c r="I176" s="69">
        <f t="shared" si="19"/>
        <v>110</v>
      </c>
      <c r="J176" s="1">
        <v>31.4</v>
      </c>
      <c r="K176" s="1">
        <v>1.32</v>
      </c>
      <c r="L176" s="65">
        <f t="shared" si="20"/>
        <v>132</v>
      </c>
      <c r="M176" s="1">
        <f>109.2-40</f>
        <v>69.2</v>
      </c>
      <c r="N176" s="70">
        <f t="shared" si="21"/>
        <v>47.575757575757571</v>
      </c>
      <c r="O176" s="65">
        <v>0</v>
      </c>
      <c r="P176" s="65">
        <v>0</v>
      </c>
      <c r="Q176" s="71">
        <f t="shared" si="22"/>
        <v>18.021120293847563</v>
      </c>
      <c r="S176" s="91">
        <v>-0.24425712298690319</v>
      </c>
      <c r="T176" s="91">
        <v>40.351584437082913</v>
      </c>
      <c r="U176" s="39" t="str">
        <f t="shared" si="23"/>
        <v>Normal</v>
      </c>
      <c r="V176" s="91">
        <v>-0.54117259669324647</v>
      </c>
      <c r="W176" s="91">
        <v>29.419431184513869</v>
      </c>
      <c r="X176" s="39" t="str">
        <f t="shared" si="16"/>
        <v>Normal</v>
      </c>
      <c r="Y176" s="116">
        <v>0.83917179487037763</v>
      </c>
      <c r="Z176" s="91">
        <v>79.931354380150083</v>
      </c>
      <c r="AA176" s="39" t="str">
        <f t="shared" si="17"/>
        <v>Normal</v>
      </c>
    </row>
    <row r="177" spans="1:27" ht="15.75" x14ac:dyDescent="0.25">
      <c r="A177" s="72">
        <v>174</v>
      </c>
      <c r="B177" s="73" t="s">
        <v>449</v>
      </c>
      <c r="C177" s="72">
        <v>4</v>
      </c>
      <c r="D177" s="1" t="s">
        <v>26</v>
      </c>
      <c r="E177" s="1">
        <v>2</v>
      </c>
      <c r="F177" s="2">
        <v>41263</v>
      </c>
      <c r="G177" s="68">
        <v>44463</v>
      </c>
      <c r="H177" s="69">
        <f t="shared" si="18"/>
        <v>8</v>
      </c>
      <c r="I177" s="69">
        <f t="shared" si="19"/>
        <v>105</v>
      </c>
      <c r="J177" s="1">
        <v>30.9</v>
      </c>
      <c r="K177" s="1">
        <v>1.24</v>
      </c>
      <c r="L177" s="65">
        <f t="shared" si="20"/>
        <v>124</v>
      </c>
      <c r="M177" s="1">
        <f>106.8-40</f>
        <v>66.8</v>
      </c>
      <c r="N177" s="70">
        <f t="shared" si="21"/>
        <v>46.12903225806452</v>
      </c>
      <c r="O177" s="65">
        <v>0</v>
      </c>
      <c r="P177" s="65">
        <v>0</v>
      </c>
      <c r="Q177" s="71">
        <f t="shared" si="22"/>
        <v>20.096253902185222</v>
      </c>
      <c r="S177" s="91">
        <v>-1.1581581934217091</v>
      </c>
      <c r="T177" s="91">
        <v>12.339974277442048</v>
      </c>
      <c r="U177" s="39" t="str">
        <f t="shared" si="23"/>
        <v>Normal</v>
      </c>
      <c r="V177" s="91">
        <v>-1.3321560640545593</v>
      </c>
      <c r="W177" s="91">
        <v>9.1404455324120235</v>
      </c>
      <c r="X177" s="39" t="str">
        <f t="shared" si="16"/>
        <v>Normal</v>
      </c>
      <c r="Y177" s="116">
        <v>1.6674992000006146</v>
      </c>
      <c r="Z177" s="91">
        <v>95.229240832089317</v>
      </c>
      <c r="AA177" s="39" t="str">
        <f t="shared" si="17"/>
        <v>Obesidad</v>
      </c>
    </row>
    <row r="178" spans="1:27" ht="15.75" x14ac:dyDescent="0.25">
      <c r="A178" s="72">
        <v>175</v>
      </c>
      <c r="B178" s="73" t="s">
        <v>450</v>
      </c>
      <c r="C178" s="72">
        <v>4</v>
      </c>
      <c r="D178" s="1" t="s">
        <v>26</v>
      </c>
      <c r="E178" s="1">
        <v>2</v>
      </c>
      <c r="F178" s="2">
        <v>40936</v>
      </c>
      <c r="G178" s="68">
        <v>44463</v>
      </c>
      <c r="H178" s="69">
        <f t="shared" si="18"/>
        <v>9</v>
      </c>
      <c r="I178" s="69">
        <f t="shared" si="19"/>
        <v>115</v>
      </c>
      <c r="J178" s="1">
        <v>32.6</v>
      </c>
      <c r="K178" s="1">
        <v>1.29</v>
      </c>
      <c r="L178" s="65">
        <f t="shared" si="20"/>
        <v>129</v>
      </c>
      <c r="M178" s="1">
        <f>110.5-40</f>
        <v>70.5</v>
      </c>
      <c r="N178" s="70">
        <f t="shared" si="21"/>
        <v>45.348837209302324</v>
      </c>
      <c r="O178" s="65">
        <v>0</v>
      </c>
      <c r="P178" s="65">
        <v>0</v>
      </c>
      <c r="Q178" s="71">
        <f t="shared" si="22"/>
        <v>19.590168860044468</v>
      </c>
      <c r="S178" s="91">
        <v>-1.1228542871733644</v>
      </c>
      <c r="T178" s="91">
        <v>13.074969238311294</v>
      </c>
      <c r="U178" s="39" t="str">
        <f t="shared" si="23"/>
        <v>Normal</v>
      </c>
      <c r="V178" s="91">
        <v>-2.0935048369937537</v>
      </c>
      <c r="W178" s="91">
        <v>1.815205636687417</v>
      </c>
      <c r="X178" s="39" t="str">
        <f t="shared" si="16"/>
        <v>Piernas cortas</v>
      </c>
      <c r="Y178" s="116">
        <v>1.2958678758564659</v>
      </c>
      <c r="Z178" s="91">
        <v>90.248949581497811</v>
      </c>
      <c r="AA178" s="39" t="str">
        <f t="shared" si="17"/>
        <v>Obesidad</v>
      </c>
    </row>
    <row r="179" spans="1:27" ht="15.75" x14ac:dyDescent="0.25">
      <c r="A179" s="72">
        <v>176</v>
      </c>
      <c r="B179" s="73" t="s">
        <v>452</v>
      </c>
      <c r="C179" s="72">
        <v>4</v>
      </c>
      <c r="D179" s="1" t="s">
        <v>26</v>
      </c>
      <c r="E179" s="1">
        <v>2</v>
      </c>
      <c r="F179" s="2">
        <v>41098</v>
      </c>
      <c r="G179" s="68">
        <v>44463</v>
      </c>
      <c r="H179" s="69">
        <f t="shared" si="18"/>
        <v>9</v>
      </c>
      <c r="I179" s="69">
        <f t="shared" si="19"/>
        <v>110</v>
      </c>
      <c r="J179" s="1">
        <v>33.4</v>
      </c>
      <c r="K179" s="1">
        <v>1.35</v>
      </c>
      <c r="L179" s="65">
        <f t="shared" si="20"/>
        <v>135</v>
      </c>
      <c r="M179" s="1">
        <f>111-40</f>
        <v>71</v>
      </c>
      <c r="N179" s="70">
        <f t="shared" si="21"/>
        <v>47.407407407407412</v>
      </c>
      <c r="O179" s="65">
        <v>0</v>
      </c>
      <c r="P179" s="65">
        <v>0</v>
      </c>
      <c r="Q179" s="71">
        <f t="shared" si="22"/>
        <v>18.326474622770917</v>
      </c>
      <c r="S179" s="91">
        <v>0.24276359279184498</v>
      </c>
      <c r="T179" s="91">
        <v>59.590572964893028</v>
      </c>
      <c r="U179" s="39" t="str">
        <f t="shared" si="23"/>
        <v>Normal</v>
      </c>
      <c r="V179" s="91">
        <v>-0.65572139579603672</v>
      </c>
      <c r="W179" s="91">
        <v>25.600169989927281</v>
      </c>
      <c r="X179" s="39" t="str">
        <f t="shared" si="16"/>
        <v>Normal</v>
      </c>
      <c r="Y179" s="116">
        <v>0.95811891778461122</v>
      </c>
      <c r="Z179" s="91">
        <v>83.099860145137455</v>
      </c>
      <c r="AA179" s="39" t="str">
        <f t="shared" si="17"/>
        <v>Normal</v>
      </c>
    </row>
    <row r="180" spans="1:27" ht="15.75" x14ac:dyDescent="0.25">
      <c r="A180" s="72">
        <v>177</v>
      </c>
      <c r="B180" s="73" t="s">
        <v>453</v>
      </c>
      <c r="C180" s="72">
        <v>4</v>
      </c>
      <c r="D180" s="1" t="s">
        <v>26</v>
      </c>
      <c r="E180" s="1">
        <v>1</v>
      </c>
      <c r="F180" s="2">
        <v>41114</v>
      </c>
      <c r="G180" s="68">
        <v>44463</v>
      </c>
      <c r="H180" s="69">
        <f t="shared" si="18"/>
        <v>9</v>
      </c>
      <c r="I180" s="69">
        <f t="shared" si="19"/>
        <v>110</v>
      </c>
      <c r="J180" s="1">
        <v>34.200000000000003</v>
      </c>
      <c r="K180" s="1">
        <v>1.24</v>
      </c>
      <c r="L180" s="65">
        <f t="shared" si="20"/>
        <v>124</v>
      </c>
      <c r="M180" s="1">
        <f>105.4-40</f>
        <v>65.400000000000006</v>
      </c>
      <c r="N180" s="70">
        <f t="shared" si="21"/>
        <v>47.258064516129025</v>
      </c>
      <c r="O180" s="65">
        <v>0</v>
      </c>
      <c r="P180" s="65">
        <v>0</v>
      </c>
      <c r="Q180" s="71">
        <f t="shared" si="22"/>
        <v>22.242455775234131</v>
      </c>
      <c r="S180" s="91">
        <v>-1.5545196837789637</v>
      </c>
      <c r="T180" s="91">
        <v>6.0030252580267165</v>
      </c>
      <c r="U180" s="39" t="str">
        <f t="shared" si="23"/>
        <v>Normal</v>
      </c>
      <c r="V180" s="91">
        <v>-0.65626867073886885</v>
      </c>
      <c r="W180" s="91">
        <v>25.582563581715501</v>
      </c>
      <c r="X180" s="39" t="str">
        <f t="shared" si="16"/>
        <v>Normal</v>
      </c>
      <c r="Y180" s="116">
        <v>2.4693138167237856</v>
      </c>
      <c r="Z180" s="91">
        <v>99.323137785063338</v>
      </c>
      <c r="AA180" s="39" t="str">
        <f t="shared" si="17"/>
        <v>Obesidad</v>
      </c>
    </row>
    <row r="181" spans="1:27" ht="15.75" x14ac:dyDescent="0.25">
      <c r="A181" s="72">
        <v>178</v>
      </c>
      <c r="B181" s="73" t="s">
        <v>454</v>
      </c>
      <c r="C181" s="72">
        <v>4</v>
      </c>
      <c r="D181" s="1" t="s">
        <v>26</v>
      </c>
      <c r="E181" s="1">
        <v>2</v>
      </c>
      <c r="F181" s="2">
        <v>41074</v>
      </c>
      <c r="G181" s="68">
        <v>44463</v>
      </c>
      <c r="H181" s="69">
        <f t="shared" si="18"/>
        <v>9</v>
      </c>
      <c r="I181" s="69">
        <f t="shared" si="19"/>
        <v>111</v>
      </c>
      <c r="J181" s="1">
        <v>228.3</v>
      </c>
      <c r="K181" s="1">
        <v>1.31</v>
      </c>
      <c r="L181" s="65">
        <f t="shared" si="20"/>
        <v>131</v>
      </c>
      <c r="M181" s="1">
        <f>107.5-40</f>
        <v>67.5</v>
      </c>
      <c r="N181" s="70">
        <f t="shared" si="21"/>
        <v>48.473282442748086</v>
      </c>
      <c r="O181" s="65">
        <v>0</v>
      </c>
      <c r="P181" s="65">
        <v>0</v>
      </c>
      <c r="Q181" s="71">
        <f t="shared" si="22"/>
        <v>133.03420546588194</v>
      </c>
      <c r="S181" s="91">
        <v>-0.48698028899015505</v>
      </c>
      <c r="T181" s="91">
        <v>31.31361497341959</v>
      </c>
      <c r="U181" s="39" t="str">
        <f t="shared" si="23"/>
        <v>Normal</v>
      </c>
      <c r="V181" s="91">
        <v>6.2131920717397086E-2</v>
      </c>
      <c r="W181" s="91">
        <v>52.477111148006038</v>
      </c>
      <c r="X181" s="39" t="str">
        <f t="shared" si="16"/>
        <v>Normal</v>
      </c>
      <c r="Y181" s="116">
        <v>5.4210924160355036</v>
      </c>
      <c r="Z181" s="91">
        <v>99.999997038203745</v>
      </c>
      <c r="AA181" s="39" t="str">
        <f t="shared" si="17"/>
        <v>Obesidad</v>
      </c>
    </row>
    <row r="182" spans="1:27" ht="15.75" x14ac:dyDescent="0.25">
      <c r="A182" s="72">
        <v>179</v>
      </c>
      <c r="B182" s="73" t="s">
        <v>455</v>
      </c>
      <c r="C182" s="72">
        <v>4</v>
      </c>
      <c r="D182" s="1" t="s">
        <v>26</v>
      </c>
      <c r="E182" s="1">
        <v>1</v>
      </c>
      <c r="F182" s="2">
        <v>40919</v>
      </c>
      <c r="G182" s="68">
        <v>44463</v>
      </c>
      <c r="H182" s="69">
        <f t="shared" si="18"/>
        <v>9</v>
      </c>
      <c r="I182" s="69">
        <f t="shared" si="19"/>
        <v>116</v>
      </c>
      <c r="J182" s="1">
        <v>29.4</v>
      </c>
      <c r="K182" s="1">
        <v>1.35</v>
      </c>
      <c r="L182" s="65">
        <f t="shared" si="20"/>
        <v>135</v>
      </c>
      <c r="M182" s="1">
        <f>113-40</f>
        <v>73</v>
      </c>
      <c r="N182" s="70">
        <f t="shared" si="21"/>
        <v>45.925925925925924</v>
      </c>
      <c r="O182" s="65">
        <v>0</v>
      </c>
      <c r="P182" s="65">
        <v>0</v>
      </c>
      <c r="Q182" s="71">
        <f t="shared" si="22"/>
        <v>16.13168724279835</v>
      </c>
      <c r="S182" s="91">
        <v>-0.16790254899984222</v>
      </c>
      <c r="T182" s="91">
        <v>43.332997239360829</v>
      </c>
      <c r="U182" s="39" t="str">
        <f t="shared" si="23"/>
        <v>Normal</v>
      </c>
      <c r="V182" s="91">
        <v>-1.5528065392182044</v>
      </c>
      <c r="W182" s="91">
        <v>6.0234679999200322</v>
      </c>
      <c r="X182" s="39" t="str">
        <f t="shared" si="16"/>
        <v>Normal</v>
      </c>
      <c r="Y182" s="116">
        <v>-0.1010234592097729</v>
      </c>
      <c r="Z182" s="91">
        <v>45.976591884239262</v>
      </c>
      <c r="AA182" s="39" t="str">
        <f t="shared" si="17"/>
        <v>Normal</v>
      </c>
    </row>
    <row r="183" spans="1:27" ht="15.75" x14ac:dyDescent="0.25">
      <c r="A183" s="72">
        <v>180</v>
      </c>
      <c r="B183" s="73" t="s">
        <v>456</v>
      </c>
      <c r="C183" s="72">
        <v>4</v>
      </c>
      <c r="D183" s="1" t="s">
        <v>26</v>
      </c>
      <c r="E183" s="1">
        <v>1</v>
      </c>
      <c r="F183" s="2">
        <v>41033</v>
      </c>
      <c r="G183" s="68">
        <v>44463</v>
      </c>
      <c r="H183" s="69">
        <f t="shared" si="18"/>
        <v>9</v>
      </c>
      <c r="I183" s="69">
        <f t="shared" si="19"/>
        <v>112</v>
      </c>
      <c r="J183" s="1">
        <v>50.3</v>
      </c>
      <c r="K183" s="1">
        <v>1.37</v>
      </c>
      <c r="L183" s="65">
        <f t="shared" si="20"/>
        <v>137</v>
      </c>
      <c r="M183" s="1">
        <f>116.7-40</f>
        <v>76.7</v>
      </c>
      <c r="N183" s="70">
        <f t="shared" si="21"/>
        <v>44.014598540145982</v>
      </c>
      <c r="O183" s="65">
        <v>0</v>
      </c>
      <c r="P183" s="65">
        <v>0</v>
      </c>
      <c r="Q183" s="71">
        <f t="shared" si="22"/>
        <v>26.79950983003889</v>
      </c>
      <c r="S183" s="91">
        <v>0.43814081293934576</v>
      </c>
      <c r="T183" s="91">
        <v>66.935789478048932</v>
      </c>
      <c r="U183" s="39" t="str">
        <f t="shared" si="23"/>
        <v>Normal</v>
      </c>
      <c r="V183" s="91">
        <v>-2.8901354856413737</v>
      </c>
      <c r="W183" s="91">
        <v>0.19253791231088141</v>
      </c>
      <c r="X183" s="39" t="str">
        <f t="shared" si="16"/>
        <v>Piernas cortas</v>
      </c>
      <c r="Y183" s="116">
        <v>3.3374094672336958</v>
      </c>
      <c r="Z183" s="91">
        <v>99.957718367010699</v>
      </c>
      <c r="AA183" s="39" t="str">
        <f t="shared" si="17"/>
        <v>Obesidad</v>
      </c>
    </row>
    <row r="184" spans="1:27" ht="15.75" x14ac:dyDescent="0.25">
      <c r="A184" s="72">
        <v>181</v>
      </c>
      <c r="B184" s="73" t="s">
        <v>457</v>
      </c>
      <c r="C184" s="72">
        <v>4</v>
      </c>
      <c r="D184" s="1" t="s">
        <v>26</v>
      </c>
      <c r="E184" s="1">
        <v>2</v>
      </c>
      <c r="F184" s="2">
        <v>41212</v>
      </c>
      <c r="G184" s="68">
        <v>44463</v>
      </c>
      <c r="H184" s="69">
        <f t="shared" si="18"/>
        <v>8</v>
      </c>
      <c r="I184" s="69">
        <f t="shared" si="19"/>
        <v>106</v>
      </c>
      <c r="J184" s="1">
        <v>33.1</v>
      </c>
      <c r="K184" s="1">
        <v>1.3</v>
      </c>
      <c r="L184" s="65">
        <f t="shared" si="20"/>
        <v>130</v>
      </c>
      <c r="M184" s="1">
        <f>109.9-40</f>
        <v>69.900000000000006</v>
      </c>
      <c r="N184" s="70">
        <f t="shared" si="21"/>
        <v>46.230769230769226</v>
      </c>
      <c r="O184" s="65">
        <v>0</v>
      </c>
      <c r="P184" s="65">
        <v>0</v>
      </c>
      <c r="Q184" s="71">
        <f t="shared" si="22"/>
        <v>19.585798816568047</v>
      </c>
      <c r="S184" s="91">
        <v>-0.24583117853516676</v>
      </c>
      <c r="T184" s="91">
        <v>40.290646027303865</v>
      </c>
      <c r="U184" s="39" t="str">
        <f t="shared" si="23"/>
        <v>Normal</v>
      </c>
      <c r="V184" s="91">
        <v>-1.26081738813466</v>
      </c>
      <c r="W184" s="91">
        <v>10.368732378440949</v>
      </c>
      <c r="X184" s="39" t="str">
        <f t="shared" si="16"/>
        <v>Normal</v>
      </c>
      <c r="Y184" s="116">
        <v>1.4854707353091383</v>
      </c>
      <c r="Z184" s="91">
        <v>93.129041498841332</v>
      </c>
      <c r="AA184" s="39" t="str">
        <f t="shared" si="17"/>
        <v>Obesidad</v>
      </c>
    </row>
    <row r="185" spans="1:27" ht="15.75" x14ac:dyDescent="0.25">
      <c r="A185" s="72">
        <v>182</v>
      </c>
      <c r="B185" s="73" t="s">
        <v>458</v>
      </c>
      <c r="C185" s="72">
        <v>4</v>
      </c>
      <c r="D185" s="1" t="s">
        <v>26</v>
      </c>
      <c r="E185" s="1">
        <v>2</v>
      </c>
      <c r="F185" s="2">
        <v>40991</v>
      </c>
      <c r="G185" s="68">
        <v>44463</v>
      </c>
      <c r="H185" s="69">
        <f t="shared" si="18"/>
        <v>9</v>
      </c>
      <c r="I185" s="69">
        <f t="shared" si="19"/>
        <v>114</v>
      </c>
      <c r="J185" s="1">
        <v>34.6</v>
      </c>
      <c r="K185" s="1">
        <v>1.45</v>
      </c>
      <c r="L185" s="65">
        <f t="shared" si="20"/>
        <v>145</v>
      </c>
      <c r="M185" s="1">
        <f>115.9-40</f>
        <v>75.900000000000006</v>
      </c>
      <c r="N185" s="70">
        <f t="shared" si="21"/>
        <v>47.655172413793103</v>
      </c>
      <c r="O185" s="65">
        <v>0</v>
      </c>
      <c r="P185" s="65">
        <v>0</v>
      </c>
      <c r="Q185" s="71">
        <f t="shared" si="22"/>
        <v>16.456599286563616</v>
      </c>
      <c r="S185" s="91">
        <v>1.5115226709776299</v>
      </c>
      <c r="T185" s="91">
        <v>93.467233153088642</v>
      </c>
      <c r="U185" s="39" t="str">
        <f t="shared" si="23"/>
        <v>Normal</v>
      </c>
      <c r="V185" s="91">
        <v>-0.48729096336102101</v>
      </c>
      <c r="W185" s="91">
        <v>31.302607536408988</v>
      </c>
      <c r="X185" s="39" t="str">
        <f t="shared" si="16"/>
        <v>Normal</v>
      </c>
      <c r="Y185" s="116">
        <v>5.736089401271615E-2</v>
      </c>
      <c r="Z185" s="91">
        <v>52.287114312852012</v>
      </c>
      <c r="AA185" s="39" t="str">
        <f t="shared" si="17"/>
        <v>Normal</v>
      </c>
    </row>
    <row r="186" spans="1:27" ht="15.75" x14ac:dyDescent="0.25">
      <c r="A186" s="72">
        <v>183</v>
      </c>
      <c r="B186" s="73" t="s">
        <v>459</v>
      </c>
      <c r="C186" s="72">
        <v>4</v>
      </c>
      <c r="D186" s="1" t="s">
        <v>26</v>
      </c>
      <c r="E186" s="1">
        <v>2</v>
      </c>
      <c r="F186" s="2">
        <v>40922</v>
      </c>
      <c r="G186" s="68">
        <v>44463</v>
      </c>
      <c r="H186" s="69">
        <f t="shared" si="18"/>
        <v>9</v>
      </c>
      <c r="I186" s="69">
        <f t="shared" si="19"/>
        <v>116</v>
      </c>
      <c r="J186" s="1">
        <v>33.1</v>
      </c>
      <c r="K186" s="1">
        <v>1.35</v>
      </c>
      <c r="L186" s="65">
        <f t="shared" si="20"/>
        <v>135</v>
      </c>
      <c r="M186" s="1">
        <f>111-40</f>
        <v>71</v>
      </c>
      <c r="N186" s="70">
        <f t="shared" si="21"/>
        <v>47.407407407407412</v>
      </c>
      <c r="O186" s="65">
        <v>0</v>
      </c>
      <c r="P186" s="65">
        <v>0</v>
      </c>
      <c r="Q186" s="71">
        <f t="shared" si="22"/>
        <v>18.161865569272976</v>
      </c>
      <c r="S186" s="91">
        <v>-0.24857498796402144</v>
      </c>
      <c r="T186" s="91">
        <v>40.184477901147261</v>
      </c>
      <c r="U186" s="39" t="str">
        <f t="shared" si="23"/>
        <v>Normal</v>
      </c>
      <c r="V186" s="91">
        <v>-0.65572139579603672</v>
      </c>
      <c r="W186" s="91">
        <v>25.600169989927281</v>
      </c>
      <c r="X186" s="39" t="str">
        <f t="shared" si="16"/>
        <v>Normal</v>
      </c>
      <c r="Y186" s="116">
        <v>0.7665889092454008</v>
      </c>
      <c r="Z186" s="91">
        <v>77.833701418207937</v>
      </c>
      <c r="AA186" s="39" t="str">
        <f t="shared" si="17"/>
        <v>Normal</v>
      </c>
    </row>
    <row r="187" spans="1:27" ht="15.75" x14ac:dyDescent="0.25">
      <c r="A187" s="72">
        <v>184</v>
      </c>
      <c r="B187" s="73" t="s">
        <v>460</v>
      </c>
      <c r="C187" s="72">
        <v>4</v>
      </c>
      <c r="D187" s="1" t="s">
        <v>26</v>
      </c>
      <c r="E187" s="1">
        <v>1</v>
      </c>
      <c r="F187" s="2">
        <v>41250</v>
      </c>
      <c r="G187" s="68">
        <v>44463</v>
      </c>
      <c r="H187" s="69">
        <f t="shared" si="18"/>
        <v>8</v>
      </c>
      <c r="I187" s="69">
        <f t="shared" si="19"/>
        <v>105</v>
      </c>
      <c r="J187" s="1">
        <v>40.4</v>
      </c>
      <c r="K187" s="1">
        <v>1.3</v>
      </c>
      <c r="L187" s="65">
        <f t="shared" si="20"/>
        <v>130</v>
      </c>
      <c r="M187" s="1">
        <f>104.7-40</f>
        <v>64.7</v>
      </c>
      <c r="N187" s="70">
        <f t="shared" si="21"/>
        <v>50.230769230769226</v>
      </c>
      <c r="O187" s="65">
        <v>0</v>
      </c>
      <c r="P187" s="65">
        <v>0</v>
      </c>
      <c r="Q187" s="71">
        <f t="shared" si="22"/>
        <v>23.905325443786978</v>
      </c>
      <c r="S187" s="91">
        <v>-0.21104048474406709</v>
      </c>
      <c r="T187" s="91">
        <v>41.642784022778436</v>
      </c>
      <c r="U187" s="39" t="str">
        <f t="shared" si="23"/>
        <v>Normal</v>
      </c>
      <c r="V187" s="91">
        <v>1.520606091790486</v>
      </c>
      <c r="W187" s="91">
        <v>93.582064140834234</v>
      </c>
      <c r="X187" s="39" t="str">
        <f t="shared" si="16"/>
        <v>Normal</v>
      </c>
      <c r="Y187" s="116">
        <v>3.0045866122448901</v>
      </c>
      <c r="Z187" s="91">
        <v>99.867028985798711</v>
      </c>
      <c r="AA187" s="39" t="str">
        <f t="shared" si="17"/>
        <v>Obesidad</v>
      </c>
    </row>
    <row r="188" spans="1:27" ht="15.75" x14ac:dyDescent="0.25">
      <c r="A188" s="72">
        <v>185</v>
      </c>
      <c r="B188" s="73" t="s">
        <v>461</v>
      </c>
      <c r="C188" s="72">
        <v>4</v>
      </c>
      <c r="D188" s="1" t="s">
        <v>26</v>
      </c>
      <c r="E188" s="1">
        <v>1</v>
      </c>
      <c r="F188" s="2">
        <v>41082</v>
      </c>
      <c r="G188" s="68">
        <v>44463</v>
      </c>
      <c r="H188" s="69">
        <f t="shared" si="18"/>
        <v>9</v>
      </c>
      <c r="I188" s="69">
        <f t="shared" si="19"/>
        <v>111</v>
      </c>
      <c r="J188" s="1">
        <v>38.299999999999997</v>
      </c>
      <c r="K188" s="1">
        <v>1.36</v>
      </c>
      <c r="L188" s="65">
        <f t="shared" si="20"/>
        <v>136</v>
      </c>
      <c r="M188" s="1">
        <f>114.6-40</f>
        <v>74.599999999999994</v>
      </c>
      <c r="N188" s="70">
        <f t="shared" si="21"/>
        <v>45.14705882352942</v>
      </c>
      <c r="O188" s="65">
        <v>0</v>
      </c>
      <c r="P188" s="65">
        <v>0</v>
      </c>
      <c r="Q188" s="71">
        <f t="shared" si="22"/>
        <v>20.707179930795842</v>
      </c>
      <c r="S188" s="91">
        <v>0.34783592144749231</v>
      </c>
      <c r="T188" s="91">
        <v>63.60182946110158</v>
      </c>
      <c r="U188" s="39" t="str">
        <f t="shared" si="23"/>
        <v>Normal</v>
      </c>
      <c r="V188" s="91">
        <v>-2.0902774192134213</v>
      </c>
      <c r="W188" s="91">
        <v>1.8296443242566056</v>
      </c>
      <c r="X188" s="39" t="str">
        <f t="shared" si="16"/>
        <v>Piernas cortas</v>
      </c>
      <c r="Y188" s="116">
        <v>2.0061884401909773</v>
      </c>
      <c r="Z188" s="91">
        <v>97.758192662936679</v>
      </c>
      <c r="AA188" s="39" t="str">
        <f t="shared" si="17"/>
        <v>Obesidad</v>
      </c>
    </row>
    <row r="189" spans="1:27" ht="15.75" x14ac:dyDescent="0.25">
      <c r="A189" s="72">
        <v>186</v>
      </c>
      <c r="B189" s="73" t="s">
        <v>462</v>
      </c>
      <c r="C189" s="72">
        <v>4</v>
      </c>
      <c r="D189" s="1" t="s">
        <v>26</v>
      </c>
      <c r="E189" s="1">
        <v>1</v>
      </c>
      <c r="F189" s="2">
        <v>41120</v>
      </c>
      <c r="G189" s="68">
        <v>44463</v>
      </c>
      <c r="H189" s="69">
        <f t="shared" si="18"/>
        <v>9</v>
      </c>
      <c r="I189" s="69">
        <f t="shared" si="19"/>
        <v>109</v>
      </c>
      <c r="J189" s="1">
        <v>36.299999999999997</v>
      </c>
      <c r="K189" s="1">
        <v>1.32</v>
      </c>
      <c r="L189" s="65">
        <f t="shared" si="20"/>
        <v>132</v>
      </c>
      <c r="M189" s="1">
        <f>111.5-40</f>
        <v>71.5</v>
      </c>
      <c r="N189" s="70">
        <f t="shared" si="21"/>
        <v>45.833333333333329</v>
      </c>
      <c r="O189" s="65">
        <v>0</v>
      </c>
      <c r="P189" s="65">
        <v>0</v>
      </c>
      <c r="Q189" s="71">
        <f t="shared" si="22"/>
        <v>20.833333333333329</v>
      </c>
      <c r="S189" s="91">
        <v>-0.16601209495540967</v>
      </c>
      <c r="T189" s="91">
        <v>43.407371592736062</v>
      </c>
      <c r="U189" s="39" t="str">
        <f t="shared" si="23"/>
        <v>Normal</v>
      </c>
      <c r="V189" s="91">
        <v>-1.6161769876109875</v>
      </c>
      <c r="W189" s="91">
        <v>5.3028026360326281</v>
      </c>
      <c r="X189" s="39" t="str">
        <f t="shared" si="16"/>
        <v>Normal</v>
      </c>
      <c r="Y189" s="116">
        <v>2.0928321544785984</v>
      </c>
      <c r="Z189" s="91">
        <v>98.18179298165721</v>
      </c>
      <c r="AA189" s="39" t="str">
        <f t="shared" si="17"/>
        <v>Obesidad</v>
      </c>
    </row>
    <row r="190" spans="1:27" ht="15.75" x14ac:dyDescent="0.25">
      <c r="A190" s="72">
        <v>187</v>
      </c>
      <c r="B190" s="73" t="s">
        <v>463</v>
      </c>
      <c r="C190" s="72">
        <v>4</v>
      </c>
      <c r="D190" s="1" t="s">
        <v>26</v>
      </c>
      <c r="E190" s="1">
        <v>2</v>
      </c>
      <c r="F190" s="2">
        <v>41127</v>
      </c>
      <c r="G190" s="68">
        <v>44463</v>
      </c>
      <c r="H190" s="69">
        <f t="shared" si="18"/>
        <v>9</v>
      </c>
      <c r="I190" s="69">
        <f t="shared" si="19"/>
        <v>109</v>
      </c>
      <c r="J190" s="1">
        <v>44.8</v>
      </c>
      <c r="K190" s="1">
        <v>1.38</v>
      </c>
      <c r="L190" s="65">
        <f t="shared" si="20"/>
        <v>138</v>
      </c>
      <c r="M190" s="1">
        <f>114.2-40</f>
        <v>74.2</v>
      </c>
      <c r="N190" s="70">
        <f t="shared" si="21"/>
        <v>46.231884057971016</v>
      </c>
      <c r="O190" s="65">
        <v>0</v>
      </c>
      <c r="P190" s="65">
        <v>0</v>
      </c>
      <c r="Q190" s="71">
        <f t="shared" si="22"/>
        <v>23.524469649233357</v>
      </c>
      <c r="S190" s="91">
        <v>0.81514343459287419</v>
      </c>
      <c r="T190" s="91">
        <v>79.25048940888108</v>
      </c>
      <c r="U190" s="39" t="str">
        <f t="shared" si="23"/>
        <v>Normal</v>
      </c>
      <c r="V190" s="91">
        <v>-1.4681826972639798</v>
      </c>
      <c r="W190" s="91">
        <v>7.1027301476889475</v>
      </c>
      <c r="X190" s="39" t="str">
        <f t="shared" si="16"/>
        <v>Normal</v>
      </c>
      <c r="Y190" s="116">
        <v>2.4411012001201962</v>
      </c>
      <c r="Z190" s="91">
        <v>99.267872458060197</v>
      </c>
      <c r="AA190" s="39" t="str">
        <f t="shared" si="17"/>
        <v>Obesidad</v>
      </c>
    </row>
    <row r="191" spans="1:27" ht="15.75" x14ac:dyDescent="0.25">
      <c r="A191" s="72">
        <v>188</v>
      </c>
      <c r="B191" s="73" t="s">
        <v>464</v>
      </c>
      <c r="C191" s="72">
        <v>4</v>
      </c>
      <c r="D191" s="1" t="s">
        <v>26</v>
      </c>
      <c r="E191" s="1">
        <v>2</v>
      </c>
      <c r="F191" s="2">
        <v>40992</v>
      </c>
      <c r="G191" s="68">
        <v>44463</v>
      </c>
      <c r="H191" s="69">
        <f t="shared" si="18"/>
        <v>9</v>
      </c>
      <c r="I191" s="69">
        <f t="shared" si="19"/>
        <v>114</v>
      </c>
      <c r="J191" s="1">
        <v>54.9</v>
      </c>
      <c r="K191" s="1">
        <v>1.45</v>
      </c>
      <c r="L191" s="65">
        <f t="shared" si="20"/>
        <v>145</v>
      </c>
      <c r="M191" s="1">
        <f>116.5-40</f>
        <v>76.5</v>
      </c>
      <c r="N191" s="70">
        <f t="shared" si="21"/>
        <v>47.241379310344826</v>
      </c>
      <c r="O191" s="65">
        <v>0</v>
      </c>
      <c r="P191" s="65">
        <v>0</v>
      </c>
      <c r="Q191" s="71">
        <f t="shared" si="22"/>
        <v>26.111771700356716</v>
      </c>
      <c r="S191" s="91">
        <v>1.5115226709776299</v>
      </c>
      <c r="T191" s="91">
        <v>93.467233153088642</v>
      </c>
      <c r="U191" s="39" t="str">
        <f t="shared" si="23"/>
        <v>Normal</v>
      </c>
      <c r="V191" s="91">
        <v>-0.76912680554440305</v>
      </c>
      <c r="W191" s="91">
        <v>22.090901829036515</v>
      </c>
      <c r="X191" s="39" t="str">
        <f t="shared" si="16"/>
        <v>Normal</v>
      </c>
      <c r="Y191" s="116">
        <v>2.7994849424788328</v>
      </c>
      <c r="Z191" s="91">
        <v>99.744078981568506</v>
      </c>
      <c r="AA191" s="39" t="str">
        <f t="shared" si="17"/>
        <v>Obesidad</v>
      </c>
    </row>
    <row r="192" spans="1:27" ht="15.75" x14ac:dyDescent="0.25">
      <c r="A192" s="72">
        <v>189</v>
      </c>
      <c r="B192" s="73" t="s">
        <v>465</v>
      </c>
      <c r="C192" s="72">
        <v>4</v>
      </c>
      <c r="D192" s="1" t="s">
        <v>26</v>
      </c>
      <c r="E192" s="1">
        <v>1</v>
      </c>
      <c r="F192" s="2">
        <v>41047</v>
      </c>
      <c r="G192" s="68">
        <v>44463</v>
      </c>
      <c r="H192" s="69">
        <f t="shared" si="18"/>
        <v>9</v>
      </c>
      <c r="I192" s="69">
        <f t="shared" si="19"/>
        <v>112</v>
      </c>
      <c r="J192" s="1">
        <v>23.3</v>
      </c>
      <c r="K192" s="1">
        <v>1.21</v>
      </c>
      <c r="L192" s="65">
        <f t="shared" si="20"/>
        <v>121</v>
      </c>
      <c r="M192" s="1">
        <f>115.1-40</f>
        <v>75.099999999999994</v>
      </c>
      <c r="N192" s="70">
        <f t="shared" si="21"/>
        <v>37.933884297520663</v>
      </c>
      <c r="O192" s="65">
        <v>0</v>
      </c>
      <c r="P192" s="65">
        <v>0</v>
      </c>
      <c r="Q192" s="71">
        <f t="shared" si="22"/>
        <v>15.914213510006148</v>
      </c>
      <c r="S192" s="91">
        <v>-2.1708108085826243</v>
      </c>
      <c r="T192" s="91">
        <v>1.4972738286011595</v>
      </c>
      <c r="U192" s="39" t="str">
        <f t="shared" si="23"/>
        <v>Desnutricion</v>
      </c>
      <c r="V192" s="91">
        <v>-7.6101192120174082</v>
      </c>
      <c r="W192" s="91">
        <v>1.3692160983285001E-12</v>
      </c>
      <c r="X192" s="39" t="str">
        <f t="shared" si="16"/>
        <v>Piernas cortas</v>
      </c>
      <c r="Y192" s="116">
        <v>-0.15771584022950758</v>
      </c>
      <c r="Z192" s="91">
        <v>43.734035900949372</v>
      </c>
      <c r="AA192" s="39" t="str">
        <f t="shared" si="17"/>
        <v>Normal</v>
      </c>
    </row>
    <row r="193" spans="1:27" ht="15.75" x14ac:dyDescent="0.25">
      <c r="A193" s="72">
        <v>190</v>
      </c>
      <c r="B193" s="73" t="s">
        <v>466</v>
      </c>
      <c r="C193" s="72">
        <v>4</v>
      </c>
      <c r="D193" s="1" t="s">
        <v>26</v>
      </c>
      <c r="E193" s="1">
        <v>1</v>
      </c>
      <c r="F193" s="2">
        <v>41135</v>
      </c>
      <c r="G193" s="68">
        <v>44463</v>
      </c>
      <c r="H193" s="69">
        <f t="shared" si="18"/>
        <v>9</v>
      </c>
      <c r="I193" s="69">
        <f t="shared" si="19"/>
        <v>109</v>
      </c>
      <c r="J193" s="1">
        <v>28.4</v>
      </c>
      <c r="K193" s="1">
        <v>1.28</v>
      </c>
      <c r="L193" s="65">
        <f t="shared" si="20"/>
        <v>128</v>
      </c>
      <c r="M193" s="1">
        <f>111-40</f>
        <v>71</v>
      </c>
      <c r="N193" s="70">
        <f t="shared" si="21"/>
        <v>44.53125</v>
      </c>
      <c r="O193" s="65">
        <v>0</v>
      </c>
      <c r="P193" s="65">
        <v>0</v>
      </c>
      <c r="Q193" s="71">
        <f t="shared" si="22"/>
        <v>17.333984375</v>
      </c>
      <c r="S193" s="91">
        <v>-0.82800828658300452</v>
      </c>
      <c r="T193" s="91">
        <v>20.383290349694917</v>
      </c>
      <c r="U193" s="39" t="str">
        <f t="shared" si="23"/>
        <v>Normal</v>
      </c>
      <c r="V193" s="91">
        <v>-2.5224627358310157</v>
      </c>
      <c r="W193" s="91">
        <v>0.58268148315387802</v>
      </c>
      <c r="X193" s="39" t="str">
        <f t="shared" si="16"/>
        <v>Piernas cortas</v>
      </c>
      <c r="Y193" s="116">
        <v>0.70173367826219468</v>
      </c>
      <c r="Z193" s="91">
        <v>75.857736701233918</v>
      </c>
      <c r="AA193" s="39" t="str">
        <f t="shared" si="17"/>
        <v>Normal</v>
      </c>
    </row>
    <row r="194" spans="1:27" ht="15.75" x14ac:dyDescent="0.25">
      <c r="A194" s="72">
        <v>191</v>
      </c>
      <c r="B194" s="73" t="s">
        <v>467</v>
      </c>
      <c r="C194" s="72">
        <v>5</v>
      </c>
      <c r="D194" s="1" t="s">
        <v>7</v>
      </c>
      <c r="E194" s="1">
        <v>2</v>
      </c>
      <c r="F194" s="2">
        <v>40848</v>
      </c>
      <c r="G194" s="68">
        <v>44463</v>
      </c>
      <c r="H194" s="69">
        <f t="shared" si="18"/>
        <v>9</v>
      </c>
      <c r="I194" s="69">
        <f t="shared" si="19"/>
        <v>118</v>
      </c>
      <c r="J194" s="1">
        <v>22.7</v>
      </c>
      <c r="K194" s="1">
        <v>1.31</v>
      </c>
      <c r="L194" s="65">
        <f t="shared" si="20"/>
        <v>131</v>
      </c>
      <c r="M194" s="1">
        <f>107.5-40</f>
        <v>67.5</v>
      </c>
      <c r="N194" s="70">
        <f t="shared" si="21"/>
        <v>48.473282442748086</v>
      </c>
      <c r="O194" s="65">
        <v>0</v>
      </c>
      <c r="P194" s="65">
        <v>0</v>
      </c>
      <c r="Q194" s="71">
        <f t="shared" si="22"/>
        <v>13.227667385350502</v>
      </c>
      <c r="S194" s="91">
        <v>-1.0389107815960827</v>
      </c>
      <c r="T194" s="91">
        <v>14.942311581790976</v>
      </c>
      <c r="U194" s="39" t="str">
        <f t="shared" si="23"/>
        <v>Normal</v>
      </c>
      <c r="V194" s="91">
        <v>6.2131920717397086E-2</v>
      </c>
      <c r="W194" s="91">
        <v>52.477111148006038</v>
      </c>
      <c r="X194" s="39" t="str">
        <f t="shared" si="16"/>
        <v>Normal</v>
      </c>
      <c r="Y194" s="116">
        <v>-2.1538725025961303</v>
      </c>
      <c r="Z194" s="91">
        <v>1.5625085953067936</v>
      </c>
      <c r="AA194" s="39" t="str">
        <f t="shared" si="17"/>
        <v>Desnutricion</v>
      </c>
    </row>
    <row r="195" spans="1:27" ht="15.75" x14ac:dyDescent="0.25">
      <c r="A195" s="72">
        <v>192</v>
      </c>
      <c r="B195" s="73" t="s">
        <v>468</v>
      </c>
      <c r="C195" s="72">
        <v>5</v>
      </c>
      <c r="D195" s="1" t="s">
        <v>7</v>
      </c>
      <c r="E195" s="1">
        <v>1</v>
      </c>
      <c r="F195" s="2">
        <v>40579</v>
      </c>
      <c r="G195" s="68">
        <v>44463</v>
      </c>
      <c r="H195" s="69">
        <f t="shared" si="18"/>
        <v>10</v>
      </c>
      <c r="I195" s="69">
        <f t="shared" si="19"/>
        <v>127</v>
      </c>
      <c r="J195" s="1">
        <v>29.5</v>
      </c>
      <c r="K195" s="1">
        <v>1.37</v>
      </c>
      <c r="L195" s="65">
        <f t="shared" si="20"/>
        <v>137</v>
      </c>
      <c r="M195" s="1">
        <f>110-40</f>
        <v>70</v>
      </c>
      <c r="N195" s="70">
        <f t="shared" si="21"/>
        <v>48.9051094890511</v>
      </c>
      <c r="O195" s="65">
        <v>0</v>
      </c>
      <c r="P195" s="65">
        <v>0</v>
      </c>
      <c r="Q195" s="71">
        <f t="shared" si="22"/>
        <v>15.717406361553623</v>
      </c>
      <c r="S195" s="91">
        <v>-0.58314083844685682</v>
      </c>
      <c r="T195" s="91">
        <v>27.989924692899553</v>
      </c>
      <c r="U195" s="39" t="str">
        <f t="shared" si="23"/>
        <v>Normal</v>
      </c>
      <c r="V195" s="91">
        <v>0.1885568925215593</v>
      </c>
      <c r="W195" s="91">
        <v>57.477993928077552</v>
      </c>
      <c r="X195" s="39" t="str">
        <f t="shared" si="16"/>
        <v>Normal</v>
      </c>
      <c r="Y195" s="116">
        <v>-0.60172185529737932</v>
      </c>
      <c r="Z195" s="91">
        <v>27.367964976548109</v>
      </c>
      <c r="AA195" s="39" t="str">
        <f t="shared" si="17"/>
        <v>Normal</v>
      </c>
    </row>
    <row r="196" spans="1:27" ht="15.75" x14ac:dyDescent="0.25">
      <c r="A196" s="72">
        <v>193</v>
      </c>
      <c r="B196" s="73" t="s">
        <v>469</v>
      </c>
      <c r="C196" s="72">
        <v>5</v>
      </c>
      <c r="D196" s="1" t="s">
        <v>7</v>
      </c>
      <c r="E196" s="1">
        <v>2</v>
      </c>
      <c r="F196" s="2">
        <v>40788</v>
      </c>
      <c r="G196" s="68">
        <v>44463</v>
      </c>
      <c r="H196" s="69">
        <f t="shared" si="18"/>
        <v>10</v>
      </c>
      <c r="I196" s="69">
        <f t="shared" si="19"/>
        <v>120</v>
      </c>
      <c r="J196" s="1">
        <v>40.700000000000003</v>
      </c>
      <c r="K196" s="1">
        <v>1.47</v>
      </c>
      <c r="L196" s="65">
        <f t="shared" si="20"/>
        <v>147</v>
      </c>
      <c r="M196" s="1">
        <f>118.1-40</f>
        <v>78.099999999999994</v>
      </c>
      <c r="N196" s="70">
        <f t="shared" si="21"/>
        <v>46.870748299319729</v>
      </c>
      <c r="O196" s="65">
        <v>0</v>
      </c>
      <c r="P196" s="65">
        <v>0</v>
      </c>
      <c r="Q196" s="71">
        <f t="shared" si="22"/>
        <v>18.83474478226665</v>
      </c>
      <c r="S196" s="91">
        <v>1.3075066224654683</v>
      </c>
      <c r="T196" s="91">
        <v>90.447964637775726</v>
      </c>
      <c r="U196" s="39" t="str">
        <f t="shared" si="23"/>
        <v>Normal</v>
      </c>
      <c r="V196" s="91">
        <v>-1.1370506684042754</v>
      </c>
      <c r="W196" s="91">
        <v>12.775855240217449</v>
      </c>
      <c r="X196" s="39" t="str">
        <f t="shared" ref="X196:X259" si="24">IF(V196&lt;-1.645,"Piernas cortas",IF(AND(V196&gt;=-1.645,V196&lt;=1.645),"Normal",IF(V196&gt;1.645,"Piernas largas")))</f>
        <v>Normal</v>
      </c>
      <c r="Y196" s="116">
        <v>0.93027808615828089</v>
      </c>
      <c r="Z196" s="91">
        <v>82.388643954213762</v>
      </c>
      <c r="AA196" s="39" t="str">
        <f t="shared" ref="AA196:AA259" si="25">IF(Z196&lt;5,"Desnutricion",IF(AND(Z196&gt;=5,Z196&lt;15),"Bajo Peso",IF(AND(Z196&gt;=15,Z196&lt;=85),"Normal",IF(Z196&gt;85,"Obesidad"))))</f>
        <v>Normal</v>
      </c>
    </row>
    <row r="197" spans="1:27" ht="15.75" x14ac:dyDescent="0.25">
      <c r="A197" s="72">
        <v>194</v>
      </c>
      <c r="B197" s="73" t="s">
        <v>470</v>
      </c>
      <c r="C197" s="72">
        <v>5</v>
      </c>
      <c r="D197" s="1" t="s">
        <v>7</v>
      </c>
      <c r="E197" s="1">
        <v>1</v>
      </c>
      <c r="F197" s="2">
        <v>40632</v>
      </c>
      <c r="G197" s="68">
        <v>44463</v>
      </c>
      <c r="H197" s="69">
        <f t="shared" ref="H197:H262" si="26">DATEDIF(F197,G197,"y")</f>
        <v>10</v>
      </c>
      <c r="I197" s="69">
        <f t="shared" ref="I197:I260" si="27">DATEDIF(F197,G197,"m")</f>
        <v>125</v>
      </c>
      <c r="J197" s="1">
        <v>32.799999999999997</v>
      </c>
      <c r="K197" s="1">
        <v>1.39</v>
      </c>
      <c r="L197" s="65">
        <f t="shared" ref="L197:L260" si="28">K197*100</f>
        <v>139</v>
      </c>
      <c r="M197" s="1">
        <f>109.5-40</f>
        <v>69.5</v>
      </c>
      <c r="N197" s="70">
        <f t="shared" ref="N197:N260" si="29">((L197-M197)/L197)*100</f>
        <v>50</v>
      </c>
      <c r="O197" s="65">
        <v>0</v>
      </c>
      <c r="P197" s="65">
        <v>0</v>
      </c>
      <c r="Q197" s="71">
        <f t="shared" ref="Q197:Q260" si="30">J197/(K197*K197)</f>
        <v>16.976346979969982</v>
      </c>
      <c r="S197" s="91">
        <v>-0.14624598647895667</v>
      </c>
      <c r="T197" s="91">
        <v>44.18636019137945</v>
      </c>
      <c r="U197" s="39" t="str">
        <f t="shared" ref="U197:U260" si="31">IF(S197&lt;-1.645,"Desnutricion",IF(AND(S197&gt;=-1.645,S197&lt;=1.645),"Normal",IF(S197&gt;1.645,"Alto")))</f>
        <v>Normal</v>
      </c>
      <c r="V197" s="91">
        <v>0.90162338404350184</v>
      </c>
      <c r="W197" s="91">
        <v>81.637151761066363</v>
      </c>
      <c r="X197" s="39" t="str">
        <f t="shared" si="24"/>
        <v>Normal</v>
      </c>
      <c r="Y197" s="116">
        <v>0.18368387714179185</v>
      </c>
      <c r="Z197" s="91">
        <v>57.286927106361276</v>
      </c>
      <c r="AA197" s="39" t="str">
        <f t="shared" si="25"/>
        <v>Normal</v>
      </c>
    </row>
    <row r="198" spans="1:27" ht="15.75" x14ac:dyDescent="0.25">
      <c r="A198" s="72">
        <v>195</v>
      </c>
      <c r="B198" s="73" t="s">
        <v>471</v>
      </c>
      <c r="C198" s="72">
        <v>5</v>
      </c>
      <c r="D198" s="1" t="s">
        <v>7</v>
      </c>
      <c r="E198" s="1">
        <v>2</v>
      </c>
      <c r="F198" s="2">
        <v>40889</v>
      </c>
      <c r="G198" s="68">
        <v>44463</v>
      </c>
      <c r="H198" s="69">
        <f t="shared" si="26"/>
        <v>9</v>
      </c>
      <c r="I198" s="69">
        <f t="shared" si="27"/>
        <v>117</v>
      </c>
      <c r="J198" s="1">
        <v>40.299999999999997</v>
      </c>
      <c r="K198" s="1">
        <v>1.33</v>
      </c>
      <c r="L198" s="65">
        <f t="shared" si="28"/>
        <v>133</v>
      </c>
      <c r="M198" s="1">
        <f>113-40</f>
        <v>73</v>
      </c>
      <c r="N198" s="70">
        <f t="shared" si="29"/>
        <v>45.112781954887218</v>
      </c>
      <c r="O198" s="65">
        <v>0</v>
      </c>
      <c r="P198" s="65">
        <v>0</v>
      </c>
      <c r="Q198" s="71">
        <f t="shared" si="30"/>
        <v>22.782520210300184</v>
      </c>
      <c r="S198" s="91">
        <v>-0.6451149263019853</v>
      </c>
      <c r="T198" s="91">
        <v>25.942635585175992</v>
      </c>
      <c r="U198" s="39" t="str">
        <f t="shared" si="31"/>
        <v>Normal</v>
      </c>
      <c r="V198" s="91">
        <v>-2.2629229621407303</v>
      </c>
      <c r="W198" s="91">
        <v>1.1820219319807952</v>
      </c>
      <c r="X198" s="39" t="str">
        <f t="shared" si="24"/>
        <v>Piernas cortas</v>
      </c>
      <c r="Y198" s="116">
        <v>2.1107576568148025</v>
      </c>
      <c r="Z198" s="91">
        <v>98.260342631344926</v>
      </c>
      <c r="AA198" s="39" t="str">
        <f t="shared" si="25"/>
        <v>Obesidad</v>
      </c>
    </row>
    <row r="199" spans="1:27" ht="15.75" x14ac:dyDescent="0.25">
      <c r="A199" s="72">
        <v>196</v>
      </c>
      <c r="B199" s="73" t="s">
        <v>472</v>
      </c>
      <c r="C199" s="72">
        <v>5</v>
      </c>
      <c r="D199" s="1" t="s">
        <v>7</v>
      </c>
      <c r="E199" s="1">
        <v>2</v>
      </c>
      <c r="F199" s="2">
        <v>40839</v>
      </c>
      <c r="G199" s="68">
        <v>44463</v>
      </c>
      <c r="H199" s="69">
        <f t="shared" si="26"/>
        <v>9</v>
      </c>
      <c r="I199" s="69">
        <f t="shared" si="27"/>
        <v>119</v>
      </c>
      <c r="J199" s="1">
        <v>39.4</v>
      </c>
      <c r="K199" s="1">
        <v>1.36</v>
      </c>
      <c r="L199" s="65">
        <f t="shared" si="28"/>
        <v>136</v>
      </c>
      <c r="M199" s="1">
        <f>112-40</f>
        <v>72</v>
      </c>
      <c r="N199" s="70">
        <f t="shared" si="29"/>
        <v>47.058823529411761</v>
      </c>
      <c r="O199" s="65">
        <v>0</v>
      </c>
      <c r="P199" s="65">
        <v>0</v>
      </c>
      <c r="Q199" s="71">
        <f t="shared" si="30"/>
        <v>21.301903114186846</v>
      </c>
      <c r="S199" s="91">
        <v>-0.33207899892836557</v>
      </c>
      <c r="T199" s="91">
        <v>36.99148037973616</v>
      </c>
      <c r="U199" s="39" t="str">
        <f t="shared" si="31"/>
        <v>Normal</v>
      </c>
      <c r="V199" s="91">
        <v>-0.89432572239106134</v>
      </c>
      <c r="W199" s="91">
        <v>18.55738206273579</v>
      </c>
      <c r="X199" s="39" t="str">
        <f t="shared" si="24"/>
        <v>Normal</v>
      </c>
      <c r="Y199" s="116">
        <v>1.7100085178410422</v>
      </c>
      <c r="Z199" s="91">
        <v>95.636785102243365</v>
      </c>
      <c r="AA199" s="39" t="str">
        <f t="shared" si="25"/>
        <v>Obesidad</v>
      </c>
    </row>
    <row r="200" spans="1:27" ht="15.75" x14ac:dyDescent="0.25">
      <c r="A200" s="72">
        <v>197</v>
      </c>
      <c r="B200" s="73" t="s">
        <v>473</v>
      </c>
      <c r="C200" s="72">
        <v>5</v>
      </c>
      <c r="D200" s="1" t="s">
        <v>7</v>
      </c>
      <c r="E200" s="1">
        <v>2</v>
      </c>
      <c r="F200" s="2">
        <v>40644</v>
      </c>
      <c r="G200" s="68">
        <v>44463</v>
      </c>
      <c r="H200" s="69">
        <f t="shared" si="26"/>
        <v>10</v>
      </c>
      <c r="I200" s="69">
        <f t="shared" si="27"/>
        <v>125</v>
      </c>
      <c r="J200" s="1">
        <v>29.6</v>
      </c>
      <c r="K200" s="1">
        <v>1.32</v>
      </c>
      <c r="L200" s="65">
        <f t="shared" si="28"/>
        <v>132</v>
      </c>
      <c r="M200" s="1">
        <f>106.2-40</f>
        <v>66.2</v>
      </c>
      <c r="N200" s="70">
        <f t="shared" si="29"/>
        <v>49.848484848484844</v>
      </c>
      <c r="O200" s="65">
        <v>0</v>
      </c>
      <c r="P200" s="65">
        <v>0</v>
      </c>
      <c r="Q200" s="71">
        <f t="shared" si="30"/>
        <v>16.988062442607895</v>
      </c>
      <c r="S200" s="91">
        <v>-1.4234291453461871</v>
      </c>
      <c r="T200" s="91">
        <v>7.730589427478705</v>
      </c>
      <c r="U200" s="39" t="str">
        <f t="shared" si="31"/>
        <v>Normal</v>
      </c>
      <c r="V200" s="91">
        <v>0.85054442223457483</v>
      </c>
      <c r="W200" s="91">
        <v>80.248876301088785</v>
      </c>
      <c r="X200" s="39" t="str">
        <f t="shared" si="24"/>
        <v>Normal</v>
      </c>
      <c r="Y200" s="116">
        <v>5.9555004147925972E-2</v>
      </c>
      <c r="Z200" s="91">
        <v>52.374497189659444</v>
      </c>
      <c r="AA200" s="39" t="str">
        <f t="shared" si="25"/>
        <v>Normal</v>
      </c>
    </row>
    <row r="201" spans="1:27" ht="15.75" x14ac:dyDescent="0.25">
      <c r="A201" s="72">
        <v>198</v>
      </c>
      <c r="B201" s="73" t="s">
        <v>474</v>
      </c>
      <c r="C201" s="72">
        <v>5</v>
      </c>
      <c r="D201" s="1" t="s">
        <v>7</v>
      </c>
      <c r="E201" s="1">
        <v>1</v>
      </c>
      <c r="F201" s="2">
        <v>40662</v>
      </c>
      <c r="G201" s="68">
        <v>44463</v>
      </c>
      <c r="H201" s="69">
        <f t="shared" si="26"/>
        <v>10</v>
      </c>
      <c r="I201" s="69">
        <f t="shared" si="27"/>
        <v>124</v>
      </c>
      <c r="J201" s="1">
        <v>35.4</v>
      </c>
      <c r="K201" s="1">
        <v>1.43</v>
      </c>
      <c r="L201" s="65">
        <f t="shared" si="28"/>
        <v>143</v>
      </c>
      <c r="M201" s="1">
        <f>113.8-40</f>
        <v>73.8</v>
      </c>
      <c r="N201" s="70">
        <f t="shared" si="29"/>
        <v>48.391608391608393</v>
      </c>
      <c r="O201" s="65">
        <v>0</v>
      </c>
      <c r="P201" s="65">
        <v>0</v>
      </c>
      <c r="Q201" s="71">
        <f t="shared" si="30"/>
        <v>17.311359968702629</v>
      </c>
      <c r="S201" s="91">
        <v>0.53660325621993799</v>
      </c>
      <c r="T201" s="91">
        <v>70.422915279552086</v>
      </c>
      <c r="U201" s="39" t="str">
        <f t="shared" si="31"/>
        <v>Normal</v>
      </c>
      <c r="V201" s="91">
        <v>-0.1519231936448743</v>
      </c>
      <c r="W201" s="91">
        <v>43.962375737334789</v>
      </c>
      <c r="X201" s="39" t="str">
        <f t="shared" si="24"/>
        <v>Normal</v>
      </c>
      <c r="Y201" s="116">
        <v>0.37801800727890605</v>
      </c>
      <c r="Z201" s="91">
        <v>64.729139152882681</v>
      </c>
      <c r="AA201" s="39" t="str">
        <f t="shared" si="25"/>
        <v>Normal</v>
      </c>
    </row>
    <row r="202" spans="1:27" ht="15.75" x14ac:dyDescent="0.25">
      <c r="A202" s="72">
        <v>199</v>
      </c>
      <c r="B202" s="73" t="s">
        <v>475</v>
      </c>
      <c r="C202" s="72">
        <v>5</v>
      </c>
      <c r="D202" s="1" t="s">
        <v>7</v>
      </c>
      <c r="E202" s="1">
        <v>1</v>
      </c>
      <c r="F202" s="2">
        <v>40591</v>
      </c>
      <c r="G202" s="68">
        <v>44463</v>
      </c>
      <c r="H202" s="69">
        <f t="shared" si="26"/>
        <v>10</v>
      </c>
      <c r="I202" s="69">
        <f t="shared" si="27"/>
        <v>127</v>
      </c>
      <c r="J202" s="1">
        <v>57.7</v>
      </c>
      <c r="K202" s="1">
        <v>1.1499999999999999</v>
      </c>
      <c r="L202" s="65">
        <f t="shared" si="28"/>
        <v>114.99999999999999</v>
      </c>
      <c r="M202" s="1">
        <f>115.4-40</f>
        <v>75.400000000000006</v>
      </c>
      <c r="N202" s="70">
        <f t="shared" si="29"/>
        <v>34.434782608695642</v>
      </c>
      <c r="O202" s="65">
        <v>0</v>
      </c>
      <c r="P202" s="65">
        <v>0</v>
      </c>
      <c r="Q202" s="71">
        <f t="shared" si="30"/>
        <v>43.629489603024581</v>
      </c>
      <c r="S202" s="91">
        <v>-3.9251833126779472</v>
      </c>
      <c r="T202" s="91">
        <v>4.3331858079929363E-3</v>
      </c>
      <c r="U202" s="39" t="str">
        <f t="shared" si="31"/>
        <v>Desnutricion</v>
      </c>
      <c r="V202" s="91">
        <v>-11.315036717714175</v>
      </c>
      <c r="W202" s="91">
        <v>5.5278007992010519E-28</v>
      </c>
      <c r="X202" s="39" t="str">
        <f t="shared" si="24"/>
        <v>Piernas cortas</v>
      </c>
      <c r="Y202" s="116">
        <v>4.2410426307249072</v>
      </c>
      <c r="Z202" s="91">
        <v>99.99888758064823</v>
      </c>
      <c r="AA202" s="39" t="str">
        <f t="shared" si="25"/>
        <v>Obesidad</v>
      </c>
    </row>
    <row r="203" spans="1:27" ht="15.75" x14ac:dyDescent="0.25">
      <c r="A203" s="72">
        <v>200</v>
      </c>
      <c r="B203" s="73" t="s">
        <v>476</v>
      </c>
      <c r="C203" s="72">
        <v>5</v>
      </c>
      <c r="D203" s="1" t="s">
        <v>7</v>
      </c>
      <c r="E203" s="1">
        <v>1</v>
      </c>
      <c r="F203" s="2">
        <v>40562</v>
      </c>
      <c r="G203" s="68">
        <v>44463</v>
      </c>
      <c r="H203" s="69">
        <f t="shared" si="26"/>
        <v>10</v>
      </c>
      <c r="I203" s="69">
        <f t="shared" si="27"/>
        <v>128</v>
      </c>
      <c r="J203" s="1">
        <v>42.8</v>
      </c>
      <c r="K203" s="1">
        <v>1.39</v>
      </c>
      <c r="L203" s="65">
        <f t="shared" si="28"/>
        <v>139</v>
      </c>
      <c r="M203" s="1">
        <f>113.6-40</f>
        <v>73.599999999999994</v>
      </c>
      <c r="N203" s="70">
        <f t="shared" si="29"/>
        <v>47.050359712230225</v>
      </c>
      <c r="O203" s="65">
        <v>0</v>
      </c>
      <c r="P203" s="65">
        <v>0</v>
      </c>
      <c r="Q203" s="71">
        <f t="shared" si="30"/>
        <v>22.152062522643757</v>
      </c>
      <c r="S203" s="91">
        <v>-0.34571048557582318</v>
      </c>
      <c r="T203" s="91">
        <v>36.478015163786118</v>
      </c>
      <c r="U203" s="39" t="str">
        <f t="shared" si="31"/>
        <v>Normal</v>
      </c>
      <c r="V203" s="91">
        <v>-1.0602711218455207</v>
      </c>
      <c r="W203" s="91">
        <v>14.451063653919437</v>
      </c>
      <c r="X203" s="39" t="str">
        <f t="shared" si="24"/>
        <v>Normal</v>
      </c>
      <c r="Y203" s="116">
        <v>2.0155899285324494</v>
      </c>
      <c r="Z203" s="91">
        <v>97.807856309952882</v>
      </c>
      <c r="AA203" s="39" t="str">
        <f t="shared" si="25"/>
        <v>Obesidad</v>
      </c>
    </row>
    <row r="204" spans="1:27" ht="15.75" x14ac:dyDescent="0.25">
      <c r="A204" s="1">
        <f>A203+1</f>
        <v>201</v>
      </c>
      <c r="B204" s="73" t="s">
        <v>477</v>
      </c>
      <c r="C204" s="72">
        <v>5</v>
      </c>
      <c r="D204" s="1" t="s">
        <v>7</v>
      </c>
      <c r="E204" s="1">
        <v>2</v>
      </c>
      <c r="F204" s="2">
        <v>40844</v>
      </c>
      <c r="G204" s="68">
        <v>44463</v>
      </c>
      <c r="H204" s="69">
        <f t="shared" si="26"/>
        <v>9</v>
      </c>
      <c r="I204" s="69">
        <f t="shared" si="27"/>
        <v>118</v>
      </c>
      <c r="J204" s="1">
        <v>31.5</v>
      </c>
      <c r="K204" s="1">
        <v>1.32</v>
      </c>
      <c r="L204" s="65">
        <f t="shared" si="28"/>
        <v>132</v>
      </c>
      <c r="M204" s="1">
        <f>110-40</f>
        <v>70</v>
      </c>
      <c r="N204" s="70">
        <f t="shared" si="29"/>
        <v>46.969696969696969</v>
      </c>
      <c r="O204" s="65">
        <v>0</v>
      </c>
      <c r="P204" s="65">
        <v>0</v>
      </c>
      <c r="Q204" s="71">
        <f t="shared" si="30"/>
        <v>18.078512396694212</v>
      </c>
      <c r="S204" s="91">
        <v>-0.88146904586085129</v>
      </c>
      <c r="T204" s="91">
        <v>18.903200041444236</v>
      </c>
      <c r="U204" s="39" t="str">
        <f t="shared" si="31"/>
        <v>Normal</v>
      </c>
      <c r="V204" s="91">
        <v>-0.95564290281123199</v>
      </c>
      <c r="W204" s="91">
        <v>16.962633913798147</v>
      </c>
      <c r="X204" s="39" t="str">
        <f t="shared" si="24"/>
        <v>Normal</v>
      </c>
      <c r="Y204" s="116">
        <v>0.68999833417065337</v>
      </c>
      <c r="Z204" s="91">
        <v>75.490238253590775</v>
      </c>
      <c r="AA204" s="39" t="str">
        <f t="shared" si="25"/>
        <v>Normal</v>
      </c>
    </row>
    <row r="205" spans="1:27" ht="15.75" x14ac:dyDescent="0.25">
      <c r="A205" s="1">
        <f t="shared" ref="A205:A267" si="32">A204+1</f>
        <v>202</v>
      </c>
      <c r="B205" s="73" t="s">
        <v>478</v>
      </c>
      <c r="C205" s="72">
        <v>5</v>
      </c>
      <c r="D205" s="1" t="s">
        <v>7</v>
      </c>
      <c r="E205" s="1">
        <v>1</v>
      </c>
      <c r="F205" s="2">
        <v>40648</v>
      </c>
      <c r="G205" s="68">
        <v>44463</v>
      </c>
      <c r="H205" s="69">
        <f t="shared" si="26"/>
        <v>10</v>
      </c>
      <c r="I205" s="69">
        <f t="shared" si="27"/>
        <v>125</v>
      </c>
      <c r="J205" s="1">
        <v>56.5</v>
      </c>
      <c r="K205" s="1">
        <v>1.53</v>
      </c>
      <c r="L205" s="65">
        <f t="shared" si="28"/>
        <v>153</v>
      </c>
      <c r="M205" s="1">
        <f>115.1-40</f>
        <v>75.099999999999994</v>
      </c>
      <c r="N205" s="70">
        <f t="shared" si="29"/>
        <v>50.915032679738573</v>
      </c>
      <c r="O205" s="65">
        <v>0</v>
      </c>
      <c r="P205" s="65">
        <v>0</v>
      </c>
      <c r="Q205" s="71">
        <f t="shared" si="30"/>
        <v>24.136016062198301</v>
      </c>
      <c r="S205" s="91">
        <v>1.9999215299836914</v>
      </c>
      <c r="T205" s="91">
        <v>97.724563104733321</v>
      </c>
      <c r="U205" s="39" t="str">
        <f t="shared" si="31"/>
        <v>Alto</v>
      </c>
      <c r="V205" s="91">
        <v>1.4845448908504781</v>
      </c>
      <c r="W205" s="91">
        <v>93.11677884263041</v>
      </c>
      <c r="X205" s="39" t="str">
        <f t="shared" si="24"/>
        <v>Normal</v>
      </c>
      <c r="Y205" s="116">
        <v>2.5293665780513259</v>
      </c>
      <c r="Z205" s="91">
        <v>99.428656948773792</v>
      </c>
      <c r="AA205" s="39" t="str">
        <f t="shared" si="25"/>
        <v>Obesidad</v>
      </c>
    </row>
    <row r="206" spans="1:27" s="1" customFormat="1" ht="15.75" x14ac:dyDescent="0.25">
      <c r="A206" s="1">
        <f t="shared" si="32"/>
        <v>203</v>
      </c>
      <c r="B206" s="73" t="s">
        <v>479</v>
      </c>
      <c r="C206" s="72">
        <v>5</v>
      </c>
      <c r="D206" s="1" t="s">
        <v>7</v>
      </c>
      <c r="E206" s="1">
        <v>1</v>
      </c>
      <c r="F206" s="2">
        <v>40815</v>
      </c>
      <c r="G206" s="68">
        <v>44463</v>
      </c>
      <c r="H206" s="69">
        <f t="shared" si="26"/>
        <v>9</v>
      </c>
      <c r="I206" s="69">
        <f t="shared" si="27"/>
        <v>119</v>
      </c>
      <c r="J206" s="1">
        <v>34</v>
      </c>
      <c r="K206" s="1">
        <v>1.42</v>
      </c>
      <c r="L206" s="65">
        <f t="shared" si="28"/>
        <v>142</v>
      </c>
      <c r="M206" s="1">
        <f>115.6-40</f>
        <v>75.599999999999994</v>
      </c>
      <c r="N206" s="70">
        <f t="shared" si="29"/>
        <v>46.760563380281695</v>
      </c>
      <c r="O206" s="65">
        <v>0</v>
      </c>
      <c r="P206" s="65">
        <v>0</v>
      </c>
      <c r="Q206" s="71">
        <f t="shared" si="30"/>
        <v>16.861733782979567</v>
      </c>
      <c r="S206" s="91">
        <v>0.73337704375687496</v>
      </c>
      <c r="T206" s="91">
        <v>76.833575171348087</v>
      </c>
      <c r="U206" s="39" t="str">
        <f t="shared" si="31"/>
        <v>Normal</v>
      </c>
      <c r="V206" s="91">
        <v>-0.98781536401036263</v>
      </c>
      <c r="W206" s="91">
        <v>16.16215408189969</v>
      </c>
      <c r="X206" s="39" t="str">
        <f t="shared" si="24"/>
        <v>Normal</v>
      </c>
      <c r="Y206" s="116">
        <v>0.25403777615780299</v>
      </c>
      <c r="Z206" s="91">
        <v>60.026681299977348</v>
      </c>
      <c r="AA206" s="39" t="str">
        <f t="shared" si="25"/>
        <v>Normal</v>
      </c>
    </row>
    <row r="207" spans="1:27" s="1" customFormat="1" ht="15.75" x14ac:dyDescent="0.25">
      <c r="A207" s="1">
        <f t="shared" si="32"/>
        <v>204</v>
      </c>
      <c r="B207" s="4" t="s">
        <v>480</v>
      </c>
      <c r="C207" s="72">
        <v>5</v>
      </c>
      <c r="D207" s="1" t="s">
        <v>7</v>
      </c>
      <c r="E207" s="1">
        <v>2</v>
      </c>
      <c r="F207" s="2">
        <v>40683</v>
      </c>
      <c r="G207" s="68">
        <v>44463</v>
      </c>
      <c r="H207" s="69">
        <f t="shared" si="26"/>
        <v>10</v>
      </c>
      <c r="I207" s="69">
        <f t="shared" si="27"/>
        <v>124</v>
      </c>
      <c r="J207" s="1">
        <v>65</v>
      </c>
      <c r="K207" s="1">
        <v>1.5</v>
      </c>
      <c r="L207" s="65">
        <f t="shared" si="28"/>
        <v>150</v>
      </c>
      <c r="M207" s="1">
        <f>117.7-40</f>
        <v>77.7</v>
      </c>
      <c r="N207" s="70">
        <f t="shared" si="29"/>
        <v>48.199999999999996</v>
      </c>
      <c r="O207" s="65">
        <v>0</v>
      </c>
      <c r="P207" s="65">
        <v>0</v>
      </c>
      <c r="Q207" s="71">
        <f t="shared" si="30"/>
        <v>28.888888888888889</v>
      </c>
      <c r="S207" s="91">
        <v>1.4295847735218947</v>
      </c>
      <c r="T207" s="91">
        <v>92.358188588179047</v>
      </c>
      <c r="U207" s="39" t="str">
        <f t="shared" si="31"/>
        <v>Normal</v>
      </c>
      <c r="V207" s="91">
        <v>-0.23345827635846883</v>
      </c>
      <c r="W207" s="91">
        <v>40.770278253951361</v>
      </c>
      <c r="X207" s="39" t="str">
        <f t="shared" si="24"/>
        <v>Normal</v>
      </c>
      <c r="Y207" s="116">
        <v>2.9877972428181754</v>
      </c>
      <c r="Z207" s="91">
        <v>99.859502048521236</v>
      </c>
      <c r="AA207" s="39" t="str">
        <f t="shared" si="25"/>
        <v>Obesidad</v>
      </c>
    </row>
    <row r="208" spans="1:27" s="1" customFormat="1" ht="15.75" x14ac:dyDescent="0.25">
      <c r="A208" s="1">
        <f t="shared" si="32"/>
        <v>205</v>
      </c>
      <c r="B208" s="4" t="s">
        <v>481</v>
      </c>
      <c r="C208" s="72">
        <v>5</v>
      </c>
      <c r="D208" s="1" t="s">
        <v>7</v>
      </c>
      <c r="E208" s="1">
        <v>1</v>
      </c>
      <c r="F208" s="2">
        <v>40701</v>
      </c>
      <c r="G208" s="68">
        <v>44463</v>
      </c>
      <c r="H208" s="69">
        <f t="shared" si="26"/>
        <v>10</v>
      </c>
      <c r="I208" s="69">
        <f t="shared" si="27"/>
        <v>123</v>
      </c>
      <c r="J208" s="1">
        <v>39.6</v>
      </c>
      <c r="K208" s="1">
        <f>1.39</f>
        <v>1.39</v>
      </c>
      <c r="L208" s="65">
        <f t="shared" si="28"/>
        <v>139</v>
      </c>
      <c r="M208" s="1">
        <f>112.5-40</f>
        <v>72.5</v>
      </c>
      <c r="N208" s="70">
        <f t="shared" si="29"/>
        <v>47.841726618705039</v>
      </c>
      <c r="O208" s="65">
        <v>0</v>
      </c>
      <c r="P208" s="65">
        <v>0</v>
      </c>
      <c r="Q208" s="71">
        <f t="shared" si="30"/>
        <v>20.495833548988152</v>
      </c>
      <c r="S208" s="91">
        <v>-1.2331670265869173E-2</v>
      </c>
      <c r="T208" s="91">
        <v>49.508050002809348</v>
      </c>
      <c r="U208" s="39" t="str">
        <f t="shared" si="31"/>
        <v>Normal</v>
      </c>
      <c r="V208" s="91">
        <v>-0.52094588010323895</v>
      </c>
      <c r="W208" s="91">
        <v>30.120223651490925</v>
      </c>
      <c r="X208" s="39" t="str">
        <f t="shared" si="24"/>
        <v>Normal</v>
      </c>
      <c r="Y208" s="116">
        <v>1.6635734745181661</v>
      </c>
      <c r="Z208" s="91">
        <v>95.190115179941984</v>
      </c>
      <c r="AA208" s="39" t="str">
        <f t="shared" si="25"/>
        <v>Obesidad</v>
      </c>
    </row>
    <row r="209" spans="1:27" s="1" customFormat="1" ht="15.75" x14ac:dyDescent="0.25">
      <c r="A209" s="1">
        <f t="shared" si="32"/>
        <v>206</v>
      </c>
      <c r="B209" s="4" t="s">
        <v>482</v>
      </c>
      <c r="C209" s="72">
        <v>5</v>
      </c>
      <c r="D209" s="1" t="s">
        <v>7</v>
      </c>
      <c r="E209" s="1">
        <v>1</v>
      </c>
      <c r="F209" s="2">
        <v>40833</v>
      </c>
      <c r="G209" s="68">
        <v>44463</v>
      </c>
      <c r="H209" s="69">
        <f t="shared" si="26"/>
        <v>9</v>
      </c>
      <c r="I209" s="69">
        <f t="shared" si="27"/>
        <v>119</v>
      </c>
      <c r="J209" s="1">
        <v>60</v>
      </c>
      <c r="K209" s="1">
        <v>1.42</v>
      </c>
      <c r="L209" s="65">
        <f t="shared" si="28"/>
        <v>142</v>
      </c>
      <c r="M209" s="1">
        <f>113.7-40</f>
        <v>73.7</v>
      </c>
      <c r="N209" s="70">
        <f t="shared" si="29"/>
        <v>48.098591549295769</v>
      </c>
      <c r="O209" s="65">
        <v>0</v>
      </c>
      <c r="P209" s="65">
        <v>0</v>
      </c>
      <c r="Q209" s="71">
        <f t="shared" si="30"/>
        <v>29.756000793493357</v>
      </c>
      <c r="S209" s="91">
        <v>0.73337704375687496</v>
      </c>
      <c r="T209" s="91">
        <v>76.833575171348087</v>
      </c>
      <c r="U209" s="39" t="str">
        <f t="shared" si="31"/>
        <v>Normal</v>
      </c>
      <c r="V209" s="91">
        <v>-0.10470927220229585</v>
      </c>
      <c r="W209" s="91">
        <v>45.830325212917884</v>
      </c>
      <c r="X209" s="39" t="str">
        <f t="shared" si="24"/>
        <v>Normal</v>
      </c>
      <c r="Y209" s="116">
        <v>3.5286774313294273</v>
      </c>
      <c r="Z209" s="91">
        <v>99.979117906687591</v>
      </c>
      <c r="AA209" s="39" t="str">
        <f t="shared" si="25"/>
        <v>Obesidad</v>
      </c>
    </row>
    <row r="210" spans="1:27" s="1" customFormat="1" ht="15.75" x14ac:dyDescent="0.25">
      <c r="A210" s="1">
        <f t="shared" si="32"/>
        <v>207</v>
      </c>
      <c r="B210" s="4" t="s">
        <v>483</v>
      </c>
      <c r="C210" s="72">
        <v>5</v>
      </c>
      <c r="D210" s="1" t="s">
        <v>7</v>
      </c>
      <c r="E210" s="1">
        <v>1</v>
      </c>
      <c r="F210" s="2">
        <v>40679</v>
      </c>
      <c r="G210" s="68">
        <v>44463</v>
      </c>
      <c r="H210" s="69">
        <f t="shared" si="26"/>
        <v>10</v>
      </c>
      <c r="I210" s="69">
        <f t="shared" si="27"/>
        <v>124</v>
      </c>
      <c r="J210" s="1">
        <v>42.4</v>
      </c>
      <c r="K210" s="1">
        <v>1.45</v>
      </c>
      <c r="L210" s="65">
        <f t="shared" si="28"/>
        <v>145</v>
      </c>
      <c r="M210" s="1">
        <f>114.3-40</f>
        <v>74.3</v>
      </c>
      <c r="N210" s="70">
        <f t="shared" si="29"/>
        <v>48.758620689655174</v>
      </c>
      <c r="O210" s="65">
        <v>0</v>
      </c>
      <c r="P210" s="65">
        <v>0</v>
      </c>
      <c r="Q210" s="71">
        <f t="shared" si="30"/>
        <v>20.166468489892985</v>
      </c>
      <c r="S210" s="91">
        <v>0.84462418281424223</v>
      </c>
      <c r="T210" s="91">
        <v>80.0839648685497</v>
      </c>
      <c r="U210" s="39" t="str">
        <f t="shared" si="31"/>
        <v>Normal</v>
      </c>
      <c r="V210" s="91">
        <v>9.1827646370737731E-2</v>
      </c>
      <c r="W210" s="91">
        <v>53.658251088501139</v>
      </c>
      <c r="X210" s="39" t="str">
        <f t="shared" si="24"/>
        <v>Normal</v>
      </c>
      <c r="Y210" s="116">
        <v>1.535295433371711</v>
      </c>
      <c r="Z210" s="91">
        <v>93.764436231407714</v>
      </c>
      <c r="AA210" s="39" t="str">
        <f t="shared" si="25"/>
        <v>Obesidad</v>
      </c>
    </row>
    <row r="211" spans="1:27" s="1" customFormat="1" ht="15.75" x14ac:dyDescent="0.25">
      <c r="A211" s="1">
        <f t="shared" si="32"/>
        <v>208</v>
      </c>
      <c r="B211" s="4" t="s">
        <v>484</v>
      </c>
      <c r="C211" s="72">
        <v>5</v>
      </c>
      <c r="D211" s="1" t="s">
        <v>7</v>
      </c>
      <c r="E211" s="1">
        <v>1</v>
      </c>
      <c r="F211" s="2">
        <v>40704</v>
      </c>
      <c r="G211" s="68">
        <v>44463</v>
      </c>
      <c r="H211" s="69">
        <f t="shared" si="26"/>
        <v>10</v>
      </c>
      <c r="I211" s="69">
        <f t="shared" si="27"/>
        <v>123</v>
      </c>
      <c r="J211" s="1">
        <v>43.7</v>
      </c>
      <c r="K211" s="1">
        <v>1.43</v>
      </c>
      <c r="L211" s="65">
        <f t="shared" si="28"/>
        <v>143</v>
      </c>
      <c r="M211" s="1">
        <f>117-40</f>
        <v>77</v>
      </c>
      <c r="N211" s="70">
        <f t="shared" si="29"/>
        <v>46.153846153846153</v>
      </c>
      <c r="O211" s="65">
        <v>0</v>
      </c>
      <c r="P211" s="65">
        <v>0</v>
      </c>
      <c r="Q211" s="71">
        <f t="shared" si="30"/>
        <v>21.370238153454942</v>
      </c>
      <c r="S211" s="91">
        <v>0.60657273454561511</v>
      </c>
      <c r="T211" s="91">
        <v>72.793275038249035</v>
      </c>
      <c r="U211" s="39" t="str">
        <f t="shared" si="31"/>
        <v>Normal</v>
      </c>
      <c r="V211" s="91">
        <v>-1.6834018970805371</v>
      </c>
      <c r="W211" s="91">
        <v>4.6148658136444007</v>
      </c>
      <c r="X211" s="39" t="str">
        <f t="shared" si="24"/>
        <v>Piernas cortas</v>
      </c>
      <c r="Y211" s="116">
        <v>1.9224130449687769</v>
      </c>
      <c r="Z211" s="91">
        <v>97.272309727891866</v>
      </c>
      <c r="AA211" s="39" t="str">
        <f t="shared" si="25"/>
        <v>Obesidad</v>
      </c>
    </row>
    <row r="212" spans="1:27" s="1" customFormat="1" ht="15.75" x14ac:dyDescent="0.25">
      <c r="A212" s="1">
        <f t="shared" si="32"/>
        <v>209</v>
      </c>
      <c r="B212" s="4" t="s">
        <v>485</v>
      </c>
      <c r="C212" s="72">
        <v>5</v>
      </c>
      <c r="D212" s="1" t="s">
        <v>26</v>
      </c>
      <c r="E212" s="1">
        <v>2</v>
      </c>
      <c r="F212" s="2">
        <v>40733</v>
      </c>
      <c r="G212" s="68">
        <v>44463</v>
      </c>
      <c r="H212" s="69">
        <f t="shared" si="26"/>
        <v>10</v>
      </c>
      <c r="I212" s="69">
        <f t="shared" si="27"/>
        <v>122</v>
      </c>
      <c r="J212" s="1">
        <v>37.799999999999997</v>
      </c>
      <c r="K212" s="1">
        <v>1.45</v>
      </c>
      <c r="L212" s="65">
        <f t="shared" si="28"/>
        <v>145</v>
      </c>
      <c r="M212" s="1">
        <f>117.4-40</f>
        <v>77.400000000000006</v>
      </c>
      <c r="N212" s="70">
        <f t="shared" si="29"/>
        <v>46.620689655172413</v>
      </c>
      <c r="O212" s="65">
        <v>0</v>
      </c>
      <c r="P212" s="65">
        <v>0</v>
      </c>
      <c r="Q212" s="71">
        <f t="shared" si="30"/>
        <v>17.978596908442327</v>
      </c>
      <c r="S212" s="91">
        <v>0.82595590033967692</v>
      </c>
      <c r="T212" s="91">
        <v>79.558544577952389</v>
      </c>
      <c r="U212" s="39" t="str">
        <f t="shared" si="31"/>
        <v>Normal</v>
      </c>
      <c r="V212" s="91">
        <v>-1.3101186382900611</v>
      </c>
      <c r="W212" s="91">
        <v>9.5077852072112563</v>
      </c>
      <c r="X212" s="39" t="str">
        <f t="shared" si="24"/>
        <v>Normal</v>
      </c>
      <c r="Y212" s="116">
        <v>0.55990664300025872</v>
      </c>
      <c r="Z212" s="91">
        <v>71.222844130713341</v>
      </c>
      <c r="AA212" s="39" t="str">
        <f t="shared" si="25"/>
        <v>Normal</v>
      </c>
    </row>
    <row r="213" spans="1:27" s="1" customFormat="1" ht="15.75" x14ac:dyDescent="0.25">
      <c r="A213" s="1">
        <f t="shared" si="32"/>
        <v>210</v>
      </c>
      <c r="B213" s="4" t="s">
        <v>486</v>
      </c>
      <c r="C213" s="72">
        <v>5</v>
      </c>
      <c r="D213" s="1" t="s">
        <v>26</v>
      </c>
      <c r="E213" s="1">
        <v>2</v>
      </c>
      <c r="F213" s="2">
        <v>40845</v>
      </c>
      <c r="G213" s="68">
        <v>44463</v>
      </c>
      <c r="H213" s="69">
        <f t="shared" si="26"/>
        <v>9</v>
      </c>
      <c r="I213" s="69">
        <f t="shared" si="27"/>
        <v>118</v>
      </c>
      <c r="J213" s="1">
        <v>60.9</v>
      </c>
      <c r="K213" s="1">
        <v>1.46</v>
      </c>
      <c r="L213" s="65">
        <f t="shared" si="28"/>
        <v>146</v>
      </c>
      <c r="M213" s="1">
        <f>120.5-40</f>
        <v>80.5</v>
      </c>
      <c r="N213" s="70">
        <f t="shared" si="29"/>
        <v>44.863013698630141</v>
      </c>
      <c r="O213" s="65">
        <v>0</v>
      </c>
      <c r="P213" s="65">
        <v>0</v>
      </c>
      <c r="Q213" s="71">
        <f t="shared" si="30"/>
        <v>28.570088196659789</v>
      </c>
      <c r="S213" s="91">
        <v>1.3227152544324101</v>
      </c>
      <c r="T213" s="91">
        <v>90.703495566081997</v>
      </c>
      <c r="U213" s="39" t="str">
        <f t="shared" si="31"/>
        <v>Normal</v>
      </c>
      <c r="V213" s="91">
        <v>-2.4432419887119763</v>
      </c>
      <c r="W213" s="91">
        <v>0.72779867507194396</v>
      </c>
      <c r="X213" s="39" t="str">
        <f t="shared" si="24"/>
        <v>Piernas cortas</v>
      </c>
      <c r="Y213" s="116">
        <v>3.0646468021759334</v>
      </c>
      <c r="Z213" s="91">
        <v>99.891036403755777</v>
      </c>
      <c r="AA213" s="39" t="str">
        <f t="shared" si="25"/>
        <v>Obesidad</v>
      </c>
    </row>
    <row r="214" spans="1:27" s="1" customFormat="1" ht="15.75" x14ac:dyDescent="0.25">
      <c r="A214" s="1">
        <f t="shared" si="32"/>
        <v>211</v>
      </c>
      <c r="B214" s="4" t="s">
        <v>487</v>
      </c>
      <c r="C214" s="72">
        <v>5</v>
      </c>
      <c r="D214" s="1" t="s">
        <v>26</v>
      </c>
      <c r="E214" s="1">
        <v>2</v>
      </c>
      <c r="F214" s="2">
        <v>40835</v>
      </c>
      <c r="G214" s="68">
        <v>44463</v>
      </c>
      <c r="H214" s="69">
        <f t="shared" si="26"/>
        <v>9</v>
      </c>
      <c r="I214" s="69">
        <f t="shared" si="27"/>
        <v>119</v>
      </c>
      <c r="J214" s="1">
        <v>43</v>
      </c>
      <c r="K214" s="1">
        <v>1.39</v>
      </c>
      <c r="L214" s="65">
        <f t="shared" si="28"/>
        <v>139</v>
      </c>
      <c r="M214" s="1">
        <f>114-40</f>
        <v>74</v>
      </c>
      <c r="N214" s="70">
        <f t="shared" si="29"/>
        <v>46.762589928057551</v>
      </c>
      <c r="O214" s="65">
        <v>0</v>
      </c>
      <c r="P214" s="65">
        <v>0</v>
      </c>
      <c r="Q214" s="71">
        <f t="shared" si="30"/>
        <v>22.255576833497233</v>
      </c>
      <c r="S214" s="91">
        <v>0.13857673725772285</v>
      </c>
      <c r="T214" s="91">
        <v>55.510768655073818</v>
      </c>
      <c r="U214" s="39" t="str">
        <f t="shared" si="31"/>
        <v>Normal</v>
      </c>
      <c r="V214" s="91">
        <v>-1.0986209805056606</v>
      </c>
      <c r="W214" s="91">
        <v>13.596671122391568</v>
      </c>
      <c r="X214" s="39" t="str">
        <f t="shared" si="24"/>
        <v>Normal</v>
      </c>
      <c r="Y214" s="116">
        <v>1.9478433019977459</v>
      </c>
      <c r="Z214" s="91">
        <v>97.428314214979522</v>
      </c>
      <c r="AA214" s="39" t="str">
        <f t="shared" si="25"/>
        <v>Obesidad</v>
      </c>
    </row>
    <row r="215" spans="1:27" s="1" customFormat="1" ht="15.75" x14ac:dyDescent="0.25">
      <c r="A215" s="1">
        <f t="shared" si="32"/>
        <v>212</v>
      </c>
      <c r="B215" s="4" t="s">
        <v>488</v>
      </c>
      <c r="C215" s="72">
        <v>5</v>
      </c>
      <c r="D215" s="1" t="s">
        <v>26</v>
      </c>
      <c r="E215" s="1">
        <v>1</v>
      </c>
      <c r="F215" s="2">
        <v>40647</v>
      </c>
      <c r="G215" s="68">
        <v>44463</v>
      </c>
      <c r="H215" s="69">
        <f t="shared" si="26"/>
        <v>10</v>
      </c>
      <c r="I215" s="69">
        <f t="shared" si="27"/>
        <v>125</v>
      </c>
      <c r="J215" s="1">
        <v>28.3</v>
      </c>
      <c r="K215" s="1">
        <v>1.41</v>
      </c>
      <c r="L215" s="65">
        <f t="shared" si="28"/>
        <v>141</v>
      </c>
      <c r="M215" s="1">
        <f>113-40</f>
        <v>73</v>
      </c>
      <c r="N215" s="70">
        <f t="shared" si="29"/>
        <v>48.226950354609926</v>
      </c>
      <c r="O215" s="65">
        <v>0</v>
      </c>
      <c r="P215" s="65">
        <v>0</v>
      </c>
      <c r="Q215" s="71">
        <f t="shared" si="30"/>
        <v>14.234696443840855</v>
      </c>
      <c r="S215" s="91">
        <v>0.16034937301570598</v>
      </c>
      <c r="T215" s="91">
        <v>56.369706601988433</v>
      </c>
      <c r="U215" s="39" t="str">
        <f t="shared" si="31"/>
        <v>Normal</v>
      </c>
      <c r="V215" s="91">
        <v>-0.26194011847677251</v>
      </c>
      <c r="W215" s="91">
        <v>39.668380453058248</v>
      </c>
      <c r="X215" s="39" t="str">
        <f t="shared" si="24"/>
        <v>Normal</v>
      </c>
      <c r="Y215" s="116">
        <v>-1.6660277154431253</v>
      </c>
      <c r="Z215" s="91">
        <v>4.7853947163719148</v>
      </c>
      <c r="AA215" s="39" t="str">
        <f t="shared" si="25"/>
        <v>Desnutricion</v>
      </c>
    </row>
    <row r="216" spans="1:27" s="1" customFormat="1" ht="15.75" x14ac:dyDescent="0.25">
      <c r="A216" s="1">
        <f t="shared" si="32"/>
        <v>213</v>
      </c>
      <c r="B216" s="4" t="s">
        <v>489</v>
      </c>
      <c r="C216" s="72">
        <v>5</v>
      </c>
      <c r="D216" s="1" t="s">
        <v>26</v>
      </c>
      <c r="E216" s="1">
        <v>1</v>
      </c>
      <c r="F216" s="2">
        <v>40663</v>
      </c>
      <c r="G216" s="68">
        <v>44463</v>
      </c>
      <c r="H216" s="69">
        <f t="shared" si="26"/>
        <v>10</v>
      </c>
      <c r="I216" s="69">
        <f t="shared" si="27"/>
        <v>124</v>
      </c>
      <c r="J216" s="1">
        <v>37.700000000000003</v>
      </c>
      <c r="K216" s="1">
        <v>1.45</v>
      </c>
      <c r="L216" s="65">
        <f t="shared" si="28"/>
        <v>145</v>
      </c>
      <c r="M216" s="1">
        <f>115.4-40</f>
        <v>75.400000000000006</v>
      </c>
      <c r="N216" s="70">
        <f t="shared" si="29"/>
        <v>48</v>
      </c>
      <c r="O216" s="65">
        <v>0</v>
      </c>
      <c r="P216" s="65">
        <v>0</v>
      </c>
      <c r="Q216" s="71">
        <f t="shared" si="30"/>
        <v>17.931034482758623</v>
      </c>
      <c r="S216" s="91">
        <v>0.84462418281424223</v>
      </c>
      <c r="T216" s="91">
        <v>80.0839648685497</v>
      </c>
      <c r="U216" s="39" t="str">
        <f t="shared" si="31"/>
        <v>Normal</v>
      </c>
      <c r="V216" s="91">
        <v>-0.4142547739454146</v>
      </c>
      <c r="W216" s="91">
        <v>33.93437657990831</v>
      </c>
      <c r="X216" s="39" t="str">
        <f t="shared" si="24"/>
        <v>Normal</v>
      </c>
      <c r="Y216" s="116">
        <v>0.67287950494094828</v>
      </c>
      <c r="Z216" s="91">
        <v>74.948802402616337</v>
      </c>
      <c r="AA216" s="39" t="str">
        <f t="shared" si="25"/>
        <v>Normal</v>
      </c>
    </row>
    <row r="217" spans="1:27" s="1" customFormat="1" ht="15.75" x14ac:dyDescent="0.25">
      <c r="A217" s="1">
        <f t="shared" si="32"/>
        <v>214</v>
      </c>
      <c r="B217" s="4" t="s">
        <v>490</v>
      </c>
      <c r="C217" s="72">
        <v>5</v>
      </c>
      <c r="D217" s="1" t="s">
        <v>26</v>
      </c>
      <c r="E217" s="1">
        <v>1</v>
      </c>
      <c r="F217" s="2">
        <v>40637</v>
      </c>
      <c r="G217" s="68">
        <v>44463</v>
      </c>
      <c r="H217" s="69">
        <f t="shared" si="26"/>
        <v>10</v>
      </c>
      <c r="I217" s="69">
        <f t="shared" si="27"/>
        <v>125</v>
      </c>
      <c r="J217" s="1">
        <v>36.799999999999997</v>
      </c>
      <c r="K217" s="1">
        <v>1.44</v>
      </c>
      <c r="L217" s="65">
        <f t="shared" si="28"/>
        <v>144</v>
      </c>
      <c r="M217" s="1">
        <f>115.6-40</f>
        <v>75.599999999999994</v>
      </c>
      <c r="N217" s="70">
        <f t="shared" si="29"/>
        <v>47.5</v>
      </c>
      <c r="O217" s="65">
        <v>0</v>
      </c>
      <c r="P217" s="65">
        <v>0</v>
      </c>
      <c r="Q217" s="71">
        <f t="shared" si="30"/>
        <v>17.746913580246915</v>
      </c>
      <c r="S217" s="91">
        <v>0.62024241225770349</v>
      </c>
      <c r="T217" s="91">
        <v>73.245089876100494</v>
      </c>
      <c r="U217" s="39" t="str">
        <f t="shared" si="31"/>
        <v>Normal</v>
      </c>
      <c r="V217" s="91">
        <v>-0.75262738571278742</v>
      </c>
      <c r="W217" s="91">
        <v>22.583692813666893</v>
      </c>
      <c r="X217" s="39" t="str">
        <f t="shared" si="24"/>
        <v>Normal</v>
      </c>
      <c r="Y217" s="116">
        <v>0.56587744043092103</v>
      </c>
      <c r="Z217" s="91">
        <v>71.426145082874683</v>
      </c>
      <c r="AA217" s="39" t="str">
        <f t="shared" si="25"/>
        <v>Normal</v>
      </c>
    </row>
    <row r="218" spans="1:27" s="1" customFormat="1" ht="15.75" x14ac:dyDescent="0.25">
      <c r="A218" s="1">
        <f t="shared" si="32"/>
        <v>215</v>
      </c>
      <c r="B218" s="4" t="s">
        <v>491</v>
      </c>
      <c r="C218" s="72">
        <v>5</v>
      </c>
      <c r="D218" s="1" t="s">
        <v>26</v>
      </c>
      <c r="E218" s="1">
        <v>2</v>
      </c>
      <c r="F218" s="2">
        <v>40716</v>
      </c>
      <c r="G218" s="68">
        <v>44463</v>
      </c>
      <c r="H218" s="69">
        <f t="shared" si="26"/>
        <v>10</v>
      </c>
      <c r="I218" s="69">
        <f t="shared" si="27"/>
        <v>123</v>
      </c>
      <c r="J218" s="1">
        <v>42.9</v>
      </c>
      <c r="K218" s="1">
        <v>1.35</v>
      </c>
      <c r="L218" s="65">
        <f t="shared" si="28"/>
        <v>135</v>
      </c>
      <c r="M218" s="1">
        <f>112.2-40</f>
        <v>72.2</v>
      </c>
      <c r="N218" s="70">
        <f t="shared" si="29"/>
        <v>46.518518518518512</v>
      </c>
      <c r="O218" s="65">
        <v>0</v>
      </c>
      <c r="P218" s="65">
        <v>0</v>
      </c>
      <c r="Q218" s="71">
        <f t="shared" si="30"/>
        <v>23.539094650205758</v>
      </c>
      <c r="S218" s="91">
        <v>-0.80545724047494927</v>
      </c>
      <c r="T218" s="91">
        <v>21.027793589766226</v>
      </c>
      <c r="U218" s="39" t="str">
        <f t="shared" si="31"/>
        <v>Normal</v>
      </c>
      <c r="V218" s="91">
        <v>-1.3811203279661182</v>
      </c>
      <c r="W218" s="91">
        <v>8.3620983137205442</v>
      </c>
      <c r="X218" s="39" t="str">
        <f t="shared" si="24"/>
        <v>Normal</v>
      </c>
      <c r="Y218" s="116">
        <v>2.1479790142328929</v>
      </c>
      <c r="Z218" s="91">
        <v>98.414228868771829</v>
      </c>
      <c r="AA218" s="39" t="str">
        <f t="shared" si="25"/>
        <v>Obesidad</v>
      </c>
    </row>
    <row r="219" spans="1:27" s="1" customFormat="1" ht="15.75" x14ac:dyDescent="0.25">
      <c r="A219" s="1">
        <f t="shared" si="32"/>
        <v>216</v>
      </c>
      <c r="B219" s="4" t="s">
        <v>492</v>
      </c>
      <c r="C219" s="72">
        <v>5</v>
      </c>
      <c r="D219" s="1" t="s">
        <v>26</v>
      </c>
      <c r="E219" s="1">
        <v>1</v>
      </c>
      <c r="F219" s="2">
        <v>40676</v>
      </c>
      <c r="G219" s="68">
        <v>44463</v>
      </c>
      <c r="H219" s="69">
        <f t="shared" si="26"/>
        <v>10</v>
      </c>
      <c r="I219" s="69">
        <f t="shared" si="27"/>
        <v>124</v>
      </c>
      <c r="J219" s="1">
        <v>30.6</v>
      </c>
      <c r="K219" s="1">
        <v>1.38</v>
      </c>
      <c r="L219" s="65">
        <f t="shared" si="28"/>
        <v>138</v>
      </c>
      <c r="M219" s="1">
        <f>112.8-40</f>
        <v>72.8</v>
      </c>
      <c r="N219" s="70">
        <f t="shared" si="29"/>
        <v>47.246376811594203</v>
      </c>
      <c r="O219" s="65">
        <v>0</v>
      </c>
      <c r="P219" s="65">
        <v>0</v>
      </c>
      <c r="Q219" s="71">
        <f t="shared" si="30"/>
        <v>16.068052930056716</v>
      </c>
      <c r="S219" s="91">
        <v>-0.23344906026582521</v>
      </c>
      <c r="T219" s="91">
        <v>40.770636039042309</v>
      </c>
      <c r="U219" s="39" t="str">
        <f t="shared" si="31"/>
        <v>Normal</v>
      </c>
      <c r="V219" s="91">
        <v>-0.92576169644794015</v>
      </c>
      <c r="W219" s="91">
        <v>17.728491853757866</v>
      </c>
      <c r="X219" s="39" t="str">
        <f t="shared" si="24"/>
        <v>Normal</v>
      </c>
      <c r="Y219" s="116">
        <v>-0.31064287544782754</v>
      </c>
      <c r="Z219" s="91">
        <v>37.803606436232386</v>
      </c>
      <c r="AA219" s="39" t="str">
        <f t="shared" si="25"/>
        <v>Normal</v>
      </c>
    </row>
    <row r="220" spans="1:27" s="1" customFormat="1" ht="15.75" x14ac:dyDescent="0.25">
      <c r="A220" s="1">
        <f t="shared" si="32"/>
        <v>217</v>
      </c>
      <c r="B220" s="4" t="s">
        <v>493</v>
      </c>
      <c r="C220" s="72">
        <v>5</v>
      </c>
      <c r="D220" s="1" t="s">
        <v>26</v>
      </c>
      <c r="E220" s="1">
        <v>2</v>
      </c>
      <c r="F220" s="2">
        <v>40794</v>
      </c>
      <c r="G220" s="68">
        <v>44463</v>
      </c>
      <c r="H220" s="1">
        <f t="shared" si="26"/>
        <v>10</v>
      </c>
      <c r="I220" s="69">
        <f t="shared" si="27"/>
        <v>120</v>
      </c>
      <c r="J220" s="1">
        <v>40.5</v>
      </c>
      <c r="K220" s="1">
        <v>1.41</v>
      </c>
      <c r="L220" s="65">
        <f t="shared" si="28"/>
        <v>141</v>
      </c>
      <c r="M220" s="1">
        <f>114-40</f>
        <v>74</v>
      </c>
      <c r="N220" s="70">
        <f t="shared" si="29"/>
        <v>47.5177304964539</v>
      </c>
      <c r="O220" s="65">
        <v>0</v>
      </c>
      <c r="P220" s="65">
        <v>0</v>
      </c>
      <c r="Q220" s="71">
        <f t="shared" si="30"/>
        <v>20.371208691715712</v>
      </c>
      <c r="S220" s="91">
        <v>0.36951987798720987</v>
      </c>
      <c r="T220" s="91">
        <v>64.41298702699585</v>
      </c>
      <c r="U220" s="39" t="str">
        <f t="shared" si="31"/>
        <v>Normal</v>
      </c>
      <c r="V220" s="91">
        <v>-0.69384590133724322</v>
      </c>
      <c r="W220" s="91">
        <v>24.388942660793205</v>
      </c>
      <c r="X220" s="39" t="str">
        <f t="shared" si="24"/>
        <v>Normal</v>
      </c>
      <c r="Y220" s="116">
        <v>1.429381741927239</v>
      </c>
      <c r="Z220" s="91">
        <v>92.355272839017104</v>
      </c>
      <c r="AA220" s="39" t="str">
        <f t="shared" si="25"/>
        <v>Obesidad</v>
      </c>
    </row>
    <row r="221" spans="1:27" s="1" customFormat="1" ht="15.75" x14ac:dyDescent="0.25">
      <c r="A221" s="1">
        <f t="shared" si="32"/>
        <v>218</v>
      </c>
      <c r="B221" s="4" t="s">
        <v>494</v>
      </c>
      <c r="C221" s="72">
        <v>5</v>
      </c>
      <c r="D221" s="1" t="s">
        <v>26</v>
      </c>
      <c r="E221" s="1">
        <v>2</v>
      </c>
      <c r="F221" s="2">
        <v>40595</v>
      </c>
      <c r="G221" s="68">
        <v>44463</v>
      </c>
      <c r="H221" s="1">
        <f t="shared" si="26"/>
        <v>10</v>
      </c>
      <c r="I221" s="69">
        <f t="shared" si="27"/>
        <v>127</v>
      </c>
      <c r="J221" s="1">
        <v>29.9</v>
      </c>
      <c r="K221" s="1">
        <v>1.4</v>
      </c>
      <c r="L221" s="65">
        <f t="shared" si="28"/>
        <v>140</v>
      </c>
      <c r="M221" s="1">
        <f>114.5-40</f>
        <v>74.5</v>
      </c>
      <c r="N221" s="70">
        <f t="shared" si="29"/>
        <v>46.785714285714285</v>
      </c>
      <c r="O221" s="65">
        <v>0</v>
      </c>
      <c r="P221" s="65">
        <v>0</v>
      </c>
      <c r="Q221" s="71">
        <f t="shared" si="30"/>
        <v>15.255102040816327</v>
      </c>
      <c r="S221" s="91">
        <v>-0.35446608633575755</v>
      </c>
      <c r="T221" s="91">
        <v>36.149480771114796</v>
      </c>
      <c r="U221" s="39" t="str">
        <f t="shared" si="31"/>
        <v>Normal</v>
      </c>
      <c r="V221" s="91">
        <v>-1.1957916355724962</v>
      </c>
      <c r="W221" s="91">
        <v>11.588894042401423</v>
      </c>
      <c r="X221" s="39" t="str">
        <f t="shared" si="24"/>
        <v>Normal</v>
      </c>
      <c r="Y221" s="116">
        <v>-0.91591758175984583</v>
      </c>
      <c r="Z221" s="91">
        <v>17.985506224691566</v>
      </c>
      <c r="AA221" s="39" t="str">
        <f t="shared" si="25"/>
        <v>Normal</v>
      </c>
    </row>
    <row r="222" spans="1:27" s="1" customFormat="1" ht="15.75" x14ac:dyDescent="0.25">
      <c r="A222" s="1">
        <f t="shared" si="32"/>
        <v>219</v>
      </c>
      <c r="B222" s="4" t="s">
        <v>495</v>
      </c>
      <c r="C222" s="72">
        <v>5</v>
      </c>
      <c r="D222" s="1" t="s">
        <v>26</v>
      </c>
      <c r="E222" s="1">
        <v>2</v>
      </c>
      <c r="F222" s="2">
        <v>40742</v>
      </c>
      <c r="G222" s="68">
        <v>44463</v>
      </c>
      <c r="H222" s="1">
        <f t="shared" si="26"/>
        <v>10</v>
      </c>
      <c r="I222" s="69">
        <f t="shared" si="27"/>
        <v>122</v>
      </c>
      <c r="J222" s="1">
        <v>38.700000000000003</v>
      </c>
      <c r="K222" s="1">
        <v>1.34</v>
      </c>
      <c r="L222" s="65">
        <f t="shared" si="28"/>
        <v>134</v>
      </c>
      <c r="M222" s="1">
        <f>110.8-40</f>
        <v>70.8</v>
      </c>
      <c r="N222" s="70">
        <f t="shared" si="29"/>
        <v>47.164179104477618</v>
      </c>
      <c r="O222" s="65">
        <v>0</v>
      </c>
      <c r="P222" s="65">
        <v>0</v>
      </c>
      <c r="Q222" s="71">
        <f t="shared" si="30"/>
        <v>21.552684339496544</v>
      </c>
      <c r="S222" s="91">
        <v>-0.88194396313691203</v>
      </c>
      <c r="T222" s="91">
        <v>18.890355565582556</v>
      </c>
      <c r="U222" s="39" t="str">
        <f t="shared" si="31"/>
        <v>Normal</v>
      </c>
      <c r="V222" s="91">
        <v>-0.9352288501001168</v>
      </c>
      <c r="W222" s="91">
        <v>17.483518676931993</v>
      </c>
      <c r="X222" s="39" t="str">
        <f t="shared" si="24"/>
        <v>Normal</v>
      </c>
      <c r="Y222" s="116">
        <v>1.7113012025348482</v>
      </c>
      <c r="Z222" s="91">
        <v>95.648723775393321</v>
      </c>
      <c r="AA222" s="39" t="str">
        <f t="shared" si="25"/>
        <v>Obesidad</v>
      </c>
    </row>
    <row r="223" spans="1:27" s="1" customFormat="1" ht="15.75" x14ac:dyDescent="0.25">
      <c r="A223" s="1">
        <f t="shared" si="32"/>
        <v>220</v>
      </c>
      <c r="B223" s="4" t="s">
        <v>496</v>
      </c>
      <c r="C223" s="72">
        <v>5</v>
      </c>
      <c r="D223" s="1" t="s">
        <v>26</v>
      </c>
      <c r="E223" s="1">
        <v>1</v>
      </c>
      <c r="F223" s="2">
        <v>40733</v>
      </c>
      <c r="G223" s="68">
        <v>44463</v>
      </c>
      <c r="H223" s="1">
        <f t="shared" si="26"/>
        <v>10</v>
      </c>
      <c r="I223" s="69">
        <f t="shared" si="27"/>
        <v>122</v>
      </c>
      <c r="J223" s="1">
        <v>34.1</v>
      </c>
      <c r="K223" s="1">
        <v>1.43</v>
      </c>
      <c r="L223" s="65">
        <f t="shared" si="28"/>
        <v>143</v>
      </c>
      <c r="M223" s="1">
        <f>115-40</f>
        <v>75</v>
      </c>
      <c r="N223" s="70">
        <f t="shared" si="29"/>
        <v>47.552447552447553</v>
      </c>
      <c r="O223" s="65">
        <v>0</v>
      </c>
      <c r="P223" s="65">
        <v>0</v>
      </c>
      <c r="Q223" s="71">
        <f t="shared" si="30"/>
        <v>16.675632060247448</v>
      </c>
      <c r="S223" s="91">
        <v>0.67693254635474009</v>
      </c>
      <c r="T223" s="91">
        <v>75.077562346938649</v>
      </c>
      <c r="U223" s="39" t="str">
        <f t="shared" si="31"/>
        <v>Normal</v>
      </c>
      <c r="V223" s="91">
        <v>-0.71695085726275543</v>
      </c>
      <c r="W223" s="91">
        <v>23.67022098954039</v>
      </c>
      <c r="X223" s="39" t="str">
        <f t="shared" si="24"/>
        <v>Normal</v>
      </c>
      <c r="Y223" s="116">
        <v>8.7923436463412288E-2</v>
      </c>
      <c r="Z223" s="91">
        <v>53.503123543321387</v>
      </c>
      <c r="AA223" s="39" t="str">
        <f t="shared" si="25"/>
        <v>Normal</v>
      </c>
    </row>
    <row r="224" spans="1:27" s="1" customFormat="1" ht="15.75" x14ac:dyDescent="0.25">
      <c r="A224" s="1">
        <f t="shared" si="32"/>
        <v>221</v>
      </c>
      <c r="B224" s="4" t="s">
        <v>497</v>
      </c>
      <c r="C224" s="72">
        <v>5</v>
      </c>
      <c r="D224" s="1" t="s">
        <v>26</v>
      </c>
      <c r="E224" s="1">
        <v>1</v>
      </c>
      <c r="F224" s="2">
        <v>40663</v>
      </c>
      <c r="G224" s="68">
        <v>44463</v>
      </c>
      <c r="H224" s="1">
        <f t="shared" si="26"/>
        <v>10</v>
      </c>
      <c r="I224" s="1">
        <f t="shared" si="27"/>
        <v>124</v>
      </c>
      <c r="J224" s="1">
        <v>38.6</v>
      </c>
      <c r="K224" s="1">
        <v>1.33</v>
      </c>
      <c r="L224" s="1">
        <f t="shared" si="28"/>
        <v>133</v>
      </c>
      <c r="M224" s="1">
        <f>110.6-40</f>
        <v>70.599999999999994</v>
      </c>
      <c r="N224" s="70">
        <f t="shared" si="29"/>
        <v>46.917293233082717</v>
      </c>
      <c r="O224" s="65">
        <v>0</v>
      </c>
      <c r="P224" s="65">
        <v>0</v>
      </c>
      <c r="Q224" s="71">
        <f t="shared" si="30"/>
        <v>21.821470970659732</v>
      </c>
      <c r="S224" s="91">
        <v>-1.0035013767515883</v>
      </c>
      <c r="T224" s="91">
        <v>15.780950649591672</v>
      </c>
      <c r="U224" s="39" t="str">
        <f t="shared" si="31"/>
        <v>Normal</v>
      </c>
      <c r="V224" s="91">
        <v>-1.1519336102295779</v>
      </c>
      <c r="W224" s="91">
        <v>12.46741778106526</v>
      </c>
      <c r="X224" s="39" t="str">
        <f t="shared" si="24"/>
        <v>Normal</v>
      </c>
      <c r="Y224" s="116">
        <v>2.0217802128910081</v>
      </c>
      <c r="Z224" s="91">
        <v>97.840046858280814</v>
      </c>
      <c r="AA224" s="39" t="str">
        <f t="shared" si="25"/>
        <v>Obesidad</v>
      </c>
    </row>
    <row r="225" spans="1:27" s="1" customFormat="1" ht="15.75" x14ac:dyDescent="0.25">
      <c r="A225" s="1">
        <f t="shared" si="32"/>
        <v>222</v>
      </c>
      <c r="B225" s="4" t="s">
        <v>498</v>
      </c>
      <c r="C225" s="72">
        <v>5</v>
      </c>
      <c r="D225" s="1" t="s">
        <v>26</v>
      </c>
      <c r="E225" s="1">
        <v>1</v>
      </c>
      <c r="F225" s="2">
        <v>40653</v>
      </c>
      <c r="G225" s="68">
        <v>44463</v>
      </c>
      <c r="H225" s="1">
        <f t="shared" si="26"/>
        <v>10</v>
      </c>
      <c r="I225" s="1">
        <f t="shared" si="27"/>
        <v>125</v>
      </c>
      <c r="J225" s="1">
        <v>40</v>
      </c>
      <c r="K225" s="1">
        <v>1.44</v>
      </c>
      <c r="L225" s="1">
        <f t="shared" si="28"/>
        <v>144</v>
      </c>
      <c r="M225" s="1">
        <f>113.6-40</f>
        <v>73.599999999999994</v>
      </c>
      <c r="N225" s="70">
        <f t="shared" si="29"/>
        <v>48.888888888888893</v>
      </c>
      <c r="O225" s="65">
        <v>0</v>
      </c>
      <c r="P225" s="65">
        <v>0</v>
      </c>
      <c r="Q225" s="71">
        <f t="shared" si="30"/>
        <v>19.290123456790123</v>
      </c>
      <c r="S225" s="91">
        <v>0.62024241225770349</v>
      </c>
      <c r="T225" s="91">
        <v>73.245089876100494</v>
      </c>
      <c r="U225" s="39" t="str">
        <f t="shared" si="31"/>
        <v>Normal</v>
      </c>
      <c r="V225" s="91">
        <v>0.1778617826994692</v>
      </c>
      <c r="W225" s="91">
        <v>57.058423739379769</v>
      </c>
      <c r="X225" s="39" t="str">
        <f t="shared" si="24"/>
        <v>Normal</v>
      </c>
      <c r="Y225" s="116">
        <v>1.2075566662113004</v>
      </c>
      <c r="Z225" s="91">
        <v>88.639108198519693</v>
      </c>
      <c r="AA225" s="39" t="str">
        <f t="shared" si="25"/>
        <v>Obesidad</v>
      </c>
    </row>
    <row r="226" spans="1:27" s="1" customFormat="1" ht="15.75" x14ac:dyDescent="0.25">
      <c r="A226" s="1">
        <f t="shared" si="32"/>
        <v>223</v>
      </c>
      <c r="B226" s="4" t="s">
        <v>499</v>
      </c>
      <c r="C226" s="72">
        <v>5</v>
      </c>
      <c r="D226" s="1" t="s">
        <v>26</v>
      </c>
      <c r="E226" s="1">
        <v>1</v>
      </c>
      <c r="F226" s="2">
        <v>40604</v>
      </c>
      <c r="G226" s="68">
        <v>44463</v>
      </c>
      <c r="H226" s="1">
        <f t="shared" si="26"/>
        <v>10</v>
      </c>
      <c r="I226" s="1">
        <f t="shared" si="27"/>
        <v>126</v>
      </c>
      <c r="J226" s="1">
        <v>50.1</v>
      </c>
      <c r="K226" s="1">
        <v>1.46</v>
      </c>
      <c r="L226" s="1">
        <f t="shared" si="28"/>
        <v>146</v>
      </c>
      <c r="M226" s="1">
        <f>115.5-40</f>
        <v>75.5</v>
      </c>
      <c r="N226" s="70">
        <f t="shared" si="29"/>
        <v>48.287671232876711</v>
      </c>
      <c r="O226" s="65">
        <v>0</v>
      </c>
      <c r="P226" s="65">
        <v>0</v>
      </c>
      <c r="Q226" s="71">
        <f t="shared" si="30"/>
        <v>23.503471570651158</v>
      </c>
      <c r="S226" s="91">
        <v>0.8554650870006818</v>
      </c>
      <c r="T226" s="91">
        <v>80.385313777132069</v>
      </c>
      <c r="U226" s="39" t="str">
        <f t="shared" si="31"/>
        <v>Normal</v>
      </c>
      <c r="V226" s="91">
        <v>-0.22132135614805964</v>
      </c>
      <c r="W226" s="91">
        <v>41.24211112315416</v>
      </c>
      <c r="X226" s="39" t="str">
        <f t="shared" si="24"/>
        <v>Normal</v>
      </c>
      <c r="Y226" s="116">
        <v>2.3752893160220596</v>
      </c>
      <c r="Z226" s="91">
        <v>99.123240013360729</v>
      </c>
      <c r="AA226" s="39" t="str">
        <f t="shared" si="25"/>
        <v>Obesidad</v>
      </c>
    </row>
    <row r="227" spans="1:27" s="1" customFormat="1" ht="15.75" x14ac:dyDescent="0.25">
      <c r="A227" s="1">
        <f t="shared" si="32"/>
        <v>224</v>
      </c>
      <c r="B227" s="4" t="s">
        <v>500</v>
      </c>
      <c r="C227" s="72">
        <v>5</v>
      </c>
      <c r="D227" s="1" t="s">
        <v>26</v>
      </c>
      <c r="E227" s="1">
        <v>2</v>
      </c>
      <c r="F227" s="6">
        <v>40682</v>
      </c>
      <c r="G227" s="68">
        <v>44463</v>
      </c>
      <c r="H227" s="1">
        <f t="shared" si="26"/>
        <v>10</v>
      </c>
      <c r="I227" s="1">
        <f t="shared" si="27"/>
        <v>124</v>
      </c>
      <c r="J227" s="1">
        <v>35.6</v>
      </c>
      <c r="K227" s="1">
        <v>1.4</v>
      </c>
      <c r="L227" s="1">
        <f t="shared" si="28"/>
        <v>140</v>
      </c>
      <c r="M227" s="1">
        <f>113.5-40</f>
        <v>73.5</v>
      </c>
      <c r="N227" s="70">
        <f t="shared" si="29"/>
        <v>47.5</v>
      </c>
      <c r="O227" s="65">
        <v>0</v>
      </c>
      <c r="P227" s="65">
        <v>0</v>
      </c>
      <c r="Q227" s="71">
        <f t="shared" si="30"/>
        <v>18.163265306122451</v>
      </c>
      <c r="S227" s="91">
        <v>-0.11279417230858349</v>
      </c>
      <c r="T227" s="91">
        <v>45.509686934127153</v>
      </c>
      <c r="U227" s="39" t="str">
        <f t="shared" si="31"/>
        <v>Normal</v>
      </c>
      <c r="V227" s="91">
        <v>-0.70590502170228731</v>
      </c>
      <c r="W227" s="91">
        <v>24.012360223171708</v>
      </c>
      <c r="X227" s="39" t="str">
        <f t="shared" si="24"/>
        <v>Normal</v>
      </c>
      <c r="Y227" s="116">
        <v>0.58706822582149953</v>
      </c>
      <c r="Z227" s="91">
        <v>72.142105679229076</v>
      </c>
      <c r="AA227" s="39" t="str">
        <f t="shared" si="25"/>
        <v>Normal</v>
      </c>
    </row>
    <row r="228" spans="1:27" s="1" customFormat="1" ht="15.75" x14ac:dyDescent="0.25">
      <c r="A228" s="1">
        <f t="shared" si="32"/>
        <v>225</v>
      </c>
      <c r="B228" s="4" t="s">
        <v>501</v>
      </c>
      <c r="C228" s="72">
        <v>5</v>
      </c>
      <c r="D228" s="1" t="s">
        <v>26</v>
      </c>
      <c r="E228" s="1">
        <v>1</v>
      </c>
      <c r="F228" s="6">
        <v>40861</v>
      </c>
      <c r="G228" s="68">
        <v>44463</v>
      </c>
      <c r="H228" s="1">
        <f t="shared" si="26"/>
        <v>9</v>
      </c>
      <c r="I228" s="1">
        <f t="shared" si="27"/>
        <v>118</v>
      </c>
      <c r="J228" s="1">
        <v>37.700000000000003</v>
      </c>
      <c r="K228" s="1">
        <v>1.38</v>
      </c>
      <c r="L228" s="1">
        <f t="shared" si="28"/>
        <v>138</v>
      </c>
      <c r="M228" s="1">
        <f>113.8-40</f>
        <v>73.8</v>
      </c>
      <c r="N228" s="70">
        <f t="shared" si="29"/>
        <v>46.521739130434788</v>
      </c>
      <c r="O228" s="65">
        <v>0</v>
      </c>
      <c r="P228" s="65">
        <v>0</v>
      </c>
      <c r="Q228" s="71">
        <f t="shared" si="30"/>
        <v>19.796261289645038</v>
      </c>
      <c r="S228" s="91">
        <v>0.17177832323451273</v>
      </c>
      <c r="T228" s="91">
        <v>56.819409612721181</v>
      </c>
      <c r="U228" s="39" t="str">
        <f t="shared" si="31"/>
        <v>Normal</v>
      </c>
      <c r="V228" s="91">
        <v>-1.1483480586564176</v>
      </c>
      <c r="W228" s="91">
        <v>12.541245346277918</v>
      </c>
      <c r="X228" s="39" t="str">
        <f t="shared" si="24"/>
        <v>Normal</v>
      </c>
      <c r="Y228" s="116">
        <v>1.545968565426715</v>
      </c>
      <c r="Z228" s="91">
        <v>93.89439201340717</v>
      </c>
      <c r="AA228" s="39" t="str">
        <f t="shared" si="25"/>
        <v>Obesidad</v>
      </c>
    </row>
    <row r="229" spans="1:27" s="1" customFormat="1" ht="15.75" x14ac:dyDescent="0.25">
      <c r="A229" s="1">
        <f t="shared" si="32"/>
        <v>226</v>
      </c>
      <c r="B229" s="4" t="s">
        <v>502</v>
      </c>
      <c r="C229" s="72">
        <v>5</v>
      </c>
      <c r="D229" s="1" t="s">
        <v>26</v>
      </c>
      <c r="E229" s="1">
        <v>1</v>
      </c>
      <c r="F229" s="6">
        <v>40758</v>
      </c>
      <c r="G229" s="68">
        <v>44463</v>
      </c>
      <c r="H229" s="1">
        <f t="shared" si="26"/>
        <v>10</v>
      </c>
      <c r="I229" s="1">
        <f t="shared" si="27"/>
        <v>121</v>
      </c>
      <c r="J229" s="1">
        <v>48.6</v>
      </c>
      <c r="K229" s="1">
        <v>1.47</v>
      </c>
      <c r="L229" s="1">
        <f t="shared" si="28"/>
        <v>147</v>
      </c>
      <c r="M229" s="1">
        <f>115.2-40</f>
        <v>75.2</v>
      </c>
      <c r="N229" s="70">
        <f t="shared" si="29"/>
        <v>48.843537414965979</v>
      </c>
      <c r="O229" s="65">
        <v>0</v>
      </c>
      <c r="P229" s="65">
        <v>0</v>
      </c>
      <c r="Q229" s="71">
        <f t="shared" si="30"/>
        <v>22.490628904623076</v>
      </c>
      <c r="S229" s="91">
        <v>1.372420677344464</v>
      </c>
      <c r="T229" s="91">
        <v>91.503374159974527</v>
      </c>
      <c r="U229" s="39" t="str">
        <f t="shared" si="31"/>
        <v>Normal</v>
      </c>
      <c r="V229" s="91">
        <v>0.14793847151816389</v>
      </c>
      <c r="W229" s="91">
        <v>55.880433681995775</v>
      </c>
      <c r="X229" s="39" t="str">
        <f t="shared" si="24"/>
        <v>Normal</v>
      </c>
      <c r="Y229" s="116">
        <v>2.2612630874732922</v>
      </c>
      <c r="Z229" s="91">
        <v>98.81285147250226</v>
      </c>
      <c r="AA229" s="39" t="str">
        <f t="shared" si="25"/>
        <v>Obesidad</v>
      </c>
    </row>
    <row r="230" spans="1:27" s="1" customFormat="1" ht="15.75" x14ac:dyDescent="0.25">
      <c r="A230" s="1">
        <f t="shared" si="32"/>
        <v>227</v>
      </c>
      <c r="B230" s="4" t="s">
        <v>503</v>
      </c>
      <c r="C230" s="72">
        <v>5</v>
      </c>
      <c r="D230" s="1" t="s">
        <v>26</v>
      </c>
      <c r="E230" s="1">
        <v>1</v>
      </c>
      <c r="F230" s="6">
        <v>40898</v>
      </c>
      <c r="G230" s="68">
        <v>44463</v>
      </c>
      <c r="H230" s="1">
        <f t="shared" si="26"/>
        <v>9</v>
      </c>
      <c r="I230" s="1">
        <f t="shared" si="27"/>
        <v>117</v>
      </c>
      <c r="J230" s="1">
        <v>31.5</v>
      </c>
      <c r="K230" s="1">
        <v>1.32</v>
      </c>
      <c r="L230" s="1">
        <f t="shared" si="28"/>
        <v>132</v>
      </c>
      <c r="M230" s="1">
        <f>111.5-40</f>
        <v>71.5</v>
      </c>
      <c r="N230" s="70">
        <f t="shared" si="29"/>
        <v>45.833333333333329</v>
      </c>
      <c r="O230" s="65">
        <v>0</v>
      </c>
      <c r="P230" s="65">
        <v>0</v>
      </c>
      <c r="Q230" s="71">
        <f t="shared" si="30"/>
        <v>18.078512396694212</v>
      </c>
      <c r="S230" s="91">
        <v>-0.71342035185652941</v>
      </c>
      <c r="T230" s="91">
        <v>23.779284154546446</v>
      </c>
      <c r="U230" s="39" t="str">
        <f t="shared" si="31"/>
        <v>Normal</v>
      </c>
      <c r="V230" s="91">
        <v>-1.6161769876109875</v>
      </c>
      <c r="W230" s="91">
        <v>5.3028026360326281</v>
      </c>
      <c r="X230" s="39" t="str">
        <f t="shared" si="24"/>
        <v>Normal</v>
      </c>
      <c r="Y230" s="116">
        <v>0.89179108237354077</v>
      </c>
      <c r="Z230" s="91">
        <v>81.374753878691436</v>
      </c>
      <c r="AA230" s="39" t="str">
        <f t="shared" si="25"/>
        <v>Normal</v>
      </c>
    </row>
    <row r="231" spans="1:27" s="1" customFormat="1" ht="15.75" x14ac:dyDescent="0.25">
      <c r="A231" s="1">
        <f t="shared" si="32"/>
        <v>228</v>
      </c>
      <c r="B231" s="4" t="s">
        <v>504</v>
      </c>
      <c r="C231" s="72">
        <v>5</v>
      </c>
      <c r="D231" s="1" t="s">
        <v>26</v>
      </c>
      <c r="E231" s="1">
        <v>1</v>
      </c>
      <c r="F231" s="6">
        <v>40735</v>
      </c>
      <c r="G231" s="68">
        <v>44463</v>
      </c>
      <c r="H231" s="1">
        <f t="shared" si="26"/>
        <v>10</v>
      </c>
      <c r="I231" s="1">
        <f t="shared" si="27"/>
        <v>122</v>
      </c>
      <c r="J231" s="1">
        <v>31.8</v>
      </c>
      <c r="K231" s="1">
        <v>1.36</v>
      </c>
      <c r="L231" s="1">
        <f t="shared" si="28"/>
        <v>136</v>
      </c>
      <c r="M231" s="1">
        <f>112.8-40</f>
        <v>72.8</v>
      </c>
      <c r="N231" s="70">
        <f t="shared" si="29"/>
        <v>46.470588235294116</v>
      </c>
      <c r="O231" s="65">
        <v>0</v>
      </c>
      <c r="P231" s="65">
        <v>0</v>
      </c>
      <c r="Q231" s="71">
        <f t="shared" si="30"/>
        <v>17.19290657439446</v>
      </c>
      <c r="S231" s="91">
        <v>-0.41118351511379342</v>
      </c>
      <c r="T231" s="91">
        <v>34.046898753520871</v>
      </c>
      <c r="U231" s="39" t="str">
        <f t="shared" si="31"/>
        <v>Normal</v>
      </c>
      <c r="V231" s="91">
        <v>-1.4617426969916818</v>
      </c>
      <c r="W231" s="91">
        <v>7.1905866092166342</v>
      </c>
      <c r="X231" s="39" t="str">
        <f t="shared" si="24"/>
        <v>Normal</v>
      </c>
      <c r="Y231" s="116">
        <v>0.36258416654342107</v>
      </c>
      <c r="Z231" s="91">
        <v>64.154223010940086</v>
      </c>
      <c r="AA231" s="39" t="str">
        <f t="shared" si="25"/>
        <v>Normal</v>
      </c>
    </row>
    <row r="232" spans="1:27" s="1" customFormat="1" ht="15.75" x14ac:dyDescent="0.25">
      <c r="A232" s="1">
        <f t="shared" si="32"/>
        <v>229</v>
      </c>
      <c r="B232" s="4" t="s">
        <v>505</v>
      </c>
      <c r="C232" s="72">
        <v>5</v>
      </c>
      <c r="D232" s="1" t="s">
        <v>26</v>
      </c>
      <c r="E232" s="1">
        <v>2</v>
      </c>
      <c r="F232" s="6">
        <v>40708</v>
      </c>
      <c r="G232" s="68">
        <v>44463</v>
      </c>
      <c r="H232" s="1">
        <f t="shared" si="26"/>
        <v>10</v>
      </c>
      <c r="I232" s="1">
        <f t="shared" si="27"/>
        <v>123</v>
      </c>
      <c r="J232" s="1">
        <v>48.4</v>
      </c>
      <c r="K232" s="1">
        <v>1.45</v>
      </c>
      <c r="L232" s="1">
        <f t="shared" si="28"/>
        <v>145</v>
      </c>
      <c r="M232" s="1">
        <f>115-40</f>
        <v>75</v>
      </c>
      <c r="N232" s="70">
        <f t="shared" si="29"/>
        <v>48.275862068965516</v>
      </c>
      <c r="O232" s="65">
        <v>0</v>
      </c>
      <c r="P232" s="65">
        <v>0</v>
      </c>
      <c r="Q232" s="71">
        <f t="shared" si="30"/>
        <v>23.020214030915575</v>
      </c>
      <c r="S232" s="91">
        <v>0.74204077192672546</v>
      </c>
      <c r="T232" s="91">
        <v>77.09686834643415</v>
      </c>
      <c r="U232" s="39" t="str">
        <f t="shared" si="31"/>
        <v>Normal</v>
      </c>
      <c r="V232" s="91">
        <v>-0.18270175007263897</v>
      </c>
      <c r="W232" s="91">
        <v>42.751602125787734</v>
      </c>
      <c r="X232" s="39" t="str">
        <f t="shared" si="24"/>
        <v>Normal</v>
      </c>
      <c r="Y232" s="116">
        <v>2.0377739093817424</v>
      </c>
      <c r="Z232" s="91">
        <v>97.92137256172596</v>
      </c>
      <c r="AA232" s="39" t="str">
        <f t="shared" si="25"/>
        <v>Obesidad</v>
      </c>
    </row>
    <row r="233" spans="1:27" s="1" customFormat="1" ht="15.75" x14ac:dyDescent="0.25">
      <c r="A233" s="1">
        <f t="shared" si="32"/>
        <v>230</v>
      </c>
      <c r="B233" s="4" t="s">
        <v>506</v>
      </c>
      <c r="C233" s="72">
        <v>5</v>
      </c>
      <c r="D233" s="1" t="s">
        <v>26</v>
      </c>
      <c r="E233" s="1">
        <v>2</v>
      </c>
      <c r="F233" s="6">
        <v>40739</v>
      </c>
      <c r="G233" s="68">
        <v>44463</v>
      </c>
      <c r="H233" s="1">
        <f t="shared" si="26"/>
        <v>10</v>
      </c>
      <c r="I233" s="1">
        <f t="shared" si="27"/>
        <v>122</v>
      </c>
      <c r="J233" s="1">
        <v>32.1</v>
      </c>
      <c r="K233" s="1">
        <v>1.44</v>
      </c>
      <c r="L233" s="1">
        <f t="shared" si="28"/>
        <v>144</v>
      </c>
      <c r="M233" s="1">
        <f>113.2-40</f>
        <v>73.2</v>
      </c>
      <c r="N233" s="70">
        <f t="shared" si="29"/>
        <v>49.166666666666664</v>
      </c>
      <c r="O233" s="65">
        <v>0</v>
      </c>
      <c r="P233" s="65">
        <v>0</v>
      </c>
      <c r="Q233" s="71">
        <f t="shared" si="30"/>
        <v>15.480324074074076</v>
      </c>
      <c r="S233" s="91">
        <v>0.67069227638725559</v>
      </c>
      <c r="T233" s="91">
        <v>74.879170791720441</v>
      </c>
      <c r="U233" s="39" t="str">
        <f t="shared" si="31"/>
        <v>Normal</v>
      </c>
      <c r="V233" s="91">
        <v>0.40695190249281449</v>
      </c>
      <c r="W233" s="91">
        <v>65.797834281353289</v>
      </c>
      <c r="X233" s="39" t="str">
        <f t="shared" si="24"/>
        <v>Normal</v>
      </c>
      <c r="Y233" s="116">
        <v>-0.65362537328330195</v>
      </c>
      <c r="Z233" s="91">
        <v>25.667659652237017</v>
      </c>
      <c r="AA233" s="39" t="str">
        <f t="shared" si="25"/>
        <v>Normal</v>
      </c>
    </row>
    <row r="234" spans="1:27" s="1" customFormat="1" ht="15.75" x14ac:dyDescent="0.25">
      <c r="A234" s="1">
        <f t="shared" si="32"/>
        <v>231</v>
      </c>
      <c r="B234" s="4" t="s">
        <v>507</v>
      </c>
      <c r="C234" s="72">
        <v>6</v>
      </c>
      <c r="D234" s="1" t="s">
        <v>7</v>
      </c>
      <c r="E234" s="1">
        <v>2</v>
      </c>
      <c r="F234" s="2">
        <v>40382</v>
      </c>
      <c r="G234" s="68">
        <v>44463</v>
      </c>
      <c r="H234" s="1">
        <f t="shared" si="26"/>
        <v>11</v>
      </c>
      <c r="I234" s="1">
        <f t="shared" si="27"/>
        <v>134</v>
      </c>
      <c r="J234" s="1">
        <v>50.8</v>
      </c>
      <c r="K234" s="1">
        <v>1.52</v>
      </c>
      <c r="L234" s="1">
        <f t="shared" si="28"/>
        <v>152</v>
      </c>
      <c r="M234" s="1">
        <f>122.5-40</f>
        <v>82.5</v>
      </c>
      <c r="N234" s="70">
        <f t="shared" si="29"/>
        <v>45.723684210526315</v>
      </c>
      <c r="O234" s="65">
        <v>0</v>
      </c>
      <c r="P234" s="65">
        <v>0</v>
      </c>
      <c r="Q234" s="71">
        <f t="shared" si="30"/>
        <v>21.98753462603878</v>
      </c>
      <c r="S234" s="91">
        <v>0.88838601215520041</v>
      </c>
      <c r="T234" s="91">
        <v>81.283342651843455</v>
      </c>
      <c r="U234" s="39" t="str">
        <f t="shared" si="31"/>
        <v>Normal</v>
      </c>
      <c r="V234" s="91">
        <v>-1.9669583467882588</v>
      </c>
      <c r="W234" s="91">
        <v>2.4594006510972108</v>
      </c>
      <c r="X234" s="39" t="str">
        <f t="shared" si="24"/>
        <v>Piernas cortas</v>
      </c>
      <c r="Y234" s="116">
        <v>1.5595086713044248</v>
      </c>
      <c r="Z234" s="91">
        <v>94.056198308377276</v>
      </c>
      <c r="AA234" s="39" t="str">
        <f t="shared" si="25"/>
        <v>Obesidad</v>
      </c>
    </row>
    <row r="235" spans="1:27" s="1" customFormat="1" ht="15.75" x14ac:dyDescent="0.25">
      <c r="A235" s="1">
        <f t="shared" si="32"/>
        <v>232</v>
      </c>
      <c r="B235" s="4" t="s">
        <v>508</v>
      </c>
      <c r="C235" s="72">
        <v>6</v>
      </c>
      <c r="D235" s="1" t="s">
        <v>7</v>
      </c>
      <c r="E235" s="1">
        <v>1</v>
      </c>
      <c r="F235" s="2">
        <v>40406</v>
      </c>
      <c r="G235" s="68">
        <v>44463</v>
      </c>
      <c r="H235" s="1">
        <f t="shared" si="26"/>
        <v>11</v>
      </c>
      <c r="I235" s="1">
        <f t="shared" si="27"/>
        <v>133</v>
      </c>
      <c r="J235" s="1">
        <v>34.9</v>
      </c>
      <c r="K235" s="1">
        <v>1.41</v>
      </c>
      <c r="L235" s="1">
        <f t="shared" si="28"/>
        <v>141</v>
      </c>
      <c r="M235" s="1">
        <f>113.5-40</f>
        <v>73.5</v>
      </c>
      <c r="N235" s="70">
        <f t="shared" si="29"/>
        <v>47.872340425531917</v>
      </c>
      <c r="O235" s="65">
        <v>0</v>
      </c>
      <c r="P235" s="65">
        <v>0</v>
      </c>
      <c r="Q235" s="71">
        <f t="shared" si="30"/>
        <v>17.55444897137971</v>
      </c>
      <c r="S235" s="91">
        <v>-0.38151744865392334</v>
      </c>
      <c r="T235" s="91">
        <v>35.14096631871999</v>
      </c>
      <c r="U235" s="39" t="str">
        <f t="shared" si="31"/>
        <v>Normal</v>
      </c>
      <c r="V235" s="91">
        <v>-0.71539914943707295</v>
      </c>
      <c r="W235" s="91">
        <v>23.718121896256591</v>
      </c>
      <c r="X235" s="39" t="str">
        <f t="shared" si="24"/>
        <v>Normal</v>
      </c>
      <c r="Y235" s="116">
        <v>0.28824316381800319</v>
      </c>
      <c r="Z235" s="91">
        <v>61.341969488769401</v>
      </c>
      <c r="AA235" s="39" t="str">
        <f t="shared" si="25"/>
        <v>Normal</v>
      </c>
    </row>
    <row r="236" spans="1:27" s="1" customFormat="1" ht="15.75" x14ac:dyDescent="0.25">
      <c r="A236" s="1">
        <f t="shared" si="32"/>
        <v>233</v>
      </c>
      <c r="B236" s="4" t="s">
        <v>509</v>
      </c>
      <c r="C236" s="72">
        <v>6</v>
      </c>
      <c r="D236" s="1" t="s">
        <v>7</v>
      </c>
      <c r="E236" s="1">
        <v>2</v>
      </c>
      <c r="F236" s="2">
        <v>40467</v>
      </c>
      <c r="G236" s="68">
        <v>44463</v>
      </c>
      <c r="H236" s="1">
        <f t="shared" si="26"/>
        <v>10</v>
      </c>
      <c r="I236" s="1">
        <f t="shared" si="27"/>
        <v>131</v>
      </c>
      <c r="J236" s="1">
        <v>38.9</v>
      </c>
      <c r="K236" s="1">
        <v>1.48</v>
      </c>
      <c r="L236" s="1">
        <f t="shared" si="28"/>
        <v>148</v>
      </c>
      <c r="M236" s="1">
        <f>114.3-40</f>
        <v>74.3</v>
      </c>
      <c r="N236" s="70">
        <f t="shared" si="29"/>
        <v>49.797297297297298</v>
      </c>
      <c r="O236" s="65">
        <v>0</v>
      </c>
      <c r="P236" s="65">
        <v>0</v>
      </c>
      <c r="Q236" s="71">
        <f t="shared" si="30"/>
        <v>17.759313367421477</v>
      </c>
      <c r="S236" s="91">
        <v>0.53449833299135985</v>
      </c>
      <c r="T236" s="91">
        <v>70.350159875208377</v>
      </c>
      <c r="U236" s="39" t="str">
        <f t="shared" si="31"/>
        <v>Normal</v>
      </c>
      <c r="V236" s="91">
        <v>0.81746933710447667</v>
      </c>
      <c r="W236" s="91">
        <v>79.316986729841432</v>
      </c>
      <c r="X236" s="39" t="str">
        <f t="shared" si="24"/>
        <v>Normal</v>
      </c>
      <c r="Y236" s="116">
        <v>0.25101513768237521</v>
      </c>
      <c r="Z236" s="91">
        <v>59.909879718776857</v>
      </c>
      <c r="AA236" s="39" t="str">
        <f t="shared" si="25"/>
        <v>Normal</v>
      </c>
    </row>
    <row r="237" spans="1:27" s="1" customFormat="1" ht="15.75" x14ac:dyDescent="0.25">
      <c r="A237" s="1">
        <f t="shared" si="32"/>
        <v>234</v>
      </c>
      <c r="B237" s="4" t="s">
        <v>510</v>
      </c>
      <c r="C237" s="72">
        <v>6</v>
      </c>
      <c r="D237" s="1" t="s">
        <v>7</v>
      </c>
      <c r="E237" s="1">
        <v>1</v>
      </c>
      <c r="F237" s="2">
        <v>40416</v>
      </c>
      <c r="G237" s="68">
        <v>44463</v>
      </c>
      <c r="H237" s="1">
        <f t="shared" si="26"/>
        <v>11</v>
      </c>
      <c r="I237" s="1">
        <f t="shared" si="27"/>
        <v>132</v>
      </c>
      <c r="J237" s="1">
        <v>48.6</v>
      </c>
      <c r="K237" s="1">
        <v>1.42</v>
      </c>
      <c r="L237" s="1">
        <f t="shared" si="28"/>
        <v>142</v>
      </c>
      <c r="M237" s="1">
        <f>114.9-40</f>
        <v>74.900000000000006</v>
      </c>
      <c r="N237" s="70">
        <f t="shared" si="29"/>
        <v>47.25352112676056</v>
      </c>
      <c r="O237" s="65">
        <v>0</v>
      </c>
      <c r="P237" s="65">
        <v>0</v>
      </c>
      <c r="Q237" s="71">
        <f t="shared" si="30"/>
        <v>24.102360642729618</v>
      </c>
      <c r="S237" s="91">
        <v>-0.16530508186935369</v>
      </c>
      <c r="T237" s="91">
        <v>43.435192954783481</v>
      </c>
      <c r="U237" s="39" t="str">
        <f t="shared" si="31"/>
        <v>Normal</v>
      </c>
      <c r="V237" s="91">
        <v>-1.1500389822765069</v>
      </c>
      <c r="W237" s="91">
        <v>12.506390795252258</v>
      </c>
      <c r="X237" s="39" t="str">
        <f t="shared" si="24"/>
        <v>Normal</v>
      </c>
      <c r="Y237" s="116">
        <v>2.3637239284112321</v>
      </c>
      <c r="Z237" s="91">
        <v>99.095385545894771</v>
      </c>
      <c r="AA237" s="39" t="str">
        <f t="shared" si="25"/>
        <v>Obesidad</v>
      </c>
    </row>
    <row r="238" spans="1:27" s="1" customFormat="1" ht="15.75" x14ac:dyDescent="0.25">
      <c r="A238" s="1">
        <f t="shared" si="32"/>
        <v>235</v>
      </c>
      <c r="B238" s="4" t="s">
        <v>511</v>
      </c>
      <c r="C238" s="72">
        <v>6</v>
      </c>
      <c r="D238" s="1" t="s">
        <v>7</v>
      </c>
      <c r="E238" s="1">
        <v>1</v>
      </c>
      <c r="F238" s="2">
        <v>40541</v>
      </c>
      <c r="G238" s="68">
        <v>44463</v>
      </c>
      <c r="H238" s="1">
        <f t="shared" si="26"/>
        <v>10</v>
      </c>
      <c r="I238" s="1">
        <f t="shared" si="27"/>
        <v>128</v>
      </c>
      <c r="J238" s="1">
        <v>33.299999999999997</v>
      </c>
      <c r="K238" s="1">
        <v>1.35</v>
      </c>
      <c r="L238" s="1">
        <f t="shared" si="28"/>
        <v>135</v>
      </c>
      <c r="M238" s="1">
        <f>111.5-40</f>
        <v>71.5</v>
      </c>
      <c r="N238" s="70">
        <f t="shared" si="29"/>
        <v>47.037037037037038</v>
      </c>
      <c r="O238" s="65">
        <v>0</v>
      </c>
      <c r="P238" s="65">
        <v>0</v>
      </c>
      <c r="Q238" s="71">
        <f t="shared" si="30"/>
        <v>18.271604938271601</v>
      </c>
      <c r="S238" s="91">
        <v>-0.95065468361742145</v>
      </c>
      <c r="T238" s="91">
        <v>17.088984973140537</v>
      </c>
      <c r="U238" s="39" t="str">
        <f t="shared" si="31"/>
        <v>Normal</v>
      </c>
      <c r="V238" s="91">
        <v>-1.0694355994243516</v>
      </c>
      <c r="W238" s="91">
        <v>14.24367166693759</v>
      </c>
      <c r="X238" s="39" t="str">
        <f t="shared" si="24"/>
        <v>Normal</v>
      </c>
      <c r="Y238" s="116">
        <v>0.73270050386434593</v>
      </c>
      <c r="Z238" s="91">
        <v>76.812944170133136</v>
      </c>
      <c r="AA238" s="39" t="str">
        <f t="shared" si="25"/>
        <v>Normal</v>
      </c>
    </row>
    <row r="239" spans="1:27" s="1" customFormat="1" ht="15.75" x14ac:dyDescent="0.25">
      <c r="A239" s="1">
        <f t="shared" si="32"/>
        <v>236</v>
      </c>
      <c r="B239" s="4" t="s">
        <v>512</v>
      </c>
      <c r="C239" s="72">
        <v>6</v>
      </c>
      <c r="D239" s="1" t="s">
        <v>7</v>
      </c>
      <c r="E239" s="1">
        <v>2</v>
      </c>
      <c r="F239" s="2">
        <v>40475</v>
      </c>
      <c r="G239" s="68">
        <v>44463</v>
      </c>
      <c r="H239" s="1">
        <f t="shared" si="26"/>
        <v>10</v>
      </c>
      <c r="I239" s="1">
        <f t="shared" si="27"/>
        <v>131</v>
      </c>
      <c r="J239" s="1">
        <v>29.9</v>
      </c>
      <c r="K239" s="1">
        <v>1.38</v>
      </c>
      <c r="L239" s="1">
        <f t="shared" si="28"/>
        <v>138</v>
      </c>
      <c r="M239" s="1">
        <f>113.2-40</f>
        <v>73.2</v>
      </c>
      <c r="N239" s="70">
        <f t="shared" si="29"/>
        <v>46.95652173913043</v>
      </c>
      <c r="O239" s="65">
        <v>0</v>
      </c>
      <c r="P239" s="65">
        <v>0</v>
      </c>
      <c r="Q239" s="71">
        <f t="shared" si="30"/>
        <v>15.700483091787442</v>
      </c>
      <c r="S239" s="91">
        <v>-0.97431841504353223</v>
      </c>
      <c r="T239" s="91">
        <v>16.494923198058583</v>
      </c>
      <c r="U239" s="39" t="str">
        <f t="shared" si="31"/>
        <v>Normal</v>
      </c>
      <c r="V239" s="91">
        <v>-1.0779151424750142</v>
      </c>
      <c r="W239" s="91">
        <v>14.053581357470851</v>
      </c>
      <c r="X239" s="39" t="str">
        <f t="shared" si="24"/>
        <v>Normal</v>
      </c>
      <c r="Y239" s="116">
        <v>-0.76152508565227839</v>
      </c>
      <c r="Z239" s="91">
        <v>22.317175064862223</v>
      </c>
      <c r="AA239" s="39" t="str">
        <f t="shared" si="25"/>
        <v>Normal</v>
      </c>
    </row>
    <row r="240" spans="1:27" s="1" customFormat="1" ht="15.75" x14ac:dyDescent="0.25">
      <c r="A240" s="1">
        <f t="shared" si="32"/>
        <v>237</v>
      </c>
      <c r="B240" s="4" t="s">
        <v>513</v>
      </c>
      <c r="C240" s="72">
        <v>6</v>
      </c>
      <c r="D240" s="1" t="s">
        <v>7</v>
      </c>
      <c r="E240" s="1">
        <v>1</v>
      </c>
      <c r="F240" s="2">
        <v>40441</v>
      </c>
      <c r="G240" s="68">
        <v>44463</v>
      </c>
      <c r="H240" s="1">
        <f t="shared" si="26"/>
        <v>11</v>
      </c>
      <c r="I240" s="1">
        <f t="shared" si="27"/>
        <v>132</v>
      </c>
      <c r="J240" s="1">
        <v>66.900000000000006</v>
      </c>
      <c r="K240" s="1">
        <v>1.57</v>
      </c>
      <c r="L240" s="1">
        <f t="shared" si="28"/>
        <v>157</v>
      </c>
      <c r="M240" s="1">
        <f>124.6-40</f>
        <v>84.6</v>
      </c>
      <c r="N240" s="70">
        <f t="shared" si="29"/>
        <v>46.114649681528661</v>
      </c>
      <c r="O240" s="65">
        <v>0</v>
      </c>
      <c r="P240" s="65">
        <v>0</v>
      </c>
      <c r="Q240" s="71">
        <f t="shared" si="30"/>
        <v>27.141060489269343</v>
      </c>
      <c r="S240" s="91">
        <v>2.0633271561679885</v>
      </c>
      <c r="T240" s="91">
        <v>98.045922217817065</v>
      </c>
      <c r="U240" s="39" t="str">
        <f t="shared" si="31"/>
        <v>Alto</v>
      </c>
      <c r="V240" s="91">
        <v>-1.9662283321916811</v>
      </c>
      <c r="W240" s="91">
        <v>2.4636120559457257</v>
      </c>
      <c r="X240" s="39" t="str">
        <f t="shared" si="24"/>
        <v>Piernas cortas</v>
      </c>
      <c r="Y240" s="116">
        <v>2.8784954783034693</v>
      </c>
      <c r="Z240" s="91">
        <v>99.800211495510297</v>
      </c>
      <c r="AA240" s="39" t="str">
        <f t="shared" si="25"/>
        <v>Obesidad</v>
      </c>
    </row>
    <row r="241" spans="1:27" s="1" customFormat="1" ht="15.75" x14ac:dyDescent="0.25">
      <c r="A241" s="1">
        <f t="shared" si="32"/>
        <v>238</v>
      </c>
      <c r="B241" s="4" t="s">
        <v>514</v>
      </c>
      <c r="C241" s="72">
        <v>6</v>
      </c>
      <c r="D241" s="1" t="s">
        <v>7</v>
      </c>
      <c r="E241" s="1">
        <v>2</v>
      </c>
      <c r="F241" s="2">
        <v>40347</v>
      </c>
      <c r="G241" s="68">
        <v>44463</v>
      </c>
      <c r="H241" s="1">
        <f t="shared" si="26"/>
        <v>11</v>
      </c>
      <c r="I241" s="1">
        <f t="shared" si="27"/>
        <v>135</v>
      </c>
      <c r="J241" s="1">
        <v>42.3</v>
      </c>
      <c r="K241" s="1">
        <v>1.57</v>
      </c>
      <c r="L241" s="1">
        <f t="shared" si="28"/>
        <v>157</v>
      </c>
      <c r="M241" s="1">
        <f>125.3-40</f>
        <v>85.3</v>
      </c>
      <c r="N241" s="70">
        <f t="shared" si="29"/>
        <v>45.668789808917197</v>
      </c>
      <c r="O241" s="65">
        <v>0</v>
      </c>
      <c r="P241" s="65">
        <v>0</v>
      </c>
      <c r="Q241" s="71">
        <f t="shared" si="30"/>
        <v>17.160939591869852</v>
      </c>
      <c r="S241" s="91">
        <v>1.5527703700496764</v>
      </c>
      <c r="T241" s="91">
        <v>93.976099811198537</v>
      </c>
      <c r="U241" s="39" t="str">
        <f t="shared" si="31"/>
        <v>Normal</v>
      </c>
      <c r="V241" s="91">
        <v>-2.0059343136129386</v>
      </c>
      <c r="W241" s="91">
        <v>2.2431628334707825</v>
      </c>
      <c r="X241" s="39" t="str">
        <f t="shared" si="24"/>
        <v>Piernas cortas</v>
      </c>
      <c r="Y241" s="116">
        <v>-0.11961863469523697</v>
      </c>
      <c r="Z241" s="91">
        <v>45.239262868283092</v>
      </c>
      <c r="AA241" s="39" t="str">
        <f t="shared" si="25"/>
        <v>Normal</v>
      </c>
    </row>
    <row r="242" spans="1:27" s="1" customFormat="1" ht="15.75" x14ac:dyDescent="0.25">
      <c r="A242" s="1">
        <f t="shared" si="32"/>
        <v>239</v>
      </c>
      <c r="B242" s="4" t="s">
        <v>515</v>
      </c>
      <c r="C242" s="72">
        <v>6</v>
      </c>
      <c r="D242" s="1" t="s">
        <v>7</v>
      </c>
      <c r="E242" s="1">
        <v>2</v>
      </c>
      <c r="F242" s="2">
        <v>40339</v>
      </c>
      <c r="G242" s="68">
        <v>44463</v>
      </c>
      <c r="H242" s="1">
        <f t="shared" si="26"/>
        <v>11</v>
      </c>
      <c r="I242" s="1">
        <f t="shared" si="27"/>
        <v>135</v>
      </c>
      <c r="J242" s="1">
        <v>35.6</v>
      </c>
      <c r="K242" s="1">
        <v>1.43</v>
      </c>
      <c r="L242" s="1">
        <f t="shared" si="28"/>
        <v>143</v>
      </c>
      <c r="M242" s="1">
        <f>114-40</f>
        <v>74</v>
      </c>
      <c r="N242" s="70">
        <f t="shared" si="29"/>
        <v>48.251748251748253</v>
      </c>
      <c r="O242" s="65">
        <v>0</v>
      </c>
      <c r="P242" s="65">
        <v>0</v>
      </c>
      <c r="Q242" s="71">
        <f t="shared" si="30"/>
        <v>17.409164262311119</v>
      </c>
      <c r="S242" s="91">
        <v>-0.53651306186177705</v>
      </c>
      <c r="T242" s="91">
        <v>29.580200551545165</v>
      </c>
      <c r="U242" s="39" t="str">
        <f t="shared" si="31"/>
        <v>Normal</v>
      </c>
      <c r="V242" s="91">
        <v>-0.22541890621205368</v>
      </c>
      <c r="W242" s="91">
        <v>41.082670253535078</v>
      </c>
      <c r="X242" s="39" t="str">
        <f t="shared" si="24"/>
        <v>Normal</v>
      </c>
      <c r="Y242" s="116">
        <v>-6.5440885204006011E-3</v>
      </c>
      <c r="Z242" s="91">
        <v>49.738930503641235</v>
      </c>
      <c r="AA242" s="39" t="str">
        <f t="shared" si="25"/>
        <v>Normal</v>
      </c>
    </row>
    <row r="243" spans="1:27" s="1" customFormat="1" ht="15.75" x14ac:dyDescent="0.25">
      <c r="A243" s="1">
        <f t="shared" si="32"/>
        <v>240</v>
      </c>
      <c r="B243" s="4" t="s">
        <v>516</v>
      </c>
      <c r="C243" s="72">
        <v>6</v>
      </c>
      <c r="D243" s="1" t="s">
        <v>7</v>
      </c>
      <c r="E243" s="1">
        <v>1</v>
      </c>
      <c r="F243" s="2">
        <v>40357</v>
      </c>
      <c r="G243" s="68">
        <v>44463</v>
      </c>
      <c r="H243" s="1">
        <f t="shared" si="26"/>
        <v>11</v>
      </c>
      <c r="I243" s="1">
        <f t="shared" si="27"/>
        <v>134</v>
      </c>
      <c r="J243" s="1">
        <v>48</v>
      </c>
      <c r="K243" s="1">
        <v>1.44</v>
      </c>
      <c r="L243" s="1">
        <f t="shared" si="28"/>
        <v>144</v>
      </c>
      <c r="M243" s="1">
        <f>113.4-40</f>
        <v>73.400000000000006</v>
      </c>
      <c r="N243" s="70">
        <f t="shared" si="29"/>
        <v>49.027777777777779</v>
      </c>
      <c r="O243" s="65">
        <v>0</v>
      </c>
      <c r="P243" s="65">
        <v>0</v>
      </c>
      <c r="Q243" s="71">
        <f t="shared" si="30"/>
        <v>23.148148148148149</v>
      </c>
      <c r="S243" s="91">
        <v>-7.5251427529348441E-3</v>
      </c>
      <c r="T243" s="91">
        <v>49.699793072324105</v>
      </c>
      <c r="U243" s="39" t="str">
        <f t="shared" si="31"/>
        <v>Normal</v>
      </c>
      <c r="V243" s="91">
        <v>8.0164338201137955E-2</v>
      </c>
      <c r="W243" s="91">
        <v>53.194672357947638</v>
      </c>
      <c r="X243" s="39" t="str">
        <f t="shared" si="24"/>
        <v>Normal</v>
      </c>
      <c r="Y243" s="116">
        <v>2.1181062903906671</v>
      </c>
      <c r="Z243" s="91">
        <v>98.291696653737972</v>
      </c>
      <c r="AA243" s="39" t="str">
        <f t="shared" si="25"/>
        <v>Obesidad</v>
      </c>
    </row>
    <row r="244" spans="1:27" s="1" customFormat="1" ht="15.75" x14ac:dyDescent="0.25">
      <c r="A244" s="1">
        <f t="shared" si="32"/>
        <v>241</v>
      </c>
      <c r="B244" s="4" t="s">
        <v>517</v>
      </c>
      <c r="C244" s="72">
        <v>6</v>
      </c>
      <c r="D244" s="1" t="s">
        <v>7</v>
      </c>
      <c r="E244" s="1">
        <v>1</v>
      </c>
      <c r="F244" s="2">
        <v>40496</v>
      </c>
      <c r="G244" s="68">
        <v>44463</v>
      </c>
      <c r="H244" s="1">
        <f t="shared" si="26"/>
        <v>10</v>
      </c>
      <c r="I244" s="1">
        <f t="shared" si="27"/>
        <v>130</v>
      </c>
      <c r="J244" s="1">
        <v>26.2</v>
      </c>
      <c r="K244" s="1">
        <v>1.29</v>
      </c>
      <c r="L244" s="1">
        <f t="shared" si="28"/>
        <v>129</v>
      </c>
      <c r="M244" s="1">
        <f>110-40</f>
        <v>70</v>
      </c>
      <c r="N244" s="70">
        <f t="shared" si="29"/>
        <v>45.736434108527128</v>
      </c>
      <c r="O244" s="65">
        <v>0</v>
      </c>
      <c r="P244" s="65">
        <v>0</v>
      </c>
      <c r="Q244" s="71">
        <f t="shared" si="30"/>
        <v>15.744246139054141</v>
      </c>
      <c r="S244" s="91">
        <v>-1.97726796196586</v>
      </c>
      <c r="T244" s="91">
        <v>2.4005674539180397</v>
      </c>
      <c r="U244" s="39" t="str">
        <f t="shared" si="31"/>
        <v>Desnutricion</v>
      </c>
      <c r="V244" s="91">
        <v>-1.9780716194506953</v>
      </c>
      <c r="W244" s="91">
        <v>2.396031385198472</v>
      </c>
      <c r="X244" s="39" t="str">
        <f t="shared" si="24"/>
        <v>Piernas cortas</v>
      </c>
      <c r="Y244" s="116">
        <v>-0.65641233932941279</v>
      </c>
      <c r="Z244" s="91">
        <v>25.577942660249864</v>
      </c>
      <c r="AA244" s="39" t="str">
        <f t="shared" si="25"/>
        <v>Normal</v>
      </c>
    </row>
    <row r="245" spans="1:27" s="1" customFormat="1" ht="15.75" x14ac:dyDescent="0.25">
      <c r="A245" s="1">
        <f t="shared" si="32"/>
        <v>242</v>
      </c>
      <c r="B245" s="4" t="s">
        <v>518</v>
      </c>
      <c r="C245" s="72">
        <v>6</v>
      </c>
      <c r="D245" s="1" t="s">
        <v>7</v>
      </c>
      <c r="E245" s="1">
        <v>2</v>
      </c>
      <c r="F245" s="2">
        <v>40512</v>
      </c>
      <c r="G245" s="68">
        <v>44463</v>
      </c>
      <c r="H245" s="1">
        <f t="shared" si="26"/>
        <v>10</v>
      </c>
      <c r="I245" s="1">
        <f t="shared" si="27"/>
        <v>129</v>
      </c>
      <c r="J245" s="1">
        <v>39</v>
      </c>
      <c r="K245" s="1">
        <v>1.57</v>
      </c>
      <c r="L245" s="1">
        <f t="shared" si="28"/>
        <v>157</v>
      </c>
      <c r="M245" s="1">
        <f>120.7-40</f>
        <v>80.7</v>
      </c>
      <c r="N245" s="70">
        <f t="shared" si="29"/>
        <v>48.598726114649679</v>
      </c>
      <c r="O245" s="65">
        <v>0</v>
      </c>
      <c r="P245" s="65">
        <v>0</v>
      </c>
      <c r="Q245" s="71">
        <f t="shared" si="30"/>
        <v>15.82214288612114</v>
      </c>
      <c r="S245" s="91">
        <v>2.0665175714756714</v>
      </c>
      <c r="T245" s="91">
        <v>98.061018250175351</v>
      </c>
      <c r="U245" s="39" t="str">
        <f t="shared" si="31"/>
        <v>Alto</v>
      </c>
      <c r="V245" s="91">
        <v>3.2357584641658277E-2</v>
      </c>
      <c r="W245" s="91">
        <v>51.290655634327784</v>
      </c>
      <c r="X245" s="39" t="str">
        <f t="shared" si="24"/>
        <v>Normal</v>
      </c>
      <c r="Y245" s="116">
        <v>-0.63818396695296686</v>
      </c>
      <c r="Z245" s="91">
        <v>26.167696637018256</v>
      </c>
      <c r="AA245" s="39" t="str">
        <f t="shared" si="25"/>
        <v>Normal</v>
      </c>
    </row>
    <row r="246" spans="1:27" s="1" customFormat="1" ht="15.75" x14ac:dyDescent="0.25">
      <c r="A246" s="1">
        <f t="shared" si="32"/>
        <v>243</v>
      </c>
      <c r="B246" s="4" t="s">
        <v>519</v>
      </c>
      <c r="C246" s="72">
        <v>6</v>
      </c>
      <c r="D246" s="1" t="s">
        <v>7</v>
      </c>
      <c r="E246" s="1">
        <v>1</v>
      </c>
      <c r="F246" s="2">
        <v>40289</v>
      </c>
      <c r="G246" s="68">
        <v>44463</v>
      </c>
      <c r="H246" s="1">
        <f t="shared" si="26"/>
        <v>11</v>
      </c>
      <c r="I246" s="1">
        <f t="shared" si="27"/>
        <v>137</v>
      </c>
      <c r="J246" s="1">
        <v>39</v>
      </c>
      <c r="K246" s="1">
        <v>1.34</v>
      </c>
      <c r="L246" s="1">
        <f t="shared" si="28"/>
        <v>134</v>
      </c>
      <c r="M246" s="1">
        <f>114-40</f>
        <v>74</v>
      </c>
      <c r="N246" s="70">
        <f t="shared" si="29"/>
        <v>44.776119402985074</v>
      </c>
      <c r="O246" s="65">
        <v>0</v>
      </c>
      <c r="P246" s="65">
        <v>0</v>
      </c>
      <c r="Q246" s="71">
        <f t="shared" si="30"/>
        <v>21.71975941189574</v>
      </c>
      <c r="S246" s="91">
        <v>-1.6712143280432632</v>
      </c>
      <c r="T246" s="91">
        <v>4.7339675582252045</v>
      </c>
      <c r="U246" s="39" t="str">
        <f t="shared" si="31"/>
        <v>Desnutricion</v>
      </c>
      <c r="V246" s="91">
        <v>-2.9537531447384548</v>
      </c>
      <c r="W246" s="91">
        <v>0.15696750719382116</v>
      </c>
      <c r="X246" s="39" t="str">
        <f t="shared" si="24"/>
        <v>Piernas cortas</v>
      </c>
      <c r="Y246" s="116">
        <v>1.7019083692975774</v>
      </c>
      <c r="Z246" s="91">
        <v>95.561372668148991</v>
      </c>
      <c r="AA246" s="39" t="str">
        <f t="shared" si="25"/>
        <v>Obesidad</v>
      </c>
    </row>
    <row r="247" spans="1:27" s="1" customFormat="1" ht="15.75" x14ac:dyDescent="0.25">
      <c r="A247" s="1">
        <f t="shared" si="32"/>
        <v>244</v>
      </c>
      <c r="B247" s="4" t="s">
        <v>520</v>
      </c>
      <c r="C247" s="72">
        <v>6</v>
      </c>
      <c r="D247" s="1" t="s">
        <v>7</v>
      </c>
      <c r="E247" s="1">
        <v>1</v>
      </c>
      <c r="F247" s="2">
        <v>40245</v>
      </c>
      <c r="G247" s="68">
        <v>44463</v>
      </c>
      <c r="H247" s="1">
        <f t="shared" si="26"/>
        <v>11</v>
      </c>
      <c r="I247" s="1">
        <f t="shared" si="27"/>
        <v>138</v>
      </c>
      <c r="J247" s="1">
        <v>53.2</v>
      </c>
      <c r="K247" s="1">
        <v>1.48</v>
      </c>
      <c r="L247" s="1">
        <f t="shared" si="28"/>
        <v>148</v>
      </c>
      <c r="M247" s="1">
        <f>113.6-40</f>
        <v>73.599999999999994</v>
      </c>
      <c r="N247" s="70">
        <f t="shared" si="29"/>
        <v>50.270270270270281</v>
      </c>
      <c r="O247" s="65">
        <v>0</v>
      </c>
      <c r="P247" s="65">
        <v>0</v>
      </c>
      <c r="Q247" s="71">
        <f t="shared" si="30"/>
        <v>24.287801314828343</v>
      </c>
      <c r="S247" s="91">
        <v>0.29108867345104167</v>
      </c>
      <c r="T247" s="91">
        <v>61.45082488440643</v>
      </c>
      <c r="U247" s="39" t="str">
        <f t="shared" si="31"/>
        <v>Normal</v>
      </c>
      <c r="V247" s="91">
        <v>0.91341905420872616</v>
      </c>
      <c r="W247" s="91">
        <v>81.948890598408525</v>
      </c>
      <c r="X247" s="39" t="str">
        <f t="shared" si="24"/>
        <v>Normal</v>
      </c>
      <c r="Y247" s="116">
        <v>2.2717279413234728</v>
      </c>
      <c r="Z247" s="91">
        <v>98.844852626409832</v>
      </c>
      <c r="AA247" s="39" t="str">
        <f t="shared" si="25"/>
        <v>Obesidad</v>
      </c>
    </row>
    <row r="248" spans="1:27" s="1" customFormat="1" ht="15.75" x14ac:dyDescent="0.25">
      <c r="A248" s="1">
        <f t="shared" si="32"/>
        <v>245</v>
      </c>
      <c r="B248" s="4" t="s">
        <v>521</v>
      </c>
      <c r="C248" s="72">
        <v>6</v>
      </c>
      <c r="D248" s="1" t="s">
        <v>7</v>
      </c>
      <c r="E248" s="1">
        <v>1</v>
      </c>
      <c r="F248" s="2">
        <v>40277</v>
      </c>
      <c r="G248" s="68">
        <v>44463</v>
      </c>
      <c r="H248" s="1">
        <f t="shared" si="26"/>
        <v>11</v>
      </c>
      <c r="I248" s="1">
        <f t="shared" si="27"/>
        <v>137</v>
      </c>
      <c r="J248" s="1">
        <v>29.8</v>
      </c>
      <c r="K248" s="1">
        <v>1.43</v>
      </c>
      <c r="L248" s="1">
        <f t="shared" si="28"/>
        <v>143</v>
      </c>
      <c r="M248" s="1">
        <f>114-40</f>
        <v>74</v>
      </c>
      <c r="N248" s="70">
        <f t="shared" si="29"/>
        <v>48.251748251748253</v>
      </c>
      <c r="O248" s="65">
        <v>0</v>
      </c>
      <c r="P248" s="65">
        <v>0</v>
      </c>
      <c r="Q248" s="71">
        <f t="shared" si="30"/>
        <v>14.572839747664926</v>
      </c>
      <c r="S248" s="91">
        <v>-0.36289790269364358</v>
      </c>
      <c r="T248" s="91">
        <v>35.834057675787875</v>
      </c>
      <c r="U248" s="39" t="str">
        <f t="shared" si="31"/>
        <v>Normal</v>
      </c>
      <c r="V248" s="91">
        <v>-0.45189989336140496</v>
      </c>
      <c r="W248" s="91">
        <v>32.567055063886812</v>
      </c>
      <c r="X248" s="39" t="str">
        <f t="shared" si="24"/>
        <v>Normal</v>
      </c>
      <c r="Y248" s="116">
        <v>-1.6948608625032178</v>
      </c>
      <c r="Z248" s="91">
        <v>4.5050909238523964</v>
      </c>
      <c r="AA248" s="39" t="str">
        <f t="shared" si="25"/>
        <v>Desnutricion</v>
      </c>
    </row>
    <row r="249" spans="1:27" s="1" customFormat="1" ht="15.75" x14ac:dyDescent="0.25">
      <c r="A249" s="1">
        <f t="shared" si="32"/>
        <v>246</v>
      </c>
      <c r="B249" s="4" t="s">
        <v>522</v>
      </c>
      <c r="C249" s="72">
        <v>6</v>
      </c>
      <c r="D249" s="1" t="s">
        <v>7</v>
      </c>
      <c r="E249" s="1">
        <v>1</v>
      </c>
      <c r="F249" s="2">
        <v>40189</v>
      </c>
      <c r="G249" s="68">
        <v>44463</v>
      </c>
      <c r="H249" s="1">
        <f t="shared" si="26"/>
        <v>11</v>
      </c>
      <c r="I249" s="1">
        <f t="shared" si="27"/>
        <v>140</v>
      </c>
      <c r="J249" s="1">
        <v>40.6</v>
      </c>
      <c r="K249" s="1">
        <v>1.53</v>
      </c>
      <c r="L249" s="1">
        <f t="shared" si="28"/>
        <v>153</v>
      </c>
      <c r="M249" s="1">
        <f>118.2-40</f>
        <v>78.2</v>
      </c>
      <c r="N249" s="70">
        <f t="shared" si="29"/>
        <v>48.888888888888886</v>
      </c>
      <c r="O249" s="65">
        <v>0</v>
      </c>
      <c r="P249" s="65">
        <v>0</v>
      </c>
      <c r="Q249" s="71">
        <f t="shared" si="30"/>
        <v>17.343756674783204</v>
      </c>
      <c r="S249" s="91">
        <v>0.86219442815752789</v>
      </c>
      <c r="T249" s="91">
        <v>80.570973234975867</v>
      </c>
      <c r="U249" s="39" t="str">
        <f t="shared" si="31"/>
        <v>Normal</v>
      </c>
      <c r="V249" s="91">
        <v>-1.4391075478969216E-2</v>
      </c>
      <c r="W249" s="91">
        <v>49.425898969513547</v>
      </c>
      <c r="X249" s="39" t="str">
        <f t="shared" si="24"/>
        <v>Normal</v>
      </c>
      <c r="Y249" s="116">
        <v>1.0006275261178253E-2</v>
      </c>
      <c r="Z249" s="91">
        <v>50.399185965638736</v>
      </c>
      <c r="AA249" s="39" t="str">
        <f t="shared" si="25"/>
        <v>Normal</v>
      </c>
    </row>
    <row r="250" spans="1:27" s="1" customFormat="1" ht="15.75" x14ac:dyDescent="0.25">
      <c r="A250" s="1">
        <f t="shared" si="32"/>
        <v>247</v>
      </c>
      <c r="B250" s="4" t="s">
        <v>523</v>
      </c>
      <c r="C250" s="72">
        <v>6</v>
      </c>
      <c r="D250" s="1" t="s">
        <v>7</v>
      </c>
      <c r="E250" s="1">
        <v>2</v>
      </c>
      <c r="F250" s="2">
        <v>40294</v>
      </c>
      <c r="G250" s="68">
        <v>44463</v>
      </c>
      <c r="H250" s="1">
        <f t="shared" si="26"/>
        <v>11</v>
      </c>
      <c r="I250" s="1">
        <f t="shared" si="27"/>
        <v>136</v>
      </c>
      <c r="J250" s="1">
        <v>37.799999999999997</v>
      </c>
      <c r="K250" s="1">
        <v>1.46</v>
      </c>
      <c r="L250" s="1">
        <f t="shared" si="28"/>
        <v>146</v>
      </c>
      <c r="M250" s="1">
        <f>113.7-40</f>
        <v>73.7</v>
      </c>
      <c r="N250" s="70">
        <f t="shared" si="29"/>
        <v>49.520547945205479</v>
      </c>
      <c r="O250" s="65">
        <v>0</v>
      </c>
      <c r="P250" s="65">
        <v>0</v>
      </c>
      <c r="Q250" s="71">
        <f t="shared" si="30"/>
        <v>17.733158191030213</v>
      </c>
      <c r="S250" s="91">
        <v>-0.16760790331086481</v>
      </c>
      <c r="T250" s="91">
        <v>43.344587661072566</v>
      </c>
      <c r="U250" s="39" t="str">
        <f t="shared" si="31"/>
        <v>Normal</v>
      </c>
      <c r="V250" s="91">
        <v>0.61138751472891317</v>
      </c>
      <c r="W250" s="91">
        <v>72.952846688735178</v>
      </c>
      <c r="X250" s="39" t="str">
        <f t="shared" si="24"/>
        <v>Normal</v>
      </c>
      <c r="Y250" s="116">
        <v>0.1084248105878373</v>
      </c>
      <c r="Z250" s="91">
        <v>54.317063942812084</v>
      </c>
      <c r="AA250" s="39" t="str">
        <f t="shared" si="25"/>
        <v>Normal</v>
      </c>
    </row>
    <row r="251" spans="1:27" s="1" customFormat="1" ht="15.75" x14ac:dyDescent="0.25">
      <c r="A251" s="1">
        <f t="shared" si="32"/>
        <v>248</v>
      </c>
      <c r="B251" s="4" t="s">
        <v>524</v>
      </c>
      <c r="C251" s="72">
        <v>6</v>
      </c>
      <c r="D251" s="1" t="s">
        <v>7</v>
      </c>
      <c r="E251" s="1">
        <v>2</v>
      </c>
      <c r="F251" s="2">
        <v>40267</v>
      </c>
      <c r="G251" s="68">
        <v>44463</v>
      </c>
      <c r="H251" s="1">
        <f t="shared" si="26"/>
        <v>11</v>
      </c>
      <c r="I251" s="1">
        <f t="shared" si="27"/>
        <v>137</v>
      </c>
      <c r="J251" s="1">
        <v>52.6</v>
      </c>
      <c r="K251" s="1">
        <v>1.49</v>
      </c>
      <c r="L251" s="1">
        <f t="shared" si="28"/>
        <v>149</v>
      </c>
      <c r="M251" s="1">
        <f>118.7-40</f>
        <v>78.7</v>
      </c>
      <c r="N251" s="70">
        <f t="shared" si="29"/>
        <v>47.181208053691279</v>
      </c>
      <c r="O251" s="65">
        <v>0</v>
      </c>
      <c r="P251" s="65">
        <v>0</v>
      </c>
      <c r="Q251" s="71">
        <f t="shared" si="30"/>
        <v>23.692626458267647</v>
      </c>
      <c r="S251" s="91">
        <v>0.19970273283255241</v>
      </c>
      <c r="T251" s="91">
        <v>57.914346183120045</v>
      </c>
      <c r="U251" s="39" t="str">
        <f t="shared" si="31"/>
        <v>Normal</v>
      </c>
      <c r="V251" s="91">
        <v>-0.95041491636876496</v>
      </c>
      <c r="W251" s="91">
        <v>17.09507338230156</v>
      </c>
      <c r="X251" s="39" t="str">
        <f t="shared" si="24"/>
        <v>Normal</v>
      </c>
      <c r="Y251" s="116">
        <v>1.8882335965525427</v>
      </c>
      <c r="Z251" s="91">
        <v>97.050270130235489</v>
      </c>
      <c r="AA251" s="39" t="str">
        <f t="shared" si="25"/>
        <v>Obesidad</v>
      </c>
    </row>
    <row r="252" spans="1:27" s="1" customFormat="1" ht="15.75" x14ac:dyDescent="0.25">
      <c r="A252" s="1">
        <f t="shared" si="32"/>
        <v>249</v>
      </c>
      <c r="B252" s="4" t="s">
        <v>525</v>
      </c>
      <c r="C252" s="72">
        <v>6</v>
      </c>
      <c r="D252" s="1" t="s">
        <v>26</v>
      </c>
      <c r="E252" s="1">
        <v>1</v>
      </c>
      <c r="F252" s="2">
        <v>40450</v>
      </c>
      <c r="G252" s="68">
        <v>44463</v>
      </c>
      <c r="H252" s="1">
        <f t="shared" si="26"/>
        <v>10</v>
      </c>
      <c r="I252" s="1">
        <f t="shared" si="27"/>
        <v>131</v>
      </c>
      <c r="J252" s="1">
        <v>52.1</v>
      </c>
      <c r="K252" s="1">
        <v>1.47</v>
      </c>
      <c r="L252" s="1">
        <f t="shared" si="28"/>
        <v>147</v>
      </c>
      <c r="M252" s="1">
        <f>116-40</f>
        <v>76</v>
      </c>
      <c r="N252" s="70">
        <f t="shared" si="29"/>
        <v>48.299319727891152</v>
      </c>
      <c r="O252" s="65">
        <v>0</v>
      </c>
      <c r="P252" s="65">
        <v>0</v>
      </c>
      <c r="Q252" s="71">
        <f t="shared" si="30"/>
        <v>24.110324401869594</v>
      </c>
      <c r="S252" s="91">
        <v>0.64907395106800247</v>
      </c>
      <c r="T252" s="91">
        <v>74.18547109947508</v>
      </c>
      <c r="U252" s="39" t="str">
        <f t="shared" si="31"/>
        <v>Normal</v>
      </c>
      <c r="V252" s="91">
        <v>-0.21353558739151099</v>
      </c>
      <c r="W252" s="91">
        <v>41.545461720972696</v>
      </c>
      <c r="X252" s="39" t="str">
        <f t="shared" si="24"/>
        <v>Normal</v>
      </c>
      <c r="Y252" s="116">
        <v>2.3872959188182818</v>
      </c>
      <c r="Z252" s="91">
        <v>99.15135883533253</v>
      </c>
      <c r="AA252" s="39" t="str">
        <f t="shared" si="25"/>
        <v>Obesidad</v>
      </c>
    </row>
    <row r="253" spans="1:27" s="1" customFormat="1" ht="15.75" x14ac:dyDescent="0.25">
      <c r="A253" s="1">
        <f t="shared" si="32"/>
        <v>250</v>
      </c>
      <c r="B253" s="4" t="s">
        <v>526</v>
      </c>
      <c r="C253" s="72">
        <v>6</v>
      </c>
      <c r="D253" s="1" t="s">
        <v>26</v>
      </c>
      <c r="E253" s="1">
        <v>2</v>
      </c>
      <c r="F253" s="2">
        <v>40198</v>
      </c>
      <c r="G253" s="68">
        <v>44463</v>
      </c>
      <c r="H253" s="1">
        <f t="shared" si="26"/>
        <v>11</v>
      </c>
      <c r="I253" s="1">
        <f t="shared" si="27"/>
        <v>140</v>
      </c>
      <c r="J253" s="1">
        <v>61.9</v>
      </c>
      <c r="K253" s="1">
        <v>1.5</v>
      </c>
      <c r="L253" s="1">
        <f t="shared" si="28"/>
        <v>150</v>
      </c>
      <c r="M253" s="1">
        <f>119.8-40</f>
        <v>79.8</v>
      </c>
      <c r="N253" s="70">
        <f t="shared" si="29"/>
        <v>46.800000000000004</v>
      </c>
      <c r="O253" s="65">
        <v>0</v>
      </c>
      <c r="P253" s="65">
        <v>0</v>
      </c>
      <c r="Q253" s="71">
        <f t="shared" si="30"/>
        <v>27.511111111111109</v>
      </c>
      <c r="S253" s="91">
        <v>0.11502864739152639</v>
      </c>
      <c r="T253" s="91">
        <v>54.578879229213449</v>
      </c>
      <c r="U253" s="39" t="str">
        <f t="shared" si="31"/>
        <v>Normal</v>
      </c>
      <c r="V253" s="91">
        <v>-1.2129339351592592</v>
      </c>
      <c r="W253" s="91">
        <v>11.257753998865153</v>
      </c>
      <c r="X253" s="39" t="str">
        <f t="shared" si="24"/>
        <v>Normal</v>
      </c>
      <c r="Y253" s="116">
        <v>2.5094177982983661</v>
      </c>
      <c r="Z253" s="91">
        <v>99.395348209841885</v>
      </c>
      <c r="AA253" s="39" t="str">
        <f t="shared" si="25"/>
        <v>Obesidad</v>
      </c>
    </row>
    <row r="254" spans="1:27" s="1" customFormat="1" ht="15.75" x14ac:dyDescent="0.25">
      <c r="A254" s="1">
        <f t="shared" si="32"/>
        <v>251</v>
      </c>
      <c r="B254" s="4" t="s">
        <v>527</v>
      </c>
      <c r="C254" s="72">
        <v>6</v>
      </c>
      <c r="D254" s="1" t="s">
        <v>26</v>
      </c>
      <c r="E254" s="1">
        <v>1</v>
      </c>
      <c r="F254" s="2">
        <v>40399</v>
      </c>
      <c r="G254" s="68">
        <v>44463</v>
      </c>
      <c r="H254" s="1">
        <f t="shared" si="26"/>
        <v>11</v>
      </c>
      <c r="I254" s="1">
        <f t="shared" si="27"/>
        <v>133</v>
      </c>
      <c r="J254" s="1">
        <v>53.9</v>
      </c>
      <c r="K254" s="1">
        <v>1.44</v>
      </c>
      <c r="L254" s="1">
        <f t="shared" si="28"/>
        <v>144</v>
      </c>
      <c r="M254" s="1">
        <f>119.5-40</f>
        <v>79.5</v>
      </c>
      <c r="N254" s="70">
        <f t="shared" si="29"/>
        <v>44.791666666666671</v>
      </c>
      <c r="O254" s="65">
        <v>0</v>
      </c>
      <c r="P254" s="65">
        <v>0</v>
      </c>
      <c r="Q254" s="71">
        <f t="shared" si="30"/>
        <v>25.993441358024693</v>
      </c>
      <c r="S254" s="91">
        <v>6.2193482131798643E-2</v>
      </c>
      <c r="T254" s="91">
        <v>52.479562352558027</v>
      </c>
      <c r="U254" s="39" t="str">
        <f t="shared" si="31"/>
        <v>Normal</v>
      </c>
      <c r="V254" s="91">
        <v>-2.9421010337210198</v>
      </c>
      <c r="W254" s="91">
        <v>0.16299677430101142</v>
      </c>
      <c r="X254" s="39" t="str">
        <f t="shared" si="24"/>
        <v>Piernas cortas</v>
      </c>
      <c r="Y254" s="116">
        <v>2.6820745969271389</v>
      </c>
      <c r="Z254" s="91">
        <v>99.634164288025445</v>
      </c>
      <c r="AA254" s="39" t="str">
        <f t="shared" si="25"/>
        <v>Obesidad</v>
      </c>
    </row>
    <row r="255" spans="1:27" s="1" customFormat="1" ht="15.75" x14ac:dyDescent="0.25">
      <c r="A255" s="1">
        <f t="shared" si="32"/>
        <v>252</v>
      </c>
      <c r="B255" s="4" t="s">
        <v>528</v>
      </c>
      <c r="C255" s="72">
        <v>6</v>
      </c>
      <c r="D255" s="1" t="s">
        <v>26</v>
      </c>
      <c r="E255" s="1">
        <v>1</v>
      </c>
      <c r="F255" s="2">
        <v>40479</v>
      </c>
      <c r="G255" s="68">
        <v>44463</v>
      </c>
      <c r="H255" s="1">
        <f t="shared" si="26"/>
        <v>10</v>
      </c>
      <c r="I255" s="1">
        <f t="shared" si="27"/>
        <v>130</v>
      </c>
      <c r="J255" s="1">
        <v>49.6</v>
      </c>
      <c r="K255" s="1">
        <v>1.4</v>
      </c>
      <c r="L255" s="1">
        <f t="shared" si="28"/>
        <v>140</v>
      </c>
      <c r="M255" s="1">
        <f>114-40</f>
        <v>74</v>
      </c>
      <c r="N255" s="70">
        <f t="shared" si="29"/>
        <v>47.142857142857139</v>
      </c>
      <c r="O255" s="65">
        <v>0</v>
      </c>
      <c r="P255" s="65">
        <v>0</v>
      </c>
      <c r="Q255" s="71">
        <f t="shared" si="30"/>
        <v>25.306122448979597</v>
      </c>
      <c r="S255" s="91">
        <v>-0.32849544145095178</v>
      </c>
      <c r="T255" s="91">
        <v>37.126854521817521</v>
      </c>
      <c r="U255" s="39" t="str">
        <f t="shared" si="31"/>
        <v>Normal</v>
      </c>
      <c r="V255" s="91">
        <v>-0.99672180646427799</v>
      </c>
      <c r="W255" s="91">
        <v>15.944978096966988</v>
      </c>
      <c r="X255" s="39" t="str">
        <f t="shared" si="24"/>
        <v>Normal</v>
      </c>
      <c r="Y255" s="116">
        <v>2.632399964415614</v>
      </c>
      <c r="Z255" s="91">
        <v>99.576080066393914</v>
      </c>
      <c r="AA255" s="39" t="str">
        <f t="shared" si="25"/>
        <v>Obesidad</v>
      </c>
    </row>
    <row r="256" spans="1:27" ht="15.75" x14ac:dyDescent="0.25">
      <c r="A256" s="1">
        <f t="shared" si="32"/>
        <v>253</v>
      </c>
      <c r="B256" s="4" t="s">
        <v>529</v>
      </c>
      <c r="C256" s="72">
        <v>6</v>
      </c>
      <c r="D256" s="1" t="s">
        <v>26</v>
      </c>
      <c r="E256" s="1">
        <v>2</v>
      </c>
      <c r="F256" s="2">
        <v>40260</v>
      </c>
      <c r="G256" s="68">
        <v>44463</v>
      </c>
      <c r="H256" s="1">
        <f t="shared" si="26"/>
        <v>11</v>
      </c>
      <c r="I256" s="1">
        <f t="shared" si="27"/>
        <v>138</v>
      </c>
      <c r="J256" s="1">
        <v>62.4</v>
      </c>
      <c r="K256" s="1">
        <v>1.52</v>
      </c>
      <c r="L256" s="1">
        <f t="shared" si="28"/>
        <v>152</v>
      </c>
      <c r="M256" s="1">
        <f>123.4-40</f>
        <v>83.4</v>
      </c>
      <c r="N256" s="70">
        <f t="shared" si="29"/>
        <v>45.131578947368418</v>
      </c>
      <c r="O256" s="65">
        <v>0</v>
      </c>
      <c r="P256" s="65">
        <v>0</v>
      </c>
      <c r="Q256" s="71">
        <f t="shared" si="30"/>
        <v>27.008310249307478</v>
      </c>
      <c r="S256" s="91">
        <v>0.56565039312995813</v>
      </c>
      <c r="T256" s="91">
        <v>71.418426812164782</v>
      </c>
      <c r="U256" s="39" t="str">
        <f t="shared" si="31"/>
        <v>Normal</v>
      </c>
      <c r="V256" s="91">
        <v>-2.3900906410035914</v>
      </c>
      <c r="W256" s="91">
        <v>0.84221075597729289</v>
      </c>
      <c r="X256" s="39" t="str">
        <f t="shared" si="24"/>
        <v>Piernas cortas</v>
      </c>
      <c r="Y256" s="116">
        <v>2.4697344764663622</v>
      </c>
      <c r="Z256" s="91">
        <v>99.323933134236356</v>
      </c>
      <c r="AA256" s="39" t="str">
        <f t="shared" si="25"/>
        <v>Obesidad</v>
      </c>
    </row>
    <row r="257" spans="1:32" ht="15.75" x14ac:dyDescent="0.25">
      <c r="A257" s="1">
        <f t="shared" si="32"/>
        <v>254</v>
      </c>
      <c r="B257" s="4" t="s">
        <v>530</v>
      </c>
      <c r="C257" s="72">
        <v>6</v>
      </c>
      <c r="D257" s="1" t="s">
        <v>26</v>
      </c>
      <c r="E257" s="1">
        <v>1</v>
      </c>
      <c r="F257" s="2">
        <v>40222</v>
      </c>
      <c r="G257" s="68">
        <v>44463</v>
      </c>
      <c r="H257" s="1">
        <f t="shared" si="26"/>
        <v>11</v>
      </c>
      <c r="I257" s="1">
        <f t="shared" si="27"/>
        <v>139</v>
      </c>
      <c r="J257" s="1">
        <v>32.9</v>
      </c>
      <c r="K257" s="1">
        <v>1.42</v>
      </c>
      <c r="L257" s="1">
        <f t="shared" si="28"/>
        <v>142</v>
      </c>
      <c r="M257" s="1">
        <f>112.7-40</f>
        <v>72.7</v>
      </c>
      <c r="N257" s="70">
        <f t="shared" si="29"/>
        <v>48.802816901408448</v>
      </c>
      <c r="O257" s="65">
        <v>0</v>
      </c>
      <c r="P257" s="65">
        <v>0</v>
      </c>
      <c r="Q257" s="71">
        <f t="shared" si="30"/>
        <v>16.316207101765521</v>
      </c>
      <c r="S257" s="91">
        <v>-0.64687496529090016</v>
      </c>
      <c r="T257" s="91">
        <v>25.885643477058263</v>
      </c>
      <c r="U257" s="39" t="str">
        <f t="shared" si="31"/>
        <v>Normal</v>
      </c>
      <c r="V257" s="91">
        <v>-7.3134273371804268E-2</v>
      </c>
      <c r="W257" s="91">
        <v>47.084963423309325</v>
      </c>
      <c r="X257" s="39" t="str">
        <f t="shared" si="24"/>
        <v>Normal</v>
      </c>
      <c r="Y257" s="116">
        <v>-0.5291158626822644</v>
      </c>
      <c r="Z257" s="91">
        <v>29.836253904771716</v>
      </c>
      <c r="AA257" s="39" t="str">
        <f t="shared" si="25"/>
        <v>Normal</v>
      </c>
    </row>
    <row r="258" spans="1:32" ht="15.75" x14ac:dyDescent="0.25">
      <c r="A258" s="1">
        <f t="shared" si="32"/>
        <v>255</v>
      </c>
      <c r="B258" s="4" t="s">
        <v>531</v>
      </c>
      <c r="C258" s="72">
        <v>6</v>
      </c>
      <c r="D258" s="1" t="s">
        <v>26</v>
      </c>
      <c r="E258" s="1">
        <v>2</v>
      </c>
      <c r="F258" s="2">
        <v>40257</v>
      </c>
      <c r="G258" s="68">
        <v>44463</v>
      </c>
      <c r="H258" s="1">
        <f t="shared" si="26"/>
        <v>11</v>
      </c>
      <c r="I258" s="1">
        <f t="shared" si="27"/>
        <v>138</v>
      </c>
      <c r="J258" s="1">
        <v>48.3</v>
      </c>
      <c r="K258" s="1">
        <v>1.5</v>
      </c>
      <c r="L258" s="1">
        <f t="shared" si="28"/>
        <v>150</v>
      </c>
      <c r="M258" s="1">
        <f>119.8-40</f>
        <v>79.8</v>
      </c>
      <c r="N258" s="70">
        <f t="shared" si="29"/>
        <v>46.800000000000004</v>
      </c>
      <c r="O258" s="65">
        <v>0</v>
      </c>
      <c r="P258" s="65">
        <v>0</v>
      </c>
      <c r="Q258" s="71">
        <f t="shared" si="30"/>
        <v>21.466666666666665</v>
      </c>
      <c r="S258" s="91">
        <v>0.2694673409098543</v>
      </c>
      <c r="T258" s="91">
        <v>60.621496441012027</v>
      </c>
      <c r="U258" s="39" t="str">
        <f t="shared" si="31"/>
        <v>Normal</v>
      </c>
      <c r="V258" s="91">
        <v>-1.2129339351592592</v>
      </c>
      <c r="W258" s="91">
        <v>11.257753998865153</v>
      </c>
      <c r="X258" s="39" t="str">
        <f t="shared" si="24"/>
        <v>Normal</v>
      </c>
      <c r="Y258" s="116">
        <v>1.3320820062740661</v>
      </c>
      <c r="Z258" s="91">
        <v>90.858337878129575</v>
      </c>
      <c r="AA258" s="39" t="str">
        <f t="shared" si="25"/>
        <v>Obesidad</v>
      </c>
    </row>
    <row r="259" spans="1:32" ht="15.75" x14ac:dyDescent="0.25">
      <c r="A259" s="1">
        <f t="shared" si="32"/>
        <v>256</v>
      </c>
      <c r="B259" s="4" t="s">
        <v>532</v>
      </c>
      <c r="C259" s="72">
        <v>6</v>
      </c>
      <c r="D259" s="1" t="s">
        <v>26</v>
      </c>
      <c r="E259" s="1">
        <v>1</v>
      </c>
      <c r="F259" s="2">
        <v>40348</v>
      </c>
      <c r="G259" s="68">
        <v>44463</v>
      </c>
      <c r="H259" s="1">
        <f t="shared" si="26"/>
        <v>11</v>
      </c>
      <c r="I259" s="1">
        <f t="shared" si="27"/>
        <v>135</v>
      </c>
      <c r="J259" s="1">
        <v>33.9</v>
      </c>
      <c r="K259" s="1">
        <v>1.42</v>
      </c>
      <c r="L259" s="1">
        <f t="shared" si="28"/>
        <v>142</v>
      </c>
      <c r="M259" s="1">
        <f>114.3-40</f>
        <v>74.3</v>
      </c>
      <c r="N259" s="70">
        <f t="shared" si="29"/>
        <v>47.676056338028175</v>
      </c>
      <c r="O259" s="65">
        <v>0</v>
      </c>
      <c r="P259" s="65">
        <v>0</v>
      </c>
      <c r="Q259" s="71">
        <f t="shared" si="30"/>
        <v>16.812140448323746</v>
      </c>
      <c r="S259" s="91">
        <v>-0.37060184615518021</v>
      </c>
      <c r="T259" s="91">
        <v>35.54670534021561</v>
      </c>
      <c r="U259" s="39" t="str">
        <f t="shared" si="31"/>
        <v>Normal</v>
      </c>
      <c r="V259" s="91">
        <v>-0.85260392894014037</v>
      </c>
      <c r="W259" s="91">
        <v>19.693949152487335</v>
      </c>
      <c r="X259" s="39" t="str">
        <f t="shared" si="24"/>
        <v>Normal</v>
      </c>
      <c r="Y259" s="116">
        <v>-0.14242650709229232</v>
      </c>
      <c r="Z259" s="91">
        <v>44.337156308792558</v>
      </c>
      <c r="AA259" s="39" t="str">
        <f t="shared" si="25"/>
        <v>Normal</v>
      </c>
    </row>
    <row r="260" spans="1:32" ht="15.75" x14ac:dyDescent="0.25">
      <c r="A260" s="1">
        <f t="shared" si="32"/>
        <v>257</v>
      </c>
      <c r="B260" s="4" t="s">
        <v>533</v>
      </c>
      <c r="C260" s="72">
        <v>6</v>
      </c>
      <c r="D260" s="1" t="s">
        <v>26</v>
      </c>
      <c r="E260" s="1">
        <v>1</v>
      </c>
      <c r="F260" s="2">
        <v>40518</v>
      </c>
      <c r="G260" s="68">
        <v>44463</v>
      </c>
      <c r="H260" s="1">
        <f t="shared" si="26"/>
        <v>10</v>
      </c>
      <c r="I260" s="1">
        <f t="shared" si="27"/>
        <v>129</v>
      </c>
      <c r="J260" s="1">
        <v>51.9</v>
      </c>
      <c r="K260" s="1">
        <v>1.56</v>
      </c>
      <c r="L260" s="1">
        <f t="shared" si="28"/>
        <v>156</v>
      </c>
      <c r="M260" s="1">
        <f>120-40</f>
        <v>80</v>
      </c>
      <c r="N260" s="70">
        <f t="shared" si="29"/>
        <v>48.717948717948715</v>
      </c>
      <c r="O260" s="65">
        <v>0</v>
      </c>
      <c r="P260" s="65">
        <v>0</v>
      </c>
      <c r="Q260" s="71">
        <f t="shared" si="30"/>
        <v>21.326429980276131</v>
      </c>
      <c r="S260" s="91">
        <v>2.1474945199864135</v>
      </c>
      <c r="T260" s="91">
        <v>98.412303350131836</v>
      </c>
      <c r="U260" s="39" t="str">
        <f t="shared" si="31"/>
        <v>Alto</v>
      </c>
      <c r="V260" s="91">
        <v>6.4914676741073707E-2</v>
      </c>
      <c r="W260" s="91">
        <v>52.587903255384205</v>
      </c>
      <c r="X260" s="39" t="str">
        <f t="shared" ref="X260:X267" si="33">IF(V260&lt;-1.645,"Piernas cortas",IF(AND(V260&gt;=-1.645,V260&lt;=1.645),"Normal",IF(V260&gt;1.645,"Piernas largas")))</f>
        <v>Normal</v>
      </c>
      <c r="Y260" s="116">
        <v>1.7733378660233308</v>
      </c>
      <c r="Z260" s="91">
        <v>96.191363095518227</v>
      </c>
      <c r="AA260" s="39" t="str">
        <f t="shared" ref="AA260:AA267" si="34">IF(Z260&lt;5,"Desnutricion",IF(AND(Z260&gt;=5,Z260&lt;15),"Bajo Peso",IF(AND(Z260&gt;=15,Z260&lt;=85),"Normal",IF(Z260&gt;85,"Obesidad"))))</f>
        <v>Obesidad</v>
      </c>
    </row>
    <row r="261" spans="1:32" ht="15.75" x14ac:dyDescent="0.25">
      <c r="A261" s="1">
        <f t="shared" si="32"/>
        <v>258</v>
      </c>
      <c r="B261" s="4" t="s">
        <v>534</v>
      </c>
      <c r="C261" s="72">
        <v>6</v>
      </c>
      <c r="D261" s="1" t="s">
        <v>26</v>
      </c>
      <c r="E261" s="1">
        <v>1</v>
      </c>
      <c r="F261" s="2">
        <v>40344</v>
      </c>
      <c r="G261" s="68">
        <v>44463</v>
      </c>
      <c r="H261" s="1">
        <f t="shared" si="26"/>
        <v>11</v>
      </c>
      <c r="I261" s="1">
        <f t="shared" ref="I261:I267" si="35">DATEDIF(F261,G261,"m")</f>
        <v>135</v>
      </c>
      <c r="J261" s="1">
        <v>68.099999999999994</v>
      </c>
      <c r="K261" s="1">
        <v>1.58</v>
      </c>
      <c r="L261" s="1">
        <f t="shared" ref="L261:L267" si="36">K261*100</f>
        <v>158</v>
      </c>
      <c r="M261" s="1">
        <f>121-40</f>
        <v>81</v>
      </c>
      <c r="N261" s="70">
        <f t="shared" ref="N261:N267" si="37">((L261-M261)/L261)*100</f>
        <v>48.734177215189874</v>
      </c>
      <c r="O261" s="65">
        <v>0</v>
      </c>
      <c r="P261" s="65">
        <v>0</v>
      </c>
      <c r="Q261" s="71">
        <f t="shared" ref="Q261:Q267" si="38">J261/(K261*K261)</f>
        <v>27.279282166319494</v>
      </c>
      <c r="S261" s="91">
        <v>1.9753506536402201</v>
      </c>
      <c r="T261" s="91">
        <v>97.588581568816082</v>
      </c>
      <c r="U261" s="39" t="str">
        <f t="shared" ref="U261:U267" si="39">IF(S261&lt;-1.645,"Desnutricion",IF(AND(S261&gt;=-1.645,S261&lt;=1.645),"Normal",IF(S261&gt;1.645,"Alto")))</f>
        <v>Alto</v>
      </c>
      <c r="V261" s="91">
        <v>-0.12006023277735618</v>
      </c>
      <c r="W261" s="91">
        <v>45.221771705443665</v>
      </c>
      <c r="X261" s="39" t="str">
        <f t="shared" si="33"/>
        <v>Normal</v>
      </c>
      <c r="Y261" s="116">
        <v>2.8346362232829625</v>
      </c>
      <c r="Z261" s="91">
        <v>99.770610531252331</v>
      </c>
      <c r="AA261" s="39" t="str">
        <f t="shared" si="34"/>
        <v>Obesidad</v>
      </c>
    </row>
    <row r="262" spans="1:32" ht="15.75" x14ac:dyDescent="0.25">
      <c r="A262" s="1">
        <f t="shared" si="32"/>
        <v>259</v>
      </c>
      <c r="B262" s="4" t="s">
        <v>535</v>
      </c>
      <c r="C262" s="72">
        <v>6</v>
      </c>
      <c r="D262" s="1" t="s">
        <v>26</v>
      </c>
      <c r="E262" s="1">
        <v>1</v>
      </c>
      <c r="F262" s="6">
        <v>40448</v>
      </c>
      <c r="G262" s="68">
        <v>44463</v>
      </c>
      <c r="H262" s="1">
        <f t="shared" si="26"/>
        <v>10</v>
      </c>
      <c r="I262" s="1">
        <f t="shared" si="35"/>
        <v>131</v>
      </c>
      <c r="J262" s="1">
        <v>40.6</v>
      </c>
      <c r="K262" s="1">
        <v>1.37</v>
      </c>
      <c r="L262" s="1">
        <f t="shared" si="36"/>
        <v>137</v>
      </c>
      <c r="M262" s="1">
        <f>111.5-40</f>
        <v>71.5</v>
      </c>
      <c r="N262" s="70">
        <f t="shared" si="37"/>
        <v>47.810218978102192</v>
      </c>
      <c r="O262" s="65">
        <v>0</v>
      </c>
      <c r="P262" s="65">
        <v>0</v>
      </c>
      <c r="Q262" s="71">
        <f t="shared" si="38"/>
        <v>21.631413500985666</v>
      </c>
      <c r="S262" s="91">
        <v>-0.8430843768659787</v>
      </c>
      <c r="T262" s="91">
        <v>19.959062784466731</v>
      </c>
      <c r="U262" s="39" t="str">
        <f t="shared" si="39"/>
        <v>Normal</v>
      </c>
      <c r="V262" s="91">
        <v>-0.54223116975885355</v>
      </c>
      <c r="W262" s="91">
        <v>29.382963263735597</v>
      </c>
      <c r="X262" s="39" t="str">
        <f t="shared" si="33"/>
        <v>Normal</v>
      </c>
      <c r="Y262" s="116">
        <v>1.8120235240919851</v>
      </c>
      <c r="Z262" s="91">
        <v>96.500871912321941</v>
      </c>
      <c r="AA262" s="39" t="str">
        <f t="shared" si="34"/>
        <v>Obesidad</v>
      </c>
    </row>
    <row r="263" spans="1:32" ht="15.75" x14ac:dyDescent="0.25">
      <c r="A263" s="1">
        <f t="shared" si="32"/>
        <v>260</v>
      </c>
      <c r="B263" s="4" t="s">
        <v>536</v>
      </c>
      <c r="C263" s="72">
        <v>6</v>
      </c>
      <c r="D263" s="1" t="s">
        <v>26</v>
      </c>
      <c r="E263" s="1">
        <v>2</v>
      </c>
      <c r="F263" s="2">
        <v>40254</v>
      </c>
      <c r="G263" s="68">
        <v>44463</v>
      </c>
      <c r="H263" s="1">
        <f>DATEDIF(F263,G263,"y")</f>
        <v>11</v>
      </c>
      <c r="I263" s="1">
        <f t="shared" si="35"/>
        <v>138</v>
      </c>
      <c r="J263" s="1">
        <v>43.1</v>
      </c>
      <c r="K263" s="1">
        <v>1.44</v>
      </c>
      <c r="L263" s="1">
        <f t="shared" si="36"/>
        <v>144</v>
      </c>
      <c r="M263" s="1">
        <f>118-40</f>
        <v>78</v>
      </c>
      <c r="N263" s="70">
        <f t="shared" si="37"/>
        <v>45.833333333333329</v>
      </c>
      <c r="O263" s="65">
        <v>0</v>
      </c>
      <c r="P263" s="65">
        <v>0</v>
      </c>
      <c r="Q263" s="71">
        <f t="shared" si="38"/>
        <v>20.785108024691361</v>
      </c>
      <c r="S263" s="91">
        <v>-0.61908181575046206</v>
      </c>
      <c r="T263" s="91">
        <v>26.793123100280681</v>
      </c>
      <c r="U263" s="39" t="str">
        <f t="shared" si="39"/>
        <v>Normal</v>
      </c>
      <c r="V263" s="91">
        <v>-1.8892586328170944</v>
      </c>
      <c r="W263" s="91">
        <v>2.9428590816747153</v>
      </c>
      <c r="X263" s="39" t="str">
        <f t="shared" si="33"/>
        <v>Piernas cortas</v>
      </c>
      <c r="Y263" s="116">
        <v>1.1400782019981619</v>
      </c>
      <c r="Z263" s="91">
        <v>87.287313879648835</v>
      </c>
      <c r="AA263" s="39" t="str">
        <f t="shared" si="34"/>
        <v>Obesidad</v>
      </c>
    </row>
    <row r="264" spans="1:32" ht="15.75" x14ac:dyDescent="0.25">
      <c r="A264" s="1">
        <f t="shared" si="32"/>
        <v>261</v>
      </c>
      <c r="B264" s="4" t="s">
        <v>537</v>
      </c>
      <c r="C264" s="72">
        <v>6</v>
      </c>
      <c r="D264" s="1" t="s">
        <v>26</v>
      </c>
      <c r="E264" s="1">
        <v>2</v>
      </c>
      <c r="F264" s="2">
        <v>40274</v>
      </c>
      <c r="G264" s="68">
        <v>44463</v>
      </c>
      <c r="H264" s="1">
        <f>DATEDIF(F264,G264,"y")</f>
        <v>11</v>
      </c>
      <c r="I264" s="1">
        <f t="shared" si="35"/>
        <v>137</v>
      </c>
      <c r="J264" s="1">
        <v>50.6</v>
      </c>
      <c r="K264" s="1">
        <v>1.51</v>
      </c>
      <c r="L264" s="1">
        <f t="shared" si="36"/>
        <v>151</v>
      </c>
      <c r="M264" s="1">
        <f>119.5-40</f>
        <v>79.5</v>
      </c>
      <c r="N264" s="70">
        <f t="shared" si="37"/>
        <v>47.350993377483441</v>
      </c>
      <c r="O264" s="65">
        <v>0</v>
      </c>
      <c r="P264" s="65">
        <v>0</v>
      </c>
      <c r="Q264" s="71">
        <f t="shared" si="38"/>
        <v>22.192009122406912</v>
      </c>
      <c r="S264" s="91">
        <v>0.49661431896480274</v>
      </c>
      <c r="T264" s="91">
        <v>69.026947316783833</v>
      </c>
      <c r="U264" s="39" t="str">
        <f t="shared" si="39"/>
        <v>Normal</v>
      </c>
      <c r="V264" s="91">
        <v>-0.83423826310896021</v>
      </c>
      <c r="W264" s="91">
        <v>20.207336671453952</v>
      </c>
      <c r="X264" s="39" t="str">
        <f t="shared" si="33"/>
        <v>Normal</v>
      </c>
      <c r="Y264" s="116">
        <v>1.5433578125177376</v>
      </c>
      <c r="Z264" s="91">
        <v>93.862800816170392</v>
      </c>
      <c r="AA264" s="39" t="str">
        <f t="shared" si="34"/>
        <v>Obesidad</v>
      </c>
    </row>
    <row r="265" spans="1:32" ht="15.75" x14ac:dyDescent="0.25">
      <c r="A265" s="1">
        <f t="shared" si="32"/>
        <v>262</v>
      </c>
      <c r="B265" s="4" t="s">
        <v>538</v>
      </c>
      <c r="C265" s="72">
        <v>6</v>
      </c>
      <c r="D265" s="1" t="s">
        <v>26</v>
      </c>
      <c r="E265" s="1">
        <v>1</v>
      </c>
      <c r="F265" s="2">
        <v>40193</v>
      </c>
      <c r="G265" s="68">
        <v>44463</v>
      </c>
      <c r="H265" s="1">
        <f>DATEDIF(F265,G265,"y")</f>
        <v>11</v>
      </c>
      <c r="I265" s="1">
        <f t="shared" si="35"/>
        <v>140</v>
      </c>
      <c r="J265" s="1">
        <v>76.7</v>
      </c>
      <c r="K265" s="1">
        <v>1.49</v>
      </c>
      <c r="L265" s="1">
        <f t="shared" si="36"/>
        <v>149</v>
      </c>
      <c r="M265" s="1">
        <f>119.7-40</f>
        <v>79.7</v>
      </c>
      <c r="N265" s="70">
        <f t="shared" si="37"/>
        <v>46.510067114093957</v>
      </c>
      <c r="O265" s="65">
        <v>0</v>
      </c>
      <c r="P265" s="65">
        <v>0</v>
      </c>
      <c r="Q265" s="71">
        <f t="shared" si="38"/>
        <v>34.54799333363362</v>
      </c>
      <c r="S265" s="91">
        <v>0.28809662837557709</v>
      </c>
      <c r="T265" s="91">
        <v>61.336361328345987</v>
      </c>
      <c r="U265" s="39" t="str">
        <f t="shared" si="39"/>
        <v>Normal</v>
      </c>
      <c r="V265" s="91">
        <v>-1.6804071764384481</v>
      </c>
      <c r="W265" s="91">
        <v>4.6439060361870528</v>
      </c>
      <c r="X265" s="39" t="str">
        <f t="shared" si="33"/>
        <v>Piernas cortas</v>
      </c>
      <c r="Y265" s="116">
        <v>3.4876825291617353</v>
      </c>
      <c r="Z265" s="91">
        <v>99.975638688604491</v>
      </c>
      <c r="AA265" s="39" t="str">
        <f t="shared" si="34"/>
        <v>Obesidad</v>
      </c>
    </row>
    <row r="266" spans="1:32" ht="15.75" x14ac:dyDescent="0.25">
      <c r="A266" s="1">
        <f t="shared" si="32"/>
        <v>263</v>
      </c>
      <c r="B266" s="4" t="s">
        <v>539</v>
      </c>
      <c r="C266" s="72">
        <v>6</v>
      </c>
      <c r="D266" s="1" t="s">
        <v>26</v>
      </c>
      <c r="E266" s="1">
        <v>1</v>
      </c>
      <c r="F266" s="2">
        <v>40235</v>
      </c>
      <c r="G266" s="68">
        <v>44463</v>
      </c>
      <c r="H266" s="1">
        <f>DATEDIF(F266,G266,"y")</f>
        <v>11</v>
      </c>
      <c r="I266" s="1">
        <f t="shared" si="35"/>
        <v>138</v>
      </c>
      <c r="J266" s="1">
        <v>88</v>
      </c>
      <c r="K266" s="1">
        <v>1.68</v>
      </c>
      <c r="L266" s="1">
        <f t="shared" si="36"/>
        <v>168</v>
      </c>
      <c r="M266" s="1">
        <f>126.5-40</f>
        <v>86.5</v>
      </c>
      <c r="N266" s="70">
        <f t="shared" si="37"/>
        <v>48.511904761904759</v>
      </c>
      <c r="O266" s="65">
        <v>0</v>
      </c>
      <c r="P266" s="65">
        <v>0</v>
      </c>
      <c r="Q266" s="71">
        <f t="shared" si="38"/>
        <v>31.17913832199547</v>
      </c>
      <c r="S266" s="91">
        <v>3.1861970672154736</v>
      </c>
      <c r="T266" s="91">
        <v>99.927921816376525</v>
      </c>
      <c r="U266" s="39" t="str">
        <f t="shared" si="39"/>
        <v>Alto</v>
      </c>
      <c r="V266" s="91">
        <v>-0.27250867836960674</v>
      </c>
      <c r="W266" s="91">
        <v>39.261545965821412</v>
      </c>
      <c r="X266" s="39" t="str">
        <f t="shared" si="33"/>
        <v>Normal</v>
      </c>
      <c r="Y266" s="116">
        <v>3.2359957510566577</v>
      </c>
      <c r="Z266" s="91">
        <v>99.939390405735509</v>
      </c>
      <c r="AA266" s="39" t="str">
        <f t="shared" si="34"/>
        <v>Obesidad</v>
      </c>
    </row>
    <row r="267" spans="1:32" ht="15.75" x14ac:dyDescent="0.25">
      <c r="A267" s="1">
        <f t="shared" si="32"/>
        <v>264</v>
      </c>
      <c r="B267" s="4" t="s">
        <v>540</v>
      </c>
      <c r="C267" s="72">
        <v>6</v>
      </c>
      <c r="D267" s="1" t="s">
        <v>26</v>
      </c>
      <c r="E267" s="1">
        <v>1</v>
      </c>
      <c r="F267" s="2">
        <v>40417</v>
      </c>
      <c r="G267" s="68">
        <v>44463</v>
      </c>
      <c r="H267" s="1">
        <f>DATEDIF(F267,G267,"y")</f>
        <v>11</v>
      </c>
      <c r="I267" s="1">
        <f t="shared" si="35"/>
        <v>132</v>
      </c>
      <c r="J267" s="1">
        <v>80.099999999999994</v>
      </c>
      <c r="K267" s="1">
        <v>1.57</v>
      </c>
      <c r="L267" s="1">
        <f t="shared" si="36"/>
        <v>157</v>
      </c>
      <c r="M267" s="1">
        <f>124-40</f>
        <v>84</v>
      </c>
      <c r="N267" s="70">
        <f t="shared" si="37"/>
        <v>46.496815286624205</v>
      </c>
      <c r="O267" s="65">
        <v>0</v>
      </c>
      <c r="P267" s="65">
        <v>0</v>
      </c>
      <c r="Q267" s="71">
        <f t="shared" si="38"/>
        <v>32.496247312264188</v>
      </c>
      <c r="S267" s="91">
        <v>2.0633271561679885</v>
      </c>
      <c r="T267" s="91">
        <v>98.045922217817065</v>
      </c>
      <c r="U267" s="39" t="str">
        <f t="shared" si="39"/>
        <v>Alto</v>
      </c>
      <c r="V267" s="91">
        <v>-1.6899435514704508</v>
      </c>
      <c r="W267" s="91">
        <v>4.5519377264599568</v>
      </c>
      <c r="X267" s="39" t="str">
        <f t="shared" si="33"/>
        <v>Piernas cortas</v>
      </c>
      <c r="Y267" s="116">
        <v>3.4777882940158369</v>
      </c>
      <c r="Z267" s="91">
        <v>99.974721547227688</v>
      </c>
      <c r="AA267" s="39" t="str">
        <f t="shared" si="34"/>
        <v>Obesidad</v>
      </c>
    </row>
    <row r="268" spans="1:32" ht="15.75" x14ac:dyDescent="0.25">
      <c r="C268" s="72"/>
      <c r="D268" s="1"/>
      <c r="H268" s="1"/>
      <c r="I268" s="1"/>
      <c r="L268" s="1"/>
      <c r="N268" s="70"/>
      <c r="Q268" s="71"/>
      <c r="S268" s="31"/>
      <c r="T268" s="31"/>
      <c r="U268" s="39"/>
    </row>
    <row r="269" spans="1:32" x14ac:dyDescent="0.25">
      <c r="C269" s="72"/>
      <c r="D269" s="1"/>
      <c r="H269" s="1"/>
      <c r="I269" s="1"/>
      <c r="L269" s="1"/>
      <c r="N269" s="70"/>
      <c r="Q269" s="71"/>
    </row>
    <row r="270" spans="1:32" ht="15.75" x14ac:dyDescent="0.25">
      <c r="A270" s="156"/>
      <c r="B270" s="193"/>
      <c r="C270" s="160"/>
      <c r="D270" s="138"/>
      <c r="E270" s="156"/>
      <c r="F270" s="156"/>
      <c r="G270" s="156"/>
      <c r="H270" s="138"/>
      <c r="I270" s="138"/>
      <c r="J270" s="156"/>
      <c r="K270" s="156"/>
      <c r="L270" s="138"/>
      <c r="M270" s="156"/>
      <c r="N270" s="194"/>
      <c r="O270" s="156"/>
      <c r="P270" s="156"/>
      <c r="Q270" s="195"/>
      <c r="R270" s="156"/>
      <c r="S270" s="156"/>
      <c r="T270" s="196"/>
      <c r="U270" s="156"/>
      <c r="V270" s="164"/>
      <c r="W270" s="164"/>
      <c r="X270" s="164"/>
      <c r="Y270" s="156"/>
      <c r="Z270" s="156"/>
      <c r="AA270" s="156"/>
    </row>
    <row r="271" spans="1:32" x14ac:dyDescent="0.25">
      <c r="A271" s="156"/>
      <c r="B271" s="156"/>
      <c r="C271" s="138"/>
      <c r="D271" s="156"/>
      <c r="E271" s="160"/>
      <c r="F271" s="156"/>
      <c r="G271" s="138"/>
      <c r="H271" s="160"/>
      <c r="I271" s="161"/>
      <c r="J271" s="161"/>
      <c r="K271" s="162"/>
      <c r="L271" s="138"/>
      <c r="M271" s="138"/>
      <c r="N271" s="138"/>
      <c r="O271" s="184"/>
      <c r="P271" s="156"/>
      <c r="Q271" s="195"/>
      <c r="R271" s="156"/>
      <c r="S271" s="156"/>
      <c r="T271" s="156"/>
      <c r="U271" s="156"/>
      <c r="V271" s="164"/>
      <c r="W271" s="164"/>
      <c r="X271" s="164"/>
      <c r="Y271" s="156"/>
      <c r="Z271" s="156"/>
      <c r="AA271" s="156"/>
    </row>
    <row r="272" spans="1:32" x14ac:dyDescent="0.25">
      <c r="A272" s="156"/>
      <c r="B272" s="165"/>
      <c r="C272" s="140"/>
      <c r="D272" s="166"/>
      <c r="E272" s="140"/>
      <c r="F272" s="166"/>
      <c r="G272" s="140"/>
      <c r="H272" s="140"/>
      <c r="I272" s="167"/>
      <c r="J272" s="162"/>
      <c r="K272" s="140"/>
      <c r="L272" s="138"/>
      <c r="M272" s="140"/>
      <c r="N272" s="156"/>
      <c r="O272" s="184"/>
      <c r="P272" s="156"/>
      <c r="Q272" s="195"/>
      <c r="R272" s="156"/>
      <c r="S272" s="156"/>
      <c r="T272" s="138"/>
      <c r="U272" s="138"/>
      <c r="V272" s="215"/>
      <c r="W272" s="215"/>
      <c r="X272" s="215"/>
      <c r="Y272" s="156"/>
      <c r="Z272" s="132"/>
      <c r="AA272" s="132"/>
      <c r="AB272" s="101"/>
      <c r="AC272" s="101"/>
      <c r="AD272" s="95"/>
      <c r="AE272" s="95"/>
      <c r="AF272" s="95"/>
    </row>
    <row r="273" spans="1:35" x14ac:dyDescent="0.25">
      <c r="A273" s="156"/>
      <c r="B273" s="166"/>
      <c r="C273" s="156"/>
      <c r="D273" s="156"/>
      <c r="E273" s="168"/>
      <c r="F273" s="156"/>
      <c r="G273" s="156"/>
      <c r="H273" s="168"/>
      <c r="I273" s="157"/>
      <c r="J273" s="169"/>
      <c r="K273" s="170"/>
      <c r="L273" s="169"/>
      <c r="M273" s="170"/>
      <c r="N273" s="169"/>
      <c r="O273" s="169"/>
      <c r="P273" s="156"/>
      <c r="Q273" s="169"/>
      <c r="R273" s="156"/>
      <c r="S273" s="156"/>
      <c r="T273" s="138"/>
      <c r="U273" s="156"/>
      <c r="V273" s="138"/>
      <c r="W273" s="138"/>
      <c r="X273" s="138"/>
      <c r="Y273" s="156"/>
      <c r="Z273" s="156"/>
      <c r="AA273" s="156"/>
      <c r="AD273" s="95"/>
      <c r="AE273" s="95"/>
      <c r="AF273" s="102"/>
    </row>
    <row r="274" spans="1:35" x14ac:dyDescent="0.25">
      <c r="A274" s="156"/>
      <c r="B274" s="168"/>
      <c r="C274" s="187"/>
      <c r="D274" s="175"/>
      <c r="E274" s="176"/>
      <c r="F274" s="169"/>
      <c r="G274" s="176"/>
      <c r="H274" s="169"/>
      <c r="I274" s="176"/>
      <c r="J274" s="169"/>
      <c r="K274" s="176"/>
      <c r="L274" s="169"/>
      <c r="M274" s="176"/>
      <c r="N274" s="169"/>
      <c r="O274" s="184"/>
      <c r="P274" s="156"/>
      <c r="Q274" s="169"/>
      <c r="R274" s="156"/>
      <c r="S274" s="156"/>
      <c r="T274" s="138"/>
      <c r="U274" s="138"/>
      <c r="V274" s="138"/>
      <c r="W274" s="138"/>
      <c r="X274" s="138"/>
      <c r="Y274" s="156"/>
      <c r="Z274" s="156"/>
      <c r="AA274" s="158"/>
      <c r="AB274" s="11"/>
      <c r="AC274" s="97"/>
      <c r="AD274" s="95"/>
      <c r="AE274" s="95"/>
      <c r="AF274" s="102"/>
    </row>
    <row r="275" spans="1:35" x14ac:dyDescent="0.25">
      <c r="A275" s="156"/>
      <c r="B275" s="168"/>
      <c r="C275" s="187"/>
      <c r="D275" s="175"/>
      <c r="E275" s="176"/>
      <c r="F275" s="169"/>
      <c r="G275" s="176"/>
      <c r="H275" s="169"/>
      <c r="I275" s="176"/>
      <c r="J275" s="169"/>
      <c r="K275" s="176"/>
      <c r="L275" s="169"/>
      <c r="M275" s="176"/>
      <c r="N275" s="169"/>
      <c r="O275" s="184"/>
      <c r="P275" s="156"/>
      <c r="Q275" s="169"/>
      <c r="R275" s="156"/>
      <c r="S275" s="156"/>
      <c r="T275" s="138"/>
      <c r="U275" s="138"/>
      <c r="V275" s="138"/>
      <c r="W275" s="197"/>
      <c r="X275" s="138"/>
      <c r="Y275" s="156"/>
      <c r="Z275" s="156"/>
      <c r="AA275" s="163"/>
      <c r="AB275" s="11"/>
      <c r="AC275" s="11"/>
      <c r="AD275" s="33"/>
      <c r="AE275" s="33"/>
      <c r="AF275" s="102"/>
    </row>
    <row r="276" spans="1:35" x14ac:dyDescent="0.25">
      <c r="A276" s="156"/>
      <c r="B276" s="165"/>
      <c r="C276" s="191"/>
      <c r="D276" s="169"/>
      <c r="E276" s="157"/>
      <c r="F276" s="169"/>
      <c r="G276" s="157"/>
      <c r="H276" s="169"/>
      <c r="I276" s="157"/>
      <c r="J276" s="169"/>
      <c r="K276" s="157"/>
      <c r="L276" s="169"/>
      <c r="M276" s="157"/>
      <c r="N276" s="169"/>
      <c r="O276" s="169"/>
      <c r="P276" s="156"/>
      <c r="Q276" s="169"/>
      <c r="R276" s="156"/>
      <c r="S276" s="156"/>
      <c r="T276" s="138"/>
      <c r="U276" s="138"/>
      <c r="V276" s="138"/>
      <c r="W276" s="198"/>
      <c r="X276" s="140"/>
      <c r="Y276" s="156"/>
      <c r="Z276" s="156"/>
      <c r="AA276" s="163"/>
      <c r="AB276" s="11"/>
      <c r="AC276" s="97"/>
      <c r="AD276" s="19"/>
      <c r="AE276" s="37"/>
    </row>
    <row r="277" spans="1:35" x14ac:dyDescent="0.25">
      <c r="A277" s="156"/>
      <c r="B277" s="168"/>
      <c r="C277" s="191"/>
      <c r="D277" s="169"/>
      <c r="E277" s="179"/>
      <c r="F277" s="169"/>
      <c r="G277" s="179"/>
      <c r="H277" s="169"/>
      <c r="I277" s="179"/>
      <c r="J277" s="169"/>
      <c r="K277" s="179"/>
      <c r="L277" s="169"/>
      <c r="M277" s="179"/>
      <c r="N277" s="169"/>
      <c r="O277" s="184"/>
      <c r="P277" s="156"/>
      <c r="Q277" s="169"/>
      <c r="R277" s="156"/>
      <c r="S277" s="156"/>
      <c r="T277" s="138"/>
      <c r="U277" s="138"/>
      <c r="V277" s="138"/>
      <c r="W277" s="198"/>
      <c r="X277" s="140"/>
      <c r="Y277" s="156"/>
      <c r="Z277" s="156"/>
      <c r="AA277" s="140"/>
      <c r="AB277" s="121"/>
      <c r="AC277" s="7"/>
      <c r="AG277" s="120"/>
      <c r="AH277" s="120"/>
      <c r="AI277" s="120"/>
    </row>
    <row r="278" spans="1:35" x14ac:dyDescent="0.25">
      <c r="A278" s="156"/>
      <c r="B278" s="168"/>
      <c r="C278" s="187"/>
      <c r="D278" s="169"/>
      <c r="E278" s="179"/>
      <c r="F278" s="169"/>
      <c r="G278" s="179"/>
      <c r="H278" s="169"/>
      <c r="I278" s="179"/>
      <c r="J278" s="169"/>
      <c r="K278" s="179"/>
      <c r="L278" s="169"/>
      <c r="M278" s="179"/>
      <c r="N278" s="169"/>
      <c r="O278" s="184"/>
      <c r="P278" s="156"/>
      <c r="Q278" s="169"/>
      <c r="R278" s="156"/>
      <c r="S278" s="156"/>
      <c r="T278" s="138"/>
      <c r="U278" s="138"/>
      <c r="V278" s="138"/>
      <c r="W278" s="198"/>
      <c r="X278" s="140"/>
      <c r="Y278" s="156"/>
      <c r="Z278" s="156"/>
      <c r="AA278" s="140"/>
      <c r="AB278" s="121"/>
      <c r="AC278" s="7"/>
      <c r="AG278" s="120"/>
      <c r="AH278" s="120"/>
      <c r="AI278" s="120"/>
    </row>
    <row r="279" spans="1:35" x14ac:dyDescent="0.25">
      <c r="A279" s="156"/>
      <c r="B279" s="168"/>
      <c r="C279" s="187"/>
      <c r="D279" s="169"/>
      <c r="E279" s="179"/>
      <c r="F279" s="169"/>
      <c r="G279" s="179"/>
      <c r="H279" s="169"/>
      <c r="I279" s="179"/>
      <c r="J279" s="169"/>
      <c r="K279" s="179"/>
      <c r="L279" s="169"/>
      <c r="M279" s="179"/>
      <c r="N279" s="169"/>
      <c r="O279" s="184"/>
      <c r="P279" s="156"/>
      <c r="Q279" s="169"/>
      <c r="R279" s="156"/>
      <c r="S279" s="156"/>
      <c r="T279" s="138"/>
      <c r="U279" s="138"/>
      <c r="V279" s="138"/>
      <c r="W279" s="198"/>
      <c r="X279" s="140"/>
      <c r="Y279" s="156"/>
      <c r="Z279" s="156"/>
      <c r="AA279" s="140"/>
      <c r="AB279" s="121"/>
      <c r="AC279" s="7"/>
      <c r="AG279" s="120"/>
      <c r="AH279" s="120"/>
      <c r="AI279" s="120"/>
    </row>
    <row r="280" spans="1:35" x14ac:dyDescent="0.25">
      <c r="A280" s="156"/>
      <c r="B280" s="168"/>
      <c r="C280" s="187"/>
      <c r="D280" s="169"/>
      <c r="E280" s="179"/>
      <c r="F280" s="169"/>
      <c r="G280" s="179"/>
      <c r="H280" s="169"/>
      <c r="I280" s="179"/>
      <c r="J280" s="169"/>
      <c r="K280" s="179"/>
      <c r="L280" s="169"/>
      <c r="M280" s="179"/>
      <c r="N280" s="169"/>
      <c r="O280" s="184"/>
      <c r="P280" s="156"/>
      <c r="Q280" s="169"/>
      <c r="R280" s="156"/>
      <c r="S280" s="156"/>
      <c r="T280" s="138"/>
      <c r="U280" s="138"/>
      <c r="V280" s="138"/>
      <c r="W280" s="171"/>
      <c r="X280" s="138"/>
      <c r="Y280" s="156"/>
      <c r="Z280" s="156"/>
      <c r="AA280" s="140"/>
      <c r="AB280" s="121"/>
      <c r="AC280" s="7"/>
      <c r="AG280" s="120"/>
      <c r="AH280" s="120"/>
      <c r="AI280" s="120"/>
    </row>
    <row r="281" spans="1:35" x14ac:dyDescent="0.25">
      <c r="A281" s="156"/>
      <c r="B281" s="168"/>
      <c r="C281" s="191"/>
      <c r="D281" s="169"/>
      <c r="E281" s="179"/>
      <c r="F281" s="169"/>
      <c r="G281" s="179"/>
      <c r="H281" s="169"/>
      <c r="I281" s="179"/>
      <c r="J281" s="169"/>
      <c r="K281" s="179"/>
      <c r="L281" s="169"/>
      <c r="M281" s="179"/>
      <c r="N281" s="169"/>
      <c r="O281" s="184"/>
      <c r="P281" s="156"/>
      <c r="Q281" s="169"/>
      <c r="R281" s="156"/>
      <c r="S281" s="156"/>
      <c r="T281" s="138"/>
      <c r="U281" s="138"/>
      <c r="V281" s="138"/>
      <c r="W281" s="138"/>
      <c r="X281" s="138"/>
      <c r="Y281" s="156"/>
      <c r="Z281" s="156"/>
      <c r="AA281" s="156"/>
      <c r="AG281" s="120"/>
      <c r="AH281" s="120"/>
      <c r="AI281" s="120"/>
    </row>
    <row r="282" spans="1:35" x14ac:dyDescent="0.25">
      <c r="A282" s="156"/>
      <c r="B282" s="166"/>
      <c r="C282" s="191"/>
      <c r="D282" s="169"/>
      <c r="E282" s="157"/>
      <c r="F282" s="169"/>
      <c r="G282" s="157"/>
      <c r="H282" s="169"/>
      <c r="I282" s="157"/>
      <c r="J282" s="169"/>
      <c r="K282" s="157"/>
      <c r="L282" s="169"/>
      <c r="M282" s="157"/>
      <c r="N282" s="169"/>
      <c r="O282" s="169"/>
      <c r="P282" s="156"/>
      <c r="Q282" s="169"/>
      <c r="R282" s="156"/>
      <c r="S282" s="156"/>
      <c r="T282" s="138"/>
      <c r="U282" s="156"/>
      <c r="V282" s="164"/>
      <c r="W282" s="164"/>
      <c r="X282" s="164"/>
      <c r="Y282" s="156"/>
      <c r="Z282" s="156"/>
      <c r="AA282" s="156"/>
      <c r="AD282" s="120"/>
      <c r="AE282" s="120"/>
      <c r="AF282" s="120"/>
      <c r="AG282" s="120"/>
      <c r="AH282" s="120"/>
      <c r="AI282" s="120"/>
    </row>
    <row r="283" spans="1:35" x14ac:dyDescent="0.25">
      <c r="A283" s="156"/>
      <c r="B283" s="168"/>
      <c r="C283" s="187"/>
      <c r="D283" s="169"/>
      <c r="E283" s="179"/>
      <c r="F283" s="169"/>
      <c r="G283" s="179"/>
      <c r="H283" s="169"/>
      <c r="I283" s="179"/>
      <c r="J283" s="169"/>
      <c r="K283" s="179"/>
      <c r="L283" s="169"/>
      <c r="M283" s="179"/>
      <c r="N283" s="169"/>
      <c r="O283" s="184"/>
      <c r="P283" s="156"/>
      <c r="Q283" s="169"/>
      <c r="R283" s="156"/>
      <c r="S283" s="156"/>
      <c r="T283" s="138"/>
      <c r="U283" s="156"/>
      <c r="V283" s="164"/>
      <c r="W283" s="164"/>
      <c r="X283" s="164"/>
      <c r="Y283" s="156"/>
      <c r="Z283" s="156"/>
      <c r="AA283" s="156"/>
      <c r="AD283" s="124"/>
      <c r="AE283" s="120"/>
      <c r="AF283" s="124"/>
      <c r="AG283" s="120"/>
      <c r="AH283" s="120"/>
      <c r="AI283" s="120"/>
    </row>
    <row r="284" spans="1:35" x14ac:dyDescent="0.25">
      <c r="A284" s="156"/>
      <c r="B284" s="168"/>
      <c r="C284" s="187"/>
      <c r="D284" s="169"/>
      <c r="E284" s="179"/>
      <c r="F284" s="169"/>
      <c r="G284" s="179"/>
      <c r="H284" s="169"/>
      <c r="I284" s="179"/>
      <c r="J284" s="169"/>
      <c r="K284" s="179"/>
      <c r="L284" s="169"/>
      <c r="M284" s="179"/>
      <c r="N284" s="169"/>
      <c r="O284" s="184"/>
      <c r="P284" s="156"/>
      <c r="Q284" s="169"/>
      <c r="R284" s="156"/>
      <c r="S284" s="156"/>
      <c r="T284" s="138"/>
      <c r="U284" s="156"/>
      <c r="V284" s="164"/>
      <c r="W284" s="164"/>
      <c r="X284" s="164"/>
      <c r="Y284" s="156"/>
      <c r="Z284" s="156"/>
      <c r="AA284" s="156"/>
      <c r="AE284" s="43"/>
      <c r="AF284" s="43"/>
    </row>
    <row r="285" spans="1:35" x14ac:dyDescent="0.25">
      <c r="A285" s="156"/>
      <c r="B285" s="168"/>
      <c r="C285" s="191"/>
      <c r="D285" s="169"/>
      <c r="E285" s="157"/>
      <c r="F285" s="169"/>
      <c r="G285" s="157"/>
      <c r="H285" s="169"/>
      <c r="I285" s="179"/>
      <c r="J285" s="169"/>
      <c r="K285" s="179"/>
      <c r="L285" s="169"/>
      <c r="M285" s="179"/>
      <c r="N285" s="169"/>
      <c r="O285" s="184"/>
      <c r="P285" s="156"/>
      <c r="Q285" s="169"/>
      <c r="R285" s="156"/>
      <c r="S285" s="156"/>
      <c r="T285" s="138"/>
      <c r="U285" s="156"/>
      <c r="V285" s="164"/>
      <c r="W285" s="164"/>
      <c r="X285" s="164"/>
      <c r="Y285" s="156"/>
      <c r="Z285" s="156"/>
      <c r="AA285" s="156"/>
      <c r="AD285" s="95"/>
      <c r="AE285" s="110"/>
      <c r="AF285" s="125"/>
    </row>
    <row r="286" spans="1:35" x14ac:dyDescent="0.25">
      <c r="A286" s="156"/>
      <c r="B286" s="166"/>
      <c r="C286" s="191"/>
      <c r="D286" s="169"/>
      <c r="E286" s="157"/>
      <c r="F286" s="169"/>
      <c r="G286" s="157"/>
      <c r="H286" s="169"/>
      <c r="I286" s="157"/>
      <c r="J286" s="169"/>
      <c r="K286" s="157"/>
      <c r="L286" s="169"/>
      <c r="M286" s="157"/>
      <c r="N286" s="169"/>
      <c r="O286" s="169"/>
      <c r="P286" s="156"/>
      <c r="Q286" s="169"/>
      <c r="R286" s="156"/>
      <c r="S286" s="156"/>
      <c r="T286" s="138"/>
      <c r="U286" s="156"/>
      <c r="V286" s="164"/>
      <c r="W286" s="164"/>
      <c r="X286" s="164"/>
      <c r="Y286" s="156"/>
      <c r="Z286" s="156"/>
      <c r="AA286" s="156"/>
      <c r="AD286" s="95"/>
      <c r="AE286" s="110"/>
      <c r="AF286" s="125"/>
    </row>
    <row r="287" spans="1:35" x14ac:dyDescent="0.25">
      <c r="A287" s="156"/>
      <c r="B287" s="168"/>
      <c r="C287" s="191"/>
      <c r="D287" s="169"/>
      <c r="E287" s="179"/>
      <c r="F287" s="169"/>
      <c r="G287" s="179"/>
      <c r="H287" s="169"/>
      <c r="I287" s="179"/>
      <c r="J287" s="169"/>
      <c r="K287" s="179"/>
      <c r="L287" s="169"/>
      <c r="M287" s="179"/>
      <c r="N287" s="169"/>
      <c r="O287" s="184"/>
      <c r="P287" s="156"/>
      <c r="Q287" s="195"/>
      <c r="R287" s="156"/>
      <c r="S287" s="156"/>
      <c r="T287" s="156"/>
      <c r="U287" s="156"/>
      <c r="V287" s="156"/>
      <c r="W287" s="156"/>
      <c r="X287" s="164"/>
      <c r="Y287" s="156"/>
      <c r="Z287" s="156"/>
      <c r="AA287" s="156"/>
      <c r="AD287" s="33"/>
      <c r="AE287" s="110"/>
      <c r="AF287" s="125"/>
    </row>
    <row r="288" spans="1:35" x14ac:dyDescent="0.25">
      <c r="A288" s="156"/>
      <c r="B288" s="168"/>
      <c r="C288" s="187"/>
      <c r="D288" s="169"/>
      <c r="E288" s="179"/>
      <c r="F288" s="169"/>
      <c r="G288" s="179"/>
      <c r="H288" s="169"/>
      <c r="I288" s="179"/>
      <c r="J288" s="169"/>
      <c r="K288" s="179"/>
      <c r="L288" s="169"/>
      <c r="M288" s="179"/>
      <c r="N288" s="169"/>
      <c r="O288" s="184"/>
      <c r="P288" s="156"/>
      <c r="Q288" s="195"/>
      <c r="R288" s="156"/>
      <c r="S288" s="156"/>
      <c r="T288" s="156"/>
      <c r="U288" s="156"/>
      <c r="V288" s="164"/>
      <c r="W288" s="180"/>
      <c r="X288" s="164"/>
      <c r="Y288" s="156"/>
      <c r="Z288" s="156"/>
      <c r="AA288" s="156"/>
    </row>
    <row r="289" spans="1:27" x14ac:dyDescent="0.25">
      <c r="A289" s="156"/>
      <c r="B289" s="168"/>
      <c r="C289" s="191"/>
      <c r="D289" s="169"/>
      <c r="E289" s="179"/>
      <c r="F289" s="169"/>
      <c r="G289" s="179"/>
      <c r="H289" s="169"/>
      <c r="I289" s="179"/>
      <c r="J289" s="169"/>
      <c r="K289" s="179"/>
      <c r="L289" s="169"/>
      <c r="M289" s="179"/>
      <c r="N289" s="169"/>
      <c r="O289" s="184"/>
      <c r="P289" s="156"/>
      <c r="Q289" s="195"/>
      <c r="R289" s="156"/>
      <c r="S289" s="156"/>
      <c r="T289" s="156"/>
      <c r="U289" s="138"/>
      <c r="V289" s="190"/>
      <c r="W289" s="190"/>
      <c r="X289" s="164"/>
      <c r="Y289" s="156"/>
      <c r="Z289" s="156"/>
      <c r="AA289" s="156"/>
    </row>
    <row r="290" spans="1:27" x14ac:dyDescent="0.25">
      <c r="A290" s="156"/>
      <c r="B290" s="193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56"/>
      <c r="P290" s="156"/>
      <c r="Q290" s="195"/>
      <c r="R290" s="156"/>
      <c r="S290" s="156"/>
      <c r="T290" s="156"/>
      <c r="U290" s="138"/>
      <c r="V290" s="190"/>
      <c r="W290" s="190"/>
      <c r="X290" s="164"/>
      <c r="Y290" s="156"/>
      <c r="Z290" s="156"/>
      <c r="AA290" s="156"/>
    </row>
    <row r="291" spans="1:27" x14ac:dyDescent="0.25">
      <c r="A291" s="156"/>
      <c r="B291" s="193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56"/>
      <c r="P291" s="156"/>
      <c r="Q291" s="195"/>
      <c r="R291" s="156"/>
      <c r="S291" s="156"/>
      <c r="T291" s="156"/>
      <c r="U291" s="138"/>
      <c r="V291" s="190"/>
      <c r="W291" s="190"/>
      <c r="X291" s="164"/>
      <c r="Y291" s="156"/>
      <c r="Z291" s="156"/>
      <c r="AA291" s="156"/>
    </row>
    <row r="292" spans="1:27" x14ac:dyDescent="0.25">
      <c r="A292" s="156"/>
      <c r="B292" s="193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56"/>
      <c r="P292" s="156"/>
      <c r="Q292" s="195"/>
      <c r="R292" s="156"/>
      <c r="S292" s="156"/>
      <c r="T292" s="156"/>
      <c r="U292" s="138"/>
      <c r="V292" s="190"/>
      <c r="W292" s="190"/>
      <c r="X292" s="164"/>
      <c r="Y292" s="156"/>
      <c r="Z292" s="156"/>
      <c r="AA292" s="156"/>
    </row>
    <row r="293" spans="1:27" x14ac:dyDescent="0.25">
      <c r="A293" s="156"/>
      <c r="B293" s="128"/>
      <c r="C293" s="128"/>
      <c r="D293" s="156"/>
      <c r="E293" s="128"/>
      <c r="F293" s="128"/>
      <c r="G293" s="156"/>
      <c r="H293" s="128"/>
      <c r="I293" s="128"/>
      <c r="J293" s="156"/>
      <c r="K293" s="128"/>
      <c r="L293" s="128"/>
      <c r="M293" s="156"/>
      <c r="N293" s="128"/>
      <c r="O293" s="128"/>
      <c r="P293" s="156"/>
      <c r="Q293" s="128"/>
      <c r="R293" s="128"/>
      <c r="S293" s="156"/>
      <c r="T293" s="156"/>
      <c r="U293" s="138"/>
      <c r="V293" s="190"/>
      <c r="W293" s="190"/>
      <c r="X293" s="164"/>
      <c r="Y293" s="156"/>
      <c r="Z293" s="156"/>
      <c r="AA293" s="156"/>
    </row>
    <row r="294" spans="1:27" x14ac:dyDescent="0.25">
      <c r="A294" s="156"/>
      <c r="B294" s="126"/>
      <c r="C294" s="126"/>
      <c r="D294" s="156"/>
      <c r="E294" s="126"/>
      <c r="F294" s="126"/>
      <c r="G294" s="156"/>
      <c r="H294" s="126"/>
      <c r="I294" s="126"/>
      <c r="J294" s="156"/>
      <c r="K294" s="126"/>
      <c r="L294" s="126"/>
      <c r="M294" s="156"/>
      <c r="N294" s="126"/>
      <c r="O294" s="126"/>
      <c r="P294" s="156"/>
      <c r="Q294" s="126"/>
      <c r="R294" s="126"/>
      <c r="S294" s="156"/>
      <c r="T294" s="156"/>
      <c r="U294" s="138"/>
      <c r="V294" s="164"/>
      <c r="W294" s="164"/>
      <c r="X294" s="164"/>
      <c r="Y294" s="156"/>
      <c r="Z294" s="156"/>
      <c r="AA294" s="156"/>
    </row>
    <row r="295" spans="1:27" x14ac:dyDescent="0.25">
      <c r="A295" s="156"/>
      <c r="B295" s="126"/>
      <c r="C295" s="126"/>
      <c r="D295" s="156"/>
      <c r="E295" s="126"/>
      <c r="F295" s="126"/>
      <c r="G295" s="156"/>
      <c r="H295" s="126"/>
      <c r="I295" s="126"/>
      <c r="J295" s="156"/>
      <c r="K295" s="126"/>
      <c r="L295" s="126"/>
      <c r="M295" s="156"/>
      <c r="N295" s="126"/>
      <c r="O295" s="126"/>
      <c r="P295" s="156"/>
      <c r="Q295" s="126"/>
      <c r="R295" s="126"/>
      <c r="S295" s="156"/>
      <c r="T295" s="156"/>
      <c r="U295" s="138"/>
      <c r="V295" s="164"/>
      <c r="W295" s="164"/>
      <c r="X295" s="164"/>
      <c r="Y295" s="156"/>
      <c r="Z295" s="156"/>
      <c r="AA295" s="156"/>
    </row>
    <row r="296" spans="1:27" x14ac:dyDescent="0.25">
      <c r="A296" s="156"/>
      <c r="B296" s="126"/>
      <c r="C296" s="126"/>
      <c r="D296" s="156"/>
      <c r="E296" s="126"/>
      <c r="F296" s="126"/>
      <c r="G296" s="156"/>
      <c r="H296" s="126"/>
      <c r="I296" s="126"/>
      <c r="J296" s="156"/>
      <c r="K296" s="126"/>
      <c r="L296" s="126"/>
      <c r="M296" s="156"/>
      <c r="N296" s="126"/>
      <c r="O296" s="126"/>
      <c r="P296" s="156"/>
      <c r="Q296" s="126"/>
      <c r="R296" s="126"/>
      <c r="S296" s="156"/>
      <c r="T296" s="156"/>
      <c r="U296" s="138"/>
      <c r="V296" s="164"/>
      <c r="W296" s="164"/>
      <c r="X296" s="164"/>
      <c r="Y296" s="156"/>
      <c r="Z296" s="156"/>
      <c r="AA296" s="156"/>
    </row>
    <row r="297" spans="1:27" x14ac:dyDescent="0.25">
      <c r="A297" s="156"/>
      <c r="B297" s="126"/>
      <c r="C297" s="126"/>
      <c r="D297" s="156"/>
      <c r="E297" s="126"/>
      <c r="F297" s="126"/>
      <c r="G297" s="156"/>
      <c r="H297" s="126"/>
      <c r="I297" s="126"/>
      <c r="J297" s="156"/>
      <c r="K297" s="126"/>
      <c r="L297" s="126"/>
      <c r="M297" s="156"/>
      <c r="N297" s="126"/>
      <c r="O297" s="126"/>
      <c r="P297" s="156"/>
      <c r="Q297" s="126"/>
      <c r="R297" s="126"/>
      <c r="S297" s="156"/>
      <c r="T297" s="156"/>
      <c r="U297" s="156"/>
      <c r="V297" s="164"/>
      <c r="W297" s="164"/>
      <c r="X297" s="164"/>
      <c r="Y297" s="156"/>
      <c r="Z297" s="156"/>
      <c r="AA297" s="156"/>
    </row>
    <row r="298" spans="1:27" x14ac:dyDescent="0.25">
      <c r="A298" s="156"/>
      <c r="B298" s="126"/>
      <c r="C298" s="126"/>
      <c r="D298" s="156"/>
      <c r="E298" s="126"/>
      <c r="F298" s="126"/>
      <c r="G298" s="156"/>
      <c r="H298" s="126"/>
      <c r="I298" s="126"/>
      <c r="J298" s="156"/>
      <c r="K298" s="126"/>
      <c r="L298" s="126"/>
      <c r="M298" s="156"/>
      <c r="N298" s="126"/>
      <c r="O298" s="126"/>
      <c r="P298" s="156"/>
      <c r="Q298" s="126"/>
      <c r="R298" s="126"/>
      <c r="S298" s="156"/>
      <c r="T298" s="156"/>
      <c r="U298" s="156"/>
      <c r="V298" s="164"/>
      <c r="W298" s="164"/>
      <c r="X298" s="164"/>
      <c r="Y298" s="156"/>
      <c r="Z298" s="156"/>
      <c r="AA298" s="156"/>
    </row>
    <row r="299" spans="1:27" x14ac:dyDescent="0.25">
      <c r="A299" s="156"/>
      <c r="B299" s="126"/>
      <c r="C299" s="126"/>
      <c r="D299" s="156"/>
      <c r="E299" s="126"/>
      <c r="F299" s="126"/>
      <c r="G299" s="156"/>
      <c r="H299" s="126"/>
      <c r="I299" s="126"/>
      <c r="J299" s="156"/>
      <c r="K299" s="126"/>
      <c r="L299" s="126"/>
      <c r="M299" s="156"/>
      <c r="N299" s="126"/>
      <c r="O299" s="126"/>
      <c r="P299" s="156"/>
      <c r="Q299" s="126"/>
      <c r="R299" s="126"/>
      <c r="S299" s="156"/>
      <c r="T299" s="156"/>
      <c r="U299" s="156"/>
      <c r="V299" s="164"/>
      <c r="W299" s="164"/>
      <c r="X299" s="164"/>
      <c r="Y299" s="156"/>
      <c r="Z299" s="156"/>
      <c r="AA299" s="156"/>
    </row>
    <row r="300" spans="1:27" x14ac:dyDescent="0.25">
      <c r="A300" s="156"/>
      <c r="B300" s="126"/>
      <c r="C300" s="126"/>
      <c r="D300" s="156"/>
      <c r="E300" s="126"/>
      <c r="F300" s="126"/>
      <c r="G300" s="156"/>
      <c r="H300" s="126"/>
      <c r="I300" s="126"/>
      <c r="J300" s="156"/>
      <c r="K300" s="126"/>
      <c r="L300" s="126"/>
      <c r="M300" s="156"/>
      <c r="N300" s="126"/>
      <c r="O300" s="126"/>
      <c r="P300" s="156"/>
      <c r="Q300" s="126"/>
      <c r="R300" s="126"/>
      <c r="S300" s="156"/>
      <c r="T300" s="156"/>
      <c r="U300" s="156"/>
      <c r="V300" s="164"/>
      <c r="W300" s="164"/>
      <c r="X300" s="164"/>
      <c r="Y300" s="156"/>
      <c r="Z300" s="156"/>
      <c r="AA300" s="156"/>
    </row>
    <row r="301" spans="1:27" x14ac:dyDescent="0.25">
      <c r="A301" s="156"/>
      <c r="B301" s="126"/>
      <c r="C301" s="126"/>
      <c r="D301" s="156"/>
      <c r="E301" s="126"/>
      <c r="F301" s="126"/>
      <c r="G301" s="156"/>
      <c r="H301" s="126"/>
      <c r="I301" s="126"/>
      <c r="J301" s="156"/>
      <c r="K301" s="126"/>
      <c r="L301" s="126"/>
      <c r="M301" s="156"/>
      <c r="N301" s="126"/>
      <c r="O301" s="126"/>
      <c r="P301" s="156"/>
      <c r="Q301" s="126"/>
      <c r="R301" s="126"/>
      <c r="S301" s="156"/>
      <c r="T301" s="156"/>
      <c r="U301" s="156"/>
      <c r="V301" s="164"/>
      <c r="W301" s="164"/>
      <c r="X301" s="164"/>
      <c r="Y301" s="156"/>
      <c r="Z301" s="156"/>
      <c r="AA301" s="156"/>
    </row>
    <row r="302" spans="1:27" x14ac:dyDescent="0.25">
      <c r="A302" s="156"/>
      <c r="B302" s="126"/>
      <c r="C302" s="126"/>
      <c r="D302" s="156"/>
      <c r="E302" s="126"/>
      <c r="F302" s="126"/>
      <c r="G302" s="156"/>
      <c r="H302" s="126"/>
      <c r="I302" s="126"/>
      <c r="J302" s="156"/>
      <c r="K302" s="126"/>
      <c r="L302" s="126"/>
      <c r="M302" s="156"/>
      <c r="N302" s="126"/>
      <c r="O302" s="126"/>
      <c r="P302" s="156"/>
      <c r="Q302" s="126"/>
      <c r="R302" s="126"/>
      <c r="S302" s="156"/>
      <c r="T302" s="156"/>
      <c r="U302" s="156"/>
      <c r="V302" s="164"/>
      <c r="W302" s="164"/>
      <c r="X302" s="164"/>
      <c r="Y302" s="156"/>
      <c r="Z302" s="156"/>
      <c r="AA302" s="156"/>
    </row>
    <row r="303" spans="1:27" x14ac:dyDescent="0.25">
      <c r="A303" s="156"/>
      <c r="B303" s="126"/>
      <c r="C303" s="126"/>
      <c r="D303" s="156"/>
      <c r="E303" s="126"/>
      <c r="F303" s="126"/>
      <c r="G303" s="156"/>
      <c r="H303" s="126"/>
      <c r="I303" s="126"/>
      <c r="J303" s="156"/>
      <c r="K303" s="126"/>
      <c r="L303" s="126"/>
      <c r="M303" s="156"/>
      <c r="N303" s="126"/>
      <c r="O303" s="126"/>
      <c r="P303" s="156"/>
      <c r="Q303" s="126"/>
      <c r="R303" s="126"/>
      <c r="S303" s="156"/>
      <c r="T303" s="156"/>
      <c r="U303" s="156"/>
      <c r="V303" s="164"/>
      <c r="W303" s="164"/>
      <c r="X303" s="164"/>
      <c r="Y303" s="156"/>
      <c r="Z303" s="156"/>
      <c r="AA303" s="156"/>
    </row>
    <row r="304" spans="1:27" x14ac:dyDescent="0.25">
      <c r="A304" s="156"/>
      <c r="B304" s="126"/>
      <c r="C304" s="126"/>
      <c r="D304" s="156"/>
      <c r="E304" s="126"/>
      <c r="F304" s="126"/>
      <c r="G304" s="156"/>
      <c r="H304" s="126"/>
      <c r="I304" s="126"/>
      <c r="J304" s="156"/>
      <c r="K304" s="126"/>
      <c r="L304" s="126"/>
      <c r="M304" s="156"/>
      <c r="N304" s="126"/>
      <c r="O304" s="126"/>
      <c r="P304" s="156"/>
      <c r="Q304" s="126"/>
      <c r="R304" s="126"/>
      <c r="S304" s="156"/>
      <c r="T304" s="156"/>
      <c r="U304" s="156"/>
      <c r="V304" s="164"/>
      <c r="W304" s="164"/>
      <c r="X304" s="164"/>
      <c r="Y304" s="156"/>
      <c r="Z304" s="156"/>
      <c r="AA304" s="156"/>
    </row>
    <row r="305" spans="1:27" x14ac:dyDescent="0.25">
      <c r="A305" s="156"/>
      <c r="B305" s="126"/>
      <c r="C305" s="126"/>
      <c r="D305" s="156"/>
      <c r="E305" s="126"/>
      <c r="F305" s="126"/>
      <c r="G305" s="156"/>
      <c r="H305" s="126"/>
      <c r="I305" s="126"/>
      <c r="J305" s="156"/>
      <c r="K305" s="126"/>
      <c r="L305" s="126"/>
      <c r="M305" s="156"/>
      <c r="N305" s="126"/>
      <c r="O305" s="126"/>
      <c r="P305" s="156"/>
      <c r="Q305" s="126"/>
      <c r="R305" s="126"/>
      <c r="S305" s="156"/>
      <c r="T305" s="156"/>
      <c r="U305" s="156"/>
      <c r="V305" s="164"/>
      <c r="W305" s="164"/>
      <c r="X305" s="164"/>
      <c r="Y305" s="156"/>
      <c r="Z305" s="156"/>
      <c r="AA305" s="156"/>
    </row>
    <row r="306" spans="1:27" x14ac:dyDescent="0.25">
      <c r="A306" s="156"/>
      <c r="B306" s="126"/>
      <c r="C306" s="126"/>
      <c r="D306" s="156"/>
      <c r="E306" s="126"/>
      <c r="F306" s="126"/>
      <c r="G306" s="156"/>
      <c r="H306" s="126"/>
      <c r="I306" s="126"/>
      <c r="J306" s="156"/>
      <c r="K306" s="126"/>
      <c r="L306" s="126"/>
      <c r="M306" s="156"/>
      <c r="N306" s="126"/>
      <c r="O306" s="126"/>
      <c r="P306" s="156"/>
      <c r="Q306" s="126"/>
      <c r="R306" s="126"/>
      <c r="S306" s="156"/>
      <c r="T306" s="156"/>
      <c r="U306" s="156"/>
      <c r="V306" s="164"/>
      <c r="W306" s="164"/>
      <c r="X306" s="164"/>
      <c r="Y306" s="156"/>
      <c r="Z306" s="156"/>
      <c r="AA306" s="156"/>
    </row>
    <row r="307" spans="1:27" x14ac:dyDescent="0.25">
      <c r="A307" s="156"/>
      <c r="B307" s="126"/>
      <c r="C307" s="126"/>
      <c r="D307" s="156"/>
      <c r="E307" s="126"/>
      <c r="F307" s="126"/>
      <c r="G307" s="156"/>
      <c r="H307" s="126"/>
      <c r="I307" s="126"/>
      <c r="J307" s="156"/>
      <c r="K307" s="126"/>
      <c r="L307" s="126"/>
      <c r="M307" s="156"/>
      <c r="N307" s="126"/>
      <c r="O307" s="126"/>
      <c r="P307" s="156"/>
      <c r="Q307" s="126"/>
      <c r="R307" s="126"/>
      <c r="S307" s="156"/>
      <c r="T307" s="156"/>
      <c r="U307" s="156"/>
      <c r="V307" s="164"/>
      <c r="W307" s="164"/>
      <c r="X307" s="164"/>
      <c r="Y307" s="156"/>
      <c r="Z307" s="156"/>
      <c r="AA307" s="156"/>
    </row>
    <row r="308" spans="1:27" x14ac:dyDescent="0.25">
      <c r="A308" s="156"/>
      <c r="B308" s="193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56"/>
      <c r="P308" s="156"/>
      <c r="Q308" s="195"/>
      <c r="R308" s="156"/>
      <c r="S308" s="156"/>
      <c r="T308" s="156"/>
      <c r="U308" s="156"/>
      <c r="V308" s="164"/>
      <c r="W308" s="164"/>
      <c r="X308" s="164"/>
      <c r="Y308" s="156"/>
      <c r="Z308" s="156"/>
      <c r="AA308" s="156"/>
    </row>
    <row r="309" spans="1:27" x14ac:dyDescent="0.25">
      <c r="A309" s="156"/>
      <c r="B309" s="193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56"/>
      <c r="P309" s="156"/>
      <c r="Q309" s="195"/>
      <c r="R309" s="156"/>
      <c r="S309" s="156"/>
      <c r="T309" s="156"/>
      <c r="U309" s="156"/>
      <c r="V309" s="164"/>
      <c r="W309" s="164"/>
      <c r="X309" s="164"/>
      <c r="Y309" s="156"/>
      <c r="Z309" s="156"/>
      <c r="AA309" s="156"/>
    </row>
    <row r="310" spans="1:27" x14ac:dyDescent="0.25">
      <c r="A310" s="156"/>
      <c r="B310" s="193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56"/>
      <c r="P310" s="156"/>
      <c r="Q310" s="195"/>
      <c r="R310" s="156"/>
      <c r="S310" s="156"/>
      <c r="T310" s="156"/>
      <c r="U310" s="156"/>
      <c r="V310" s="164"/>
      <c r="W310" s="164"/>
      <c r="X310" s="164"/>
      <c r="Y310" s="156"/>
      <c r="Z310" s="156"/>
      <c r="AA310" s="156"/>
    </row>
    <row r="311" spans="1:27" x14ac:dyDescent="0.25">
      <c r="A311" s="156"/>
      <c r="B311" s="193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56"/>
      <c r="P311" s="156"/>
      <c r="Q311" s="195"/>
      <c r="R311" s="156"/>
      <c r="S311" s="156"/>
      <c r="T311" s="156"/>
      <c r="U311" s="156"/>
      <c r="V311" s="164"/>
      <c r="W311" s="164"/>
      <c r="X311" s="164"/>
      <c r="Y311" s="156"/>
      <c r="Z311" s="156"/>
      <c r="AA311" s="156"/>
    </row>
    <row r="312" spans="1:27" x14ac:dyDescent="0.25">
      <c r="A312" s="156"/>
      <c r="B312" s="193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56"/>
      <c r="P312" s="156"/>
      <c r="Q312" s="195"/>
      <c r="R312" s="156"/>
      <c r="S312" s="156"/>
      <c r="T312" s="156"/>
      <c r="U312" s="156"/>
      <c r="V312" s="164"/>
      <c r="W312" s="164"/>
      <c r="X312" s="164"/>
      <c r="Y312" s="156"/>
      <c r="Z312" s="156"/>
      <c r="AA312" s="156"/>
    </row>
    <row r="313" spans="1:27" x14ac:dyDescent="0.25">
      <c r="A313" s="156"/>
      <c r="B313" s="193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56"/>
      <c r="P313" s="156"/>
      <c r="Q313" s="195"/>
      <c r="R313" s="156"/>
      <c r="S313" s="156"/>
      <c r="T313" s="156"/>
      <c r="U313" s="156"/>
      <c r="V313" s="164"/>
      <c r="W313" s="164"/>
      <c r="X313" s="164"/>
      <c r="Y313" s="156"/>
      <c r="Z313" s="156"/>
      <c r="AA313" s="156"/>
    </row>
    <row r="314" spans="1:27" x14ac:dyDescent="0.25">
      <c r="A314" s="156"/>
      <c r="B314" s="193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56"/>
      <c r="P314" s="156"/>
      <c r="Q314" s="195"/>
      <c r="R314" s="156"/>
      <c r="S314" s="156"/>
      <c r="T314" s="156"/>
      <c r="U314" s="156"/>
      <c r="V314" s="164"/>
      <c r="W314" s="164"/>
      <c r="X314" s="164"/>
      <c r="Y314" s="156"/>
      <c r="Z314" s="156"/>
      <c r="AA314" s="156"/>
    </row>
    <row r="315" spans="1:27" x14ac:dyDescent="0.25">
      <c r="A315" s="156"/>
      <c r="B315" s="193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56"/>
      <c r="P315" s="156"/>
      <c r="Q315" s="195"/>
      <c r="R315" s="156"/>
      <c r="S315" s="156"/>
      <c r="T315" s="156"/>
      <c r="U315" s="156"/>
      <c r="V315" s="164"/>
      <c r="W315" s="164"/>
      <c r="X315" s="164"/>
      <c r="Y315" s="156"/>
      <c r="Z315" s="156"/>
      <c r="AA315" s="156"/>
    </row>
    <row r="316" spans="1:27" x14ac:dyDescent="0.25">
      <c r="A316" s="156"/>
      <c r="B316" s="193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56"/>
      <c r="P316" s="156"/>
      <c r="Q316" s="195"/>
      <c r="R316" s="156"/>
      <c r="S316" s="156"/>
      <c r="T316" s="156"/>
      <c r="U316" s="156"/>
      <c r="V316" s="164"/>
      <c r="W316" s="164"/>
      <c r="X316" s="164"/>
      <c r="Y316" s="156"/>
      <c r="Z316" s="156"/>
      <c r="AA316" s="156"/>
    </row>
    <row r="317" spans="1:27" x14ac:dyDescent="0.25">
      <c r="Q317" s="71"/>
    </row>
    <row r="318" spans="1:27" x14ac:dyDescent="0.25">
      <c r="Q318" s="71"/>
    </row>
    <row r="319" spans="1:27" x14ac:dyDescent="0.25">
      <c r="Q319" s="71"/>
    </row>
    <row r="320" spans="1:27" x14ac:dyDescent="0.25">
      <c r="Q320" s="71"/>
    </row>
    <row r="321" spans="17:17" x14ac:dyDescent="0.25">
      <c r="Q321" s="71"/>
    </row>
    <row r="322" spans="17:17" x14ac:dyDescent="0.25">
      <c r="Q322" s="71"/>
    </row>
    <row r="323" spans="17:17" x14ac:dyDescent="0.25">
      <c r="Q323" s="71"/>
    </row>
    <row r="324" spans="17:17" x14ac:dyDescent="0.25">
      <c r="Q324" s="71"/>
    </row>
    <row r="325" spans="17:17" x14ac:dyDescent="0.25">
      <c r="Q325" s="71"/>
    </row>
    <row r="326" spans="17:17" x14ac:dyDescent="0.25">
      <c r="Q326" s="71"/>
    </row>
    <row r="327" spans="17:17" x14ac:dyDescent="0.25">
      <c r="Q327" s="71"/>
    </row>
    <row r="328" spans="17:17" x14ac:dyDescent="0.25">
      <c r="Q328" s="71"/>
    </row>
    <row r="329" spans="17:17" x14ac:dyDescent="0.25">
      <c r="Q329" s="71"/>
    </row>
    <row r="330" spans="17:17" x14ac:dyDescent="0.25">
      <c r="Q330" s="71"/>
    </row>
    <row r="331" spans="17:17" x14ac:dyDescent="0.25">
      <c r="Q331" s="71"/>
    </row>
    <row r="332" spans="17:17" x14ac:dyDescent="0.25">
      <c r="Q332" s="71"/>
    </row>
    <row r="333" spans="17:17" x14ac:dyDescent="0.25">
      <c r="Q333" s="71"/>
    </row>
    <row r="334" spans="17:17" x14ac:dyDescent="0.25">
      <c r="Q334" s="71"/>
    </row>
    <row r="335" spans="17:17" x14ac:dyDescent="0.25">
      <c r="Q335" s="71"/>
    </row>
    <row r="336" spans="17:17" x14ac:dyDescent="0.25">
      <c r="Q336" s="71"/>
    </row>
    <row r="337" spans="17:17" x14ac:dyDescent="0.25">
      <c r="Q337" s="71"/>
    </row>
    <row r="338" spans="17:17" x14ac:dyDescent="0.25">
      <c r="Q338" s="71"/>
    </row>
    <row r="339" spans="17:17" x14ac:dyDescent="0.25">
      <c r="Q339" s="71"/>
    </row>
    <row r="340" spans="17:17" x14ac:dyDescent="0.25">
      <c r="Q340" s="71"/>
    </row>
    <row r="341" spans="17:17" x14ac:dyDescent="0.25">
      <c r="Q341" s="71"/>
    </row>
    <row r="342" spans="17:17" x14ac:dyDescent="0.25">
      <c r="Q342" s="71"/>
    </row>
    <row r="343" spans="17:17" x14ac:dyDescent="0.25">
      <c r="Q343" s="71"/>
    </row>
    <row r="344" spans="17:17" x14ac:dyDescent="0.25">
      <c r="Q344" s="71"/>
    </row>
  </sheetData>
  <autoFilter ref="A3:AA267"/>
  <mergeCells count="4">
    <mergeCell ref="S2:U2"/>
    <mergeCell ref="V2:X2"/>
    <mergeCell ref="Y2:AA2"/>
    <mergeCell ref="V272:X272"/>
  </mergeCells>
  <pageMargins left="0.7" right="0.7" top="0.75" bottom="0.75" header="0.3" footer="0.3"/>
  <pageSetup orientation="portrait" horizontalDpi="4294967293" verticalDpi="0" r:id="rId1"/>
  <ignoredErrors>
    <ignoredError sqref="M61:M62 M87 M129 M139 M161 M24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91"/>
  <sheetViews>
    <sheetView zoomScale="50" zoomScaleNormal="50" workbookViewId="0">
      <pane ySplit="3" topLeftCell="A216" activePane="bottomLeft" state="frozen"/>
      <selection activeCell="Y1" sqref="Y1"/>
      <selection pane="bottomLeft" activeCell="R4" sqref="R4:Z287"/>
    </sheetView>
  </sheetViews>
  <sheetFormatPr baseColWidth="10" defaultRowHeight="15" x14ac:dyDescent="0.25"/>
  <cols>
    <col min="3" max="3" width="33.85546875" bestFit="1" customWidth="1"/>
    <col min="4" max="4" width="17.7109375" customWidth="1"/>
    <col min="5" max="5" width="11.5703125" customWidth="1"/>
    <col min="6" max="6" width="13.7109375" customWidth="1"/>
    <col min="7" max="7" width="21.7109375" customWidth="1"/>
    <col min="8" max="8" width="21.7109375" hidden="1" customWidth="1"/>
    <col min="9" max="9" width="12.140625" customWidth="1"/>
    <col min="10" max="10" width="11" customWidth="1"/>
    <col min="13" max="13" width="14.140625" customWidth="1"/>
    <col min="14" max="14" width="10" customWidth="1"/>
    <col min="15" max="15" width="13.5703125" customWidth="1"/>
    <col min="18" max="18" width="11" bestFit="1" customWidth="1"/>
    <col min="19" max="19" width="19.42578125" bestFit="1" customWidth="1"/>
    <col min="20" max="20" width="20.28515625" bestFit="1" customWidth="1"/>
    <col min="21" max="21" width="11.42578125" style="34"/>
    <col min="22" max="22" width="19.42578125" style="34" bestFit="1" customWidth="1"/>
    <col min="23" max="23" width="20.28515625" style="34" bestFit="1" customWidth="1"/>
    <col min="26" max="26" width="20.28515625" bestFit="1" customWidth="1"/>
    <col min="27" max="27" width="0" hidden="1" customWidth="1"/>
    <col min="28" max="28" width="19.42578125" hidden="1" customWidth="1"/>
    <col min="29" max="29" width="26.5703125" hidden="1" customWidth="1"/>
    <col min="30" max="30" width="0" hidden="1" customWidth="1"/>
    <col min="31" max="31" width="19.42578125" hidden="1" customWidth="1"/>
    <col min="32" max="32" width="26.5703125" hidden="1" customWidth="1"/>
    <col min="36" max="36" width="15.42578125" bestFit="1" customWidth="1"/>
  </cols>
  <sheetData>
    <row r="2" spans="1:33" x14ac:dyDescent="0.25">
      <c r="R2" s="216" t="s">
        <v>165</v>
      </c>
      <c r="S2" s="216"/>
      <c r="T2" s="216"/>
      <c r="U2" s="217" t="s">
        <v>166</v>
      </c>
      <c r="V2" s="217"/>
      <c r="W2" s="217"/>
      <c r="X2" s="218" t="s">
        <v>8</v>
      </c>
      <c r="Y2" s="218"/>
      <c r="Z2" s="218"/>
      <c r="AA2" s="219" t="s">
        <v>167</v>
      </c>
      <c r="AB2" s="219"/>
      <c r="AC2" s="219"/>
      <c r="AD2" s="220" t="s">
        <v>168</v>
      </c>
      <c r="AE2" s="220"/>
      <c r="AF2" s="220"/>
    </row>
    <row r="3" spans="1:33" s="76" customFormat="1" x14ac:dyDescent="0.25">
      <c r="A3" s="75"/>
      <c r="B3" s="75"/>
      <c r="C3" s="23" t="s">
        <v>1</v>
      </c>
      <c r="D3" s="23" t="s">
        <v>5</v>
      </c>
      <c r="E3" s="23" t="s">
        <v>6</v>
      </c>
      <c r="F3" s="23" t="s">
        <v>4</v>
      </c>
      <c r="G3" s="23" t="s">
        <v>2</v>
      </c>
      <c r="H3" s="23"/>
      <c r="I3" s="23" t="s">
        <v>3</v>
      </c>
      <c r="J3" s="23" t="s">
        <v>161</v>
      </c>
      <c r="K3" s="23" t="s">
        <v>33</v>
      </c>
      <c r="L3" s="23" t="s">
        <v>34</v>
      </c>
      <c r="M3" s="23" t="s">
        <v>163</v>
      </c>
      <c r="N3" s="23" t="s">
        <v>35</v>
      </c>
      <c r="O3" s="23" t="s">
        <v>164</v>
      </c>
      <c r="P3" s="23" t="s">
        <v>8</v>
      </c>
      <c r="R3" s="77" t="s">
        <v>160</v>
      </c>
      <c r="S3" s="77" t="s">
        <v>159</v>
      </c>
      <c r="T3" s="77" t="s">
        <v>157</v>
      </c>
      <c r="U3" s="78" t="s">
        <v>158</v>
      </c>
      <c r="V3" s="78" t="s">
        <v>159</v>
      </c>
      <c r="W3" s="79" t="s">
        <v>157</v>
      </c>
      <c r="X3" s="80" t="s">
        <v>158</v>
      </c>
      <c r="Y3" s="80" t="s">
        <v>159</v>
      </c>
      <c r="Z3" s="81" t="s">
        <v>157</v>
      </c>
      <c r="AA3" s="94" t="s">
        <v>158</v>
      </c>
      <c r="AB3" s="94" t="s">
        <v>159</v>
      </c>
      <c r="AC3" s="94" t="s">
        <v>157</v>
      </c>
      <c r="AD3" s="92" t="s">
        <v>158</v>
      </c>
      <c r="AE3" s="92" t="s">
        <v>159</v>
      </c>
      <c r="AF3" s="93" t="s">
        <v>157</v>
      </c>
      <c r="AG3" s="24"/>
    </row>
    <row r="4" spans="1:33" s="11" customFormat="1" ht="15.75" x14ac:dyDescent="0.25">
      <c r="A4" s="43" t="s">
        <v>705</v>
      </c>
      <c r="B4" s="43">
        <v>1</v>
      </c>
      <c r="C4" s="44" t="s">
        <v>255</v>
      </c>
      <c r="D4" s="43">
        <v>1</v>
      </c>
      <c r="E4" s="45" t="s">
        <v>7</v>
      </c>
      <c r="F4" s="43">
        <v>2</v>
      </c>
      <c r="G4" s="46">
        <v>42231</v>
      </c>
      <c r="H4" s="51">
        <v>44462</v>
      </c>
      <c r="I4" s="47">
        <f t="shared" ref="I4:I35" si="0">DATEDIF(G4,H4,"y")</f>
        <v>6</v>
      </c>
      <c r="J4" s="47">
        <f t="shared" ref="J4:J67" si="1">DATEDIF(G4,H4,"m")</f>
        <v>73</v>
      </c>
      <c r="K4" s="43">
        <v>20</v>
      </c>
      <c r="L4" s="43">
        <v>1.1599999999999999</v>
      </c>
      <c r="M4" s="43">
        <f t="shared" ref="M4:M67" si="2">L4*100</f>
        <v>115.99999999999999</v>
      </c>
      <c r="N4" s="43">
        <f>102.6-40</f>
        <v>62.599999999999994</v>
      </c>
      <c r="O4" s="48">
        <f t="shared" ref="O4:O67" si="3">((M4-N4)/M4)*100</f>
        <v>46.03448275862069</v>
      </c>
      <c r="P4" s="49">
        <f t="shared" ref="P4:P67" si="4">K4/(L4*L4)</f>
        <v>14.863258026159334</v>
      </c>
      <c r="Q4" s="37"/>
      <c r="R4" s="91">
        <v>7.6927593022313973E-2</v>
      </c>
      <c r="S4" s="91">
        <v>53.065942673674236</v>
      </c>
      <c r="T4" s="39" t="str">
        <f>IF(R4&lt;-1.645,"Desnutricion",IF(AND(R4&gt;=-1.645,R4&lt;=1.645),"Normal",IF(R4&gt;1.645,"Alto")))</f>
        <v>Normal</v>
      </c>
      <c r="U4" s="91">
        <v>-0.58255870213208572</v>
      </c>
      <c r="V4" s="91">
        <v>28.009520665689834</v>
      </c>
      <c r="W4" s="39" t="str">
        <f t="shared" ref="W4:W67" si="5">IF(U4&lt;-1.645,"Piernas cortas",IF(AND(U4&gt;=-1.645,U4&lt;=1.645),"Normal",IF(U4&gt;1.645,"Piernas largas")))</f>
        <v>Normal</v>
      </c>
      <c r="X4" s="116">
        <v>-0.27151484809074455</v>
      </c>
      <c r="Y4" s="91">
        <v>39.299754067635192</v>
      </c>
      <c r="Z4" s="39" t="str">
        <f t="shared" ref="Z4:Z67" si="6">IF(Y4&lt;5,"Desnutricion",IF(AND(Y4&gt;=5,Y4&lt;15),"Bajo Peso",IF(AND(Y4&gt;=15,Y4&lt;=85),"Normal",IF(Y4&gt;85,"Obesidad"))))</f>
        <v>Normal</v>
      </c>
      <c r="AA4" s="42"/>
      <c r="AB4" s="42"/>
      <c r="AC4" s="39"/>
      <c r="AD4" s="33" t="s">
        <v>172</v>
      </c>
      <c r="AE4" s="33" t="s">
        <v>172</v>
      </c>
      <c r="AF4" s="33" t="s">
        <v>172</v>
      </c>
    </row>
    <row r="5" spans="1:33" s="11" customFormat="1" ht="15.75" x14ac:dyDescent="0.25">
      <c r="A5" s="43" t="s">
        <v>705</v>
      </c>
      <c r="B5" s="43">
        <v>2</v>
      </c>
      <c r="C5" s="44" t="s">
        <v>778</v>
      </c>
      <c r="D5" s="43">
        <v>1</v>
      </c>
      <c r="E5" s="43" t="s">
        <v>7</v>
      </c>
      <c r="F5" s="43">
        <v>2</v>
      </c>
      <c r="G5" s="46">
        <v>42231</v>
      </c>
      <c r="H5" s="51">
        <v>44462</v>
      </c>
      <c r="I5" s="47">
        <f t="shared" si="0"/>
        <v>6</v>
      </c>
      <c r="J5" s="47">
        <f t="shared" si="1"/>
        <v>73</v>
      </c>
      <c r="K5" s="43">
        <v>19</v>
      </c>
      <c r="L5" s="43">
        <v>1.2</v>
      </c>
      <c r="M5" s="43">
        <f t="shared" si="2"/>
        <v>120</v>
      </c>
      <c r="N5" s="43">
        <f>100.2-40</f>
        <v>60.2</v>
      </c>
      <c r="O5" s="48">
        <f t="shared" si="3"/>
        <v>49.833333333333329</v>
      </c>
      <c r="P5" s="49">
        <f t="shared" si="4"/>
        <v>13.194444444444445</v>
      </c>
      <c r="Q5" s="37"/>
      <c r="R5" s="91">
        <v>0.85377781288916599</v>
      </c>
      <c r="S5" s="91">
        <v>80.338594494470598</v>
      </c>
      <c r="T5" s="39" t="str">
        <f t="shared" ref="T5:T68" si="7">IF(R5&lt;-1.645,"Desnutricion",IF(AND(R5&gt;=-1.645,R5&lt;=1.645),"Normal",IF(R5&gt;1.645,"Alto")))</f>
        <v>Normal</v>
      </c>
      <c r="U5" s="91">
        <v>1.8908834842679973</v>
      </c>
      <c r="V5" s="91">
        <v>97.068005021083422</v>
      </c>
      <c r="W5" s="39" t="str">
        <f t="shared" si="5"/>
        <v>Piernas largas</v>
      </c>
      <c r="X5" s="116">
        <v>-1.5515767375382301</v>
      </c>
      <c r="Y5" s="91">
        <v>6.038176642050324</v>
      </c>
      <c r="Z5" s="39" t="str">
        <f t="shared" si="6"/>
        <v>Bajo Peso</v>
      </c>
      <c r="AA5" s="42"/>
      <c r="AB5" s="42"/>
      <c r="AC5" s="39"/>
      <c r="AD5" s="33" t="s">
        <v>172</v>
      </c>
      <c r="AE5" s="33" t="s">
        <v>172</v>
      </c>
      <c r="AF5" s="33" t="s">
        <v>172</v>
      </c>
    </row>
    <row r="6" spans="1:33" s="11" customFormat="1" ht="15.75" x14ac:dyDescent="0.25">
      <c r="A6" s="43" t="s">
        <v>705</v>
      </c>
      <c r="B6" s="43">
        <v>3</v>
      </c>
      <c r="C6" s="44" t="s">
        <v>256</v>
      </c>
      <c r="D6" s="43">
        <v>1</v>
      </c>
      <c r="E6" s="43" t="s">
        <v>7</v>
      </c>
      <c r="F6" s="43">
        <v>1</v>
      </c>
      <c r="G6" s="46">
        <v>42103</v>
      </c>
      <c r="H6" s="51">
        <v>44462</v>
      </c>
      <c r="I6" s="47">
        <f t="shared" si="0"/>
        <v>6</v>
      </c>
      <c r="J6" s="47">
        <f t="shared" si="1"/>
        <v>77</v>
      </c>
      <c r="K6" s="43">
        <v>25.2</v>
      </c>
      <c r="L6" s="43">
        <v>1.1399999999999999</v>
      </c>
      <c r="M6" s="43">
        <f t="shared" si="2"/>
        <v>113.99999999999999</v>
      </c>
      <c r="N6" s="43">
        <f>103.5-40</f>
        <v>63.5</v>
      </c>
      <c r="O6" s="48">
        <f t="shared" si="3"/>
        <v>44.298245614035082</v>
      </c>
      <c r="P6" s="49">
        <f t="shared" si="4"/>
        <v>19.390581717451525</v>
      </c>
      <c r="Q6" s="37"/>
      <c r="R6" s="91">
        <v>-0.8645805307860901</v>
      </c>
      <c r="S6" s="91">
        <v>19.363453113734135</v>
      </c>
      <c r="T6" s="39" t="str">
        <f t="shared" si="7"/>
        <v>Normal</v>
      </c>
      <c r="U6" s="91">
        <v>-1.5880862706434249</v>
      </c>
      <c r="V6" s="91">
        <v>5.6133416216224408</v>
      </c>
      <c r="W6" s="39" t="str">
        <f t="shared" si="5"/>
        <v>Normal</v>
      </c>
      <c r="X6" s="116">
        <v>2.3221530512388999</v>
      </c>
      <c r="Y6" s="91">
        <v>98.988765202599751</v>
      </c>
      <c r="Z6" s="39" t="str">
        <f t="shared" si="6"/>
        <v>Obesidad</v>
      </c>
      <c r="AA6" s="42"/>
      <c r="AB6" s="42"/>
      <c r="AC6" s="39"/>
      <c r="AD6" s="33" t="s">
        <v>172</v>
      </c>
      <c r="AE6" s="33" t="s">
        <v>172</v>
      </c>
      <c r="AF6" s="33" t="s">
        <v>172</v>
      </c>
    </row>
    <row r="7" spans="1:33" s="11" customFormat="1" ht="15.75" x14ac:dyDescent="0.25">
      <c r="A7" s="43" t="s">
        <v>705</v>
      </c>
      <c r="B7" s="43">
        <v>4</v>
      </c>
      <c r="C7" s="44" t="s">
        <v>257</v>
      </c>
      <c r="D7" s="43">
        <v>1</v>
      </c>
      <c r="E7" s="43" t="s">
        <v>7</v>
      </c>
      <c r="F7" s="43">
        <v>1</v>
      </c>
      <c r="G7" s="46">
        <v>42237</v>
      </c>
      <c r="H7" s="51">
        <v>44462</v>
      </c>
      <c r="I7" s="47">
        <f t="shared" si="0"/>
        <v>6</v>
      </c>
      <c r="J7" s="47">
        <f t="shared" si="1"/>
        <v>73</v>
      </c>
      <c r="K7" s="43">
        <v>33.200000000000003</v>
      </c>
      <c r="L7" s="43">
        <v>1.1599999999999999</v>
      </c>
      <c r="M7" s="43">
        <f t="shared" si="2"/>
        <v>115.99999999999999</v>
      </c>
      <c r="N7" s="43">
        <f>105-40</f>
        <v>65</v>
      </c>
      <c r="O7" s="48">
        <f t="shared" si="3"/>
        <v>43.965517241379303</v>
      </c>
      <c r="P7" s="49">
        <f t="shared" si="4"/>
        <v>24.673008323424497</v>
      </c>
      <c r="Q7" s="37"/>
      <c r="R7" s="91">
        <v>-8.9409150730916709E-2</v>
      </c>
      <c r="S7" s="91">
        <v>46.437837568375599</v>
      </c>
      <c r="T7" s="39" t="str">
        <f t="shared" si="7"/>
        <v>Normal</v>
      </c>
      <c r="U7" s="91">
        <v>-1.810943477259453</v>
      </c>
      <c r="V7" s="91">
        <v>3.5074800784873039</v>
      </c>
      <c r="W7" s="39" t="str">
        <f t="shared" si="5"/>
        <v>Piernas cortas</v>
      </c>
      <c r="X7" s="116">
        <v>4.3394351764013841</v>
      </c>
      <c r="Y7" s="91">
        <v>99.999285753022022</v>
      </c>
      <c r="Z7" s="39" t="str">
        <f t="shared" si="6"/>
        <v>Obesidad</v>
      </c>
      <c r="AA7" s="42"/>
      <c r="AB7" s="42"/>
      <c r="AC7" s="39"/>
      <c r="AD7" s="33" t="s">
        <v>172</v>
      </c>
      <c r="AE7" s="33" t="s">
        <v>172</v>
      </c>
      <c r="AF7" s="33" t="s">
        <v>172</v>
      </c>
    </row>
    <row r="8" spans="1:33" s="11" customFormat="1" ht="15.75" x14ac:dyDescent="0.25">
      <c r="A8" s="43" t="s">
        <v>705</v>
      </c>
      <c r="B8" s="43">
        <v>5</v>
      </c>
      <c r="C8" s="44" t="s">
        <v>788</v>
      </c>
      <c r="D8" s="43">
        <v>1</v>
      </c>
      <c r="E8" s="43" t="s">
        <v>7</v>
      </c>
      <c r="F8" s="43">
        <v>1</v>
      </c>
      <c r="G8" s="46">
        <v>42076</v>
      </c>
      <c r="H8" s="51">
        <v>44462</v>
      </c>
      <c r="I8" s="47">
        <f t="shared" si="0"/>
        <v>6</v>
      </c>
      <c r="J8" s="47">
        <f t="shared" si="1"/>
        <v>78</v>
      </c>
      <c r="K8" s="43">
        <v>20.7</v>
      </c>
      <c r="L8" s="43">
        <v>1.19</v>
      </c>
      <c r="M8" s="43">
        <f t="shared" si="2"/>
        <v>119</v>
      </c>
      <c r="N8" s="43">
        <f>106-40</f>
        <v>66</v>
      </c>
      <c r="O8" s="48">
        <f t="shared" si="3"/>
        <v>44.537815126050425</v>
      </c>
      <c r="P8" s="49">
        <f t="shared" si="4"/>
        <v>14.617611750582586</v>
      </c>
      <c r="Q8" s="37"/>
      <c r="R8" s="91">
        <v>2.5462903340959037E-2</v>
      </c>
      <c r="S8" s="91">
        <v>51.015713113397169</v>
      </c>
      <c r="T8" s="39" t="str">
        <f t="shared" si="7"/>
        <v>Normal</v>
      </c>
      <c r="U8" s="91">
        <v>-1.4287489485117075</v>
      </c>
      <c r="V8" s="91">
        <v>7.6538201758508766</v>
      </c>
      <c r="W8" s="39" t="str">
        <f t="shared" si="5"/>
        <v>Normal</v>
      </c>
      <c r="X8" s="116">
        <v>-0.59213042113651093</v>
      </c>
      <c r="Y8" s="91">
        <v>27.688162864166777</v>
      </c>
      <c r="Z8" s="39" t="str">
        <f t="shared" si="6"/>
        <v>Normal</v>
      </c>
      <c r="AA8" s="42"/>
      <c r="AB8" s="42"/>
      <c r="AC8" s="39"/>
      <c r="AD8" s="33" t="s">
        <v>172</v>
      </c>
      <c r="AE8" s="33" t="s">
        <v>172</v>
      </c>
      <c r="AF8" s="33" t="s">
        <v>172</v>
      </c>
    </row>
    <row r="9" spans="1:33" s="11" customFormat="1" ht="15.75" x14ac:dyDescent="0.25">
      <c r="A9" s="43" t="s">
        <v>705</v>
      </c>
      <c r="B9" s="43">
        <v>6</v>
      </c>
      <c r="C9" s="44" t="s">
        <v>787</v>
      </c>
      <c r="D9" s="43">
        <v>1</v>
      </c>
      <c r="E9" s="43" t="s">
        <v>7</v>
      </c>
      <c r="F9" s="43">
        <v>2</v>
      </c>
      <c r="G9" s="46">
        <v>42205</v>
      </c>
      <c r="H9" s="51">
        <v>44462</v>
      </c>
      <c r="I9" s="47">
        <f t="shared" si="0"/>
        <v>6</v>
      </c>
      <c r="J9" s="47">
        <f t="shared" si="1"/>
        <v>74</v>
      </c>
      <c r="K9" s="43">
        <v>21.9</v>
      </c>
      <c r="L9" s="43">
        <v>1.1599999999999999</v>
      </c>
      <c r="M9" s="43">
        <f t="shared" si="2"/>
        <v>115.99999999999999</v>
      </c>
      <c r="N9" s="43">
        <f>104.2-40</f>
        <v>64.2</v>
      </c>
      <c r="O9" s="48">
        <f t="shared" si="3"/>
        <v>44.655172413793096</v>
      </c>
      <c r="P9" s="49">
        <f t="shared" si="4"/>
        <v>16.275267538644471</v>
      </c>
      <c r="Q9" s="37"/>
      <c r="R9" s="91">
        <v>-1.5680572579246085E-2</v>
      </c>
      <c r="S9" s="91">
        <v>49.374461296441815</v>
      </c>
      <c r="T9" s="39" t="str">
        <f t="shared" si="7"/>
        <v>Normal</v>
      </c>
      <c r="U9" s="91">
        <v>-1.5359760902487016</v>
      </c>
      <c r="V9" s="91">
        <v>6.2272122271055457</v>
      </c>
      <c r="W9" s="39" t="str">
        <f t="shared" si="5"/>
        <v>Normal</v>
      </c>
      <c r="X9" s="116">
        <v>0.59055735984838353</v>
      </c>
      <c r="Y9" s="91">
        <v>72.259147889874924</v>
      </c>
      <c r="Z9" s="39" t="str">
        <f t="shared" si="6"/>
        <v>Normal</v>
      </c>
      <c r="AA9" s="42"/>
      <c r="AB9" s="42"/>
      <c r="AC9" s="39"/>
      <c r="AD9" s="33" t="s">
        <v>172</v>
      </c>
      <c r="AE9" s="33" t="s">
        <v>172</v>
      </c>
      <c r="AF9" s="33" t="s">
        <v>172</v>
      </c>
    </row>
    <row r="10" spans="1:33" s="11" customFormat="1" ht="15.75" x14ac:dyDescent="0.25">
      <c r="A10" s="43" t="s">
        <v>705</v>
      </c>
      <c r="B10" s="43">
        <v>7</v>
      </c>
      <c r="C10" s="44" t="s">
        <v>786</v>
      </c>
      <c r="D10" s="43">
        <v>1</v>
      </c>
      <c r="E10" s="43" t="s">
        <v>7</v>
      </c>
      <c r="F10" s="43">
        <v>2</v>
      </c>
      <c r="G10" s="46">
        <v>42291</v>
      </c>
      <c r="H10" s="51">
        <v>44462</v>
      </c>
      <c r="I10" s="47">
        <f t="shared" si="0"/>
        <v>5</v>
      </c>
      <c r="J10" s="47">
        <f t="shared" si="1"/>
        <v>71</v>
      </c>
      <c r="K10" s="43">
        <v>23.4</v>
      </c>
      <c r="L10" s="43">
        <v>1.1399999999999999</v>
      </c>
      <c r="M10" s="43">
        <f t="shared" si="2"/>
        <v>113.99999999999999</v>
      </c>
      <c r="N10" s="43">
        <f>102.2-40</f>
        <v>62.2</v>
      </c>
      <c r="O10" s="48">
        <f t="shared" si="3"/>
        <v>45.438596491228061</v>
      </c>
      <c r="P10" s="49">
        <f t="shared" si="4"/>
        <v>18.005540166204987</v>
      </c>
      <c r="Q10" s="37"/>
      <c r="R10" s="91">
        <v>-0.12617502285587384</v>
      </c>
      <c r="S10" s="91">
        <v>44.979669110364831</v>
      </c>
      <c r="T10" s="39" t="str">
        <f t="shared" si="7"/>
        <v>Normal</v>
      </c>
      <c r="U10" s="91">
        <v>-0.35724898376481951</v>
      </c>
      <c r="V10" s="91">
        <v>36.045270915972331</v>
      </c>
      <c r="W10" s="39" t="str">
        <f t="shared" si="5"/>
        <v>Normal</v>
      </c>
      <c r="X10" s="116">
        <v>1.492635781721446</v>
      </c>
      <c r="Y10" s="91">
        <v>93.223372415688274</v>
      </c>
      <c r="Z10" s="39" t="str">
        <f t="shared" si="6"/>
        <v>Obesidad</v>
      </c>
      <c r="AA10" s="42"/>
      <c r="AB10" s="42"/>
      <c r="AC10" s="39"/>
      <c r="AD10" s="33" t="s">
        <v>172</v>
      </c>
      <c r="AE10" s="33" t="s">
        <v>172</v>
      </c>
      <c r="AF10" s="33" t="s">
        <v>172</v>
      </c>
    </row>
    <row r="11" spans="1:33" s="11" customFormat="1" ht="15.75" x14ac:dyDescent="0.25">
      <c r="A11" s="43" t="s">
        <v>705</v>
      </c>
      <c r="B11" s="43">
        <v>8</v>
      </c>
      <c r="C11" s="44" t="s">
        <v>779</v>
      </c>
      <c r="D11" s="43">
        <v>1</v>
      </c>
      <c r="E11" s="43" t="s">
        <v>7</v>
      </c>
      <c r="F11" s="43">
        <v>2</v>
      </c>
      <c r="G11" s="46">
        <v>42339</v>
      </c>
      <c r="H11" s="51">
        <v>44462</v>
      </c>
      <c r="I11" s="47">
        <f t="shared" si="0"/>
        <v>5</v>
      </c>
      <c r="J11" s="47">
        <f t="shared" si="1"/>
        <v>69</v>
      </c>
      <c r="K11" s="43">
        <v>21.9</v>
      </c>
      <c r="L11" s="43">
        <v>1.1599999999999999</v>
      </c>
      <c r="M11" s="43">
        <f t="shared" si="2"/>
        <v>115.99999999999999</v>
      </c>
      <c r="N11" s="43">
        <f>104.2-40</f>
        <v>64.2</v>
      </c>
      <c r="O11" s="48">
        <f t="shared" si="3"/>
        <v>44.655172413793096</v>
      </c>
      <c r="P11" s="49">
        <f t="shared" si="4"/>
        <v>16.275267538644471</v>
      </c>
      <c r="Q11" s="37"/>
      <c r="R11" s="91">
        <v>0.4640079326134175</v>
      </c>
      <c r="S11" s="91">
        <v>67.867896886073268</v>
      </c>
      <c r="T11" s="39" t="str">
        <f t="shared" si="7"/>
        <v>Normal</v>
      </c>
      <c r="U11" s="91">
        <v>-0.85507855327440718</v>
      </c>
      <c r="V11" s="91">
        <v>19.625383086221067</v>
      </c>
      <c r="W11" s="39" t="str">
        <f t="shared" si="5"/>
        <v>Normal</v>
      </c>
      <c r="X11" s="116">
        <v>0.62261590989129134</v>
      </c>
      <c r="Y11" s="91">
        <v>73.323152320027688</v>
      </c>
      <c r="Z11" s="39" t="str">
        <f t="shared" si="6"/>
        <v>Normal</v>
      </c>
      <c r="AA11" s="42"/>
      <c r="AB11" s="42"/>
      <c r="AC11" s="39"/>
      <c r="AD11" s="33" t="s">
        <v>172</v>
      </c>
      <c r="AE11" s="33" t="s">
        <v>172</v>
      </c>
      <c r="AF11" s="33" t="s">
        <v>172</v>
      </c>
    </row>
    <row r="12" spans="1:33" s="11" customFormat="1" ht="15.75" x14ac:dyDescent="0.25">
      <c r="A12" s="43" t="s">
        <v>705</v>
      </c>
      <c r="B12" s="43">
        <v>9</v>
      </c>
      <c r="C12" s="44" t="s">
        <v>785</v>
      </c>
      <c r="D12" s="43">
        <v>1</v>
      </c>
      <c r="E12" s="43" t="s">
        <v>7</v>
      </c>
      <c r="F12" s="43">
        <v>1</v>
      </c>
      <c r="G12" s="46">
        <v>42282</v>
      </c>
      <c r="H12" s="51">
        <v>44462</v>
      </c>
      <c r="I12" s="47">
        <f t="shared" si="0"/>
        <v>5</v>
      </c>
      <c r="J12" s="47">
        <f t="shared" si="1"/>
        <v>71</v>
      </c>
      <c r="K12" s="43">
        <v>21.9</v>
      </c>
      <c r="L12" s="43">
        <v>1.1499999999999999</v>
      </c>
      <c r="M12" s="43">
        <f t="shared" si="2"/>
        <v>114.99999999999999</v>
      </c>
      <c r="N12" s="43">
        <f>105-40</f>
        <v>65</v>
      </c>
      <c r="O12" s="48">
        <f t="shared" si="3"/>
        <v>43.478260869565212</v>
      </c>
      <c r="P12" s="49">
        <f t="shared" si="4"/>
        <v>16.559546313799622</v>
      </c>
      <c r="Q12" s="37"/>
      <c r="R12" s="91">
        <v>-9.2904188652212061E-2</v>
      </c>
      <c r="S12" s="91">
        <v>46.298983903956625</v>
      </c>
      <c r="T12" s="39" t="str">
        <f t="shared" si="7"/>
        <v>Normal</v>
      </c>
      <c r="U12" s="91">
        <v>-1.5394588488953105</v>
      </c>
      <c r="V12" s="91">
        <v>6.1846158362228474</v>
      </c>
      <c r="W12" s="39" t="str">
        <f t="shared" si="5"/>
        <v>Normal</v>
      </c>
      <c r="X12" s="116">
        <v>0.88250942930472298</v>
      </c>
      <c r="Y12" s="91">
        <v>81.124930854620004</v>
      </c>
      <c r="Z12" s="39" t="str">
        <f t="shared" si="6"/>
        <v>Normal</v>
      </c>
      <c r="AA12" s="42"/>
      <c r="AB12" s="42"/>
      <c r="AC12" s="39"/>
      <c r="AD12" s="33" t="s">
        <v>172</v>
      </c>
      <c r="AE12" s="33" t="s">
        <v>172</v>
      </c>
      <c r="AF12" s="33" t="s">
        <v>172</v>
      </c>
    </row>
    <row r="13" spans="1:33" s="11" customFormat="1" ht="15.75" x14ac:dyDescent="0.25">
      <c r="A13" s="43" t="s">
        <v>705</v>
      </c>
      <c r="B13" s="43">
        <v>10</v>
      </c>
      <c r="C13" s="44" t="s">
        <v>784</v>
      </c>
      <c r="D13" s="43">
        <v>1</v>
      </c>
      <c r="E13" s="43" t="s">
        <v>7</v>
      </c>
      <c r="F13" s="43">
        <v>2</v>
      </c>
      <c r="G13" s="46">
        <v>42315</v>
      </c>
      <c r="H13" s="51">
        <v>44462</v>
      </c>
      <c r="I13" s="47">
        <f t="shared" si="0"/>
        <v>5</v>
      </c>
      <c r="J13" s="47">
        <f t="shared" si="1"/>
        <v>70</v>
      </c>
      <c r="K13" s="43">
        <v>23.5</v>
      </c>
      <c r="L13" s="43">
        <v>1.2</v>
      </c>
      <c r="M13" s="43">
        <f t="shared" si="2"/>
        <v>120</v>
      </c>
      <c r="N13" s="43">
        <f>106.3-40</f>
        <v>66.3</v>
      </c>
      <c r="O13" s="48">
        <f t="shared" si="3"/>
        <v>44.75</v>
      </c>
      <c r="P13" s="49">
        <f t="shared" si="4"/>
        <v>16.319444444444446</v>
      </c>
      <c r="Q13" s="37"/>
      <c r="R13" s="91">
        <v>1.1552358383617705</v>
      </c>
      <c r="S13" s="91">
        <v>87.60030687958178</v>
      </c>
      <c r="T13" s="39" t="str">
        <f t="shared" si="7"/>
        <v>Normal</v>
      </c>
      <c r="U13" s="91">
        <v>-0.79431684312053141</v>
      </c>
      <c r="V13" s="91">
        <v>21.350550052477839</v>
      </c>
      <c r="W13" s="39" t="str">
        <f t="shared" si="5"/>
        <v>Normal</v>
      </c>
      <c r="X13" s="116">
        <v>0.64200472285934973</v>
      </c>
      <c r="Y13" s="91">
        <v>73.956494175421227</v>
      </c>
      <c r="Z13" s="39" t="str">
        <f t="shared" si="6"/>
        <v>Normal</v>
      </c>
      <c r="AA13" s="42"/>
      <c r="AB13" s="42"/>
      <c r="AC13" s="39"/>
      <c r="AD13" s="33" t="s">
        <v>172</v>
      </c>
      <c r="AE13" s="33" t="s">
        <v>172</v>
      </c>
      <c r="AF13" s="33" t="s">
        <v>172</v>
      </c>
    </row>
    <row r="14" spans="1:33" ht="15.75" x14ac:dyDescent="0.25">
      <c r="A14" s="43" t="s">
        <v>705</v>
      </c>
      <c r="B14" s="43">
        <v>11</v>
      </c>
      <c r="C14" s="50" t="s">
        <v>780</v>
      </c>
      <c r="D14" s="43">
        <v>1</v>
      </c>
      <c r="E14" s="43" t="s">
        <v>7</v>
      </c>
      <c r="F14" s="33">
        <v>1</v>
      </c>
      <c r="G14" s="46">
        <v>42089</v>
      </c>
      <c r="H14" s="51">
        <v>44462</v>
      </c>
      <c r="I14" s="47">
        <f t="shared" si="0"/>
        <v>6</v>
      </c>
      <c r="J14" s="47">
        <f t="shared" si="1"/>
        <v>77</v>
      </c>
      <c r="K14" s="33">
        <v>20.6</v>
      </c>
      <c r="L14" s="33">
        <v>1.1399999999999999</v>
      </c>
      <c r="M14" s="43">
        <f t="shared" si="2"/>
        <v>113.99999999999999</v>
      </c>
      <c r="N14" s="33">
        <f>103.4-40</f>
        <v>63.400000000000006</v>
      </c>
      <c r="O14" s="48">
        <f t="shared" si="3"/>
        <v>44.385964912280691</v>
      </c>
      <c r="P14" s="49">
        <f t="shared" si="4"/>
        <v>15.851031086488153</v>
      </c>
      <c r="Q14" s="34"/>
      <c r="R14" s="91">
        <v>-0.8645805307860901</v>
      </c>
      <c r="S14" s="91">
        <v>19.363453113734135</v>
      </c>
      <c r="T14" s="39" t="str">
        <f t="shared" si="7"/>
        <v>Normal</v>
      </c>
      <c r="U14" s="91">
        <v>-1.5296358873514977</v>
      </c>
      <c r="V14" s="91">
        <v>6.3053440614684844</v>
      </c>
      <c r="W14" s="39" t="str">
        <f t="shared" si="5"/>
        <v>Normal</v>
      </c>
      <c r="X14" s="116">
        <v>0.34452390736795324</v>
      </c>
      <c r="Y14" s="91">
        <v>63.477384010574752</v>
      </c>
      <c r="Z14" s="39" t="str">
        <f t="shared" si="6"/>
        <v>Normal</v>
      </c>
      <c r="AA14" s="42"/>
      <c r="AB14" s="42"/>
      <c r="AC14" s="39"/>
      <c r="AD14" s="33" t="s">
        <v>172</v>
      </c>
      <c r="AE14" s="33" t="s">
        <v>172</v>
      </c>
      <c r="AF14" s="33" t="s">
        <v>172</v>
      </c>
    </row>
    <row r="15" spans="1:33" ht="15.75" x14ac:dyDescent="0.25">
      <c r="A15" s="43" t="s">
        <v>705</v>
      </c>
      <c r="B15" s="43">
        <v>12</v>
      </c>
      <c r="C15" s="50" t="s">
        <v>783</v>
      </c>
      <c r="D15" s="43">
        <v>1</v>
      </c>
      <c r="E15" s="43" t="s">
        <v>7</v>
      </c>
      <c r="F15" s="33">
        <v>1</v>
      </c>
      <c r="G15" s="46">
        <v>42269</v>
      </c>
      <c r="H15" s="51">
        <v>44462</v>
      </c>
      <c r="I15" s="47">
        <f t="shared" si="0"/>
        <v>6</v>
      </c>
      <c r="J15" s="47">
        <f t="shared" si="1"/>
        <v>72</v>
      </c>
      <c r="K15" s="33">
        <v>25.4</v>
      </c>
      <c r="L15" s="33">
        <v>1.19</v>
      </c>
      <c r="M15" s="43">
        <f t="shared" si="2"/>
        <v>119</v>
      </c>
      <c r="N15" s="33">
        <f>105-40</f>
        <v>65</v>
      </c>
      <c r="O15" s="48">
        <f t="shared" si="3"/>
        <v>45.378151260504204</v>
      </c>
      <c r="P15" s="49">
        <f t="shared" si="4"/>
        <v>17.93658639926559</v>
      </c>
      <c r="Q15" s="34"/>
      <c r="R15" s="91">
        <v>0.61888622007340455</v>
      </c>
      <c r="S15" s="91">
        <v>73.200434150012967</v>
      </c>
      <c r="T15" s="39" t="str">
        <f t="shared" si="7"/>
        <v>Normal</v>
      </c>
      <c r="U15" s="91">
        <v>-0.87711557703452447</v>
      </c>
      <c r="V15" s="91">
        <v>19.021193235796293</v>
      </c>
      <c r="W15" s="39" t="str">
        <f t="shared" si="5"/>
        <v>Normal</v>
      </c>
      <c r="X15" s="116">
        <v>1.6901484908677959</v>
      </c>
      <c r="Y15" s="91">
        <v>95.4500225056956</v>
      </c>
      <c r="Z15" s="39" t="str">
        <f t="shared" si="6"/>
        <v>Obesidad</v>
      </c>
      <c r="AA15" s="42"/>
      <c r="AB15" s="42"/>
      <c r="AC15" s="39"/>
      <c r="AD15" s="33" t="s">
        <v>172</v>
      </c>
      <c r="AE15" s="33" t="s">
        <v>172</v>
      </c>
      <c r="AF15" s="33" t="s">
        <v>172</v>
      </c>
    </row>
    <row r="16" spans="1:33" ht="15.75" x14ac:dyDescent="0.25">
      <c r="A16" s="43" t="s">
        <v>705</v>
      </c>
      <c r="B16" s="43">
        <v>13</v>
      </c>
      <c r="C16" s="44" t="s">
        <v>781</v>
      </c>
      <c r="D16" s="43">
        <v>1</v>
      </c>
      <c r="E16" s="43" t="s">
        <v>7</v>
      </c>
      <c r="F16" s="33">
        <v>1</v>
      </c>
      <c r="G16" s="46">
        <v>42070</v>
      </c>
      <c r="H16" s="51">
        <v>44462</v>
      </c>
      <c r="I16" s="47">
        <f t="shared" si="0"/>
        <v>6</v>
      </c>
      <c r="J16" s="47">
        <f t="shared" si="1"/>
        <v>78</v>
      </c>
      <c r="K16" s="43">
        <v>24.6</v>
      </c>
      <c r="L16" s="43">
        <v>1.1399999999999999</v>
      </c>
      <c r="M16" s="43">
        <f t="shared" si="2"/>
        <v>113.99999999999999</v>
      </c>
      <c r="N16" s="43">
        <f>103.3-40</f>
        <v>63.3</v>
      </c>
      <c r="O16" s="48">
        <f t="shared" si="3"/>
        <v>44.473684210526308</v>
      </c>
      <c r="P16" s="49">
        <f t="shared" si="4"/>
        <v>18.928901200369346</v>
      </c>
      <c r="Q16" s="34"/>
      <c r="R16" s="91">
        <v>-0.95387953284974436</v>
      </c>
      <c r="S16" s="91">
        <v>17.007231238764128</v>
      </c>
      <c r="T16" s="39" t="str">
        <f t="shared" si="7"/>
        <v>Normal</v>
      </c>
      <c r="U16" s="91">
        <v>-1.4713108800584991</v>
      </c>
      <c r="V16" s="91">
        <v>7.0603531133077126</v>
      </c>
      <c r="W16" s="39" t="str">
        <f t="shared" si="5"/>
        <v>Normal</v>
      </c>
      <c r="X16" s="116">
        <v>2.0875931982587415</v>
      </c>
      <c r="Y16" s="91">
        <v>98.158272695884236</v>
      </c>
      <c r="Z16" s="39" t="str">
        <f t="shared" si="6"/>
        <v>Obesidad</v>
      </c>
      <c r="AA16" s="42"/>
      <c r="AB16" s="42"/>
      <c r="AC16" s="39"/>
      <c r="AD16" s="33" t="s">
        <v>172</v>
      </c>
      <c r="AE16" s="33" t="s">
        <v>172</v>
      </c>
      <c r="AF16" s="33" t="s">
        <v>172</v>
      </c>
    </row>
    <row r="17" spans="1:32" ht="15.75" x14ac:dyDescent="0.25">
      <c r="A17" s="43" t="s">
        <v>705</v>
      </c>
      <c r="B17" s="43">
        <v>14</v>
      </c>
      <c r="C17" s="44" t="s">
        <v>782</v>
      </c>
      <c r="D17" s="43">
        <v>1</v>
      </c>
      <c r="E17" s="43" t="s">
        <v>7</v>
      </c>
      <c r="F17" s="33">
        <v>2</v>
      </c>
      <c r="G17" s="46">
        <v>42243</v>
      </c>
      <c r="H17" s="51">
        <v>44462</v>
      </c>
      <c r="I17" s="47">
        <f t="shared" si="0"/>
        <v>6</v>
      </c>
      <c r="J17" s="47">
        <f t="shared" si="1"/>
        <v>72</v>
      </c>
      <c r="K17" s="33">
        <v>18.600000000000001</v>
      </c>
      <c r="L17" s="33">
        <v>1.1299999999999999</v>
      </c>
      <c r="M17" s="43">
        <f t="shared" si="2"/>
        <v>112.99999999999999</v>
      </c>
      <c r="N17" s="33">
        <f>103-40</f>
        <v>63</v>
      </c>
      <c r="O17" s="48">
        <f t="shared" si="3"/>
        <v>44.247787610619461</v>
      </c>
      <c r="P17" s="49">
        <f t="shared" si="4"/>
        <v>14.566528310752609</v>
      </c>
      <c r="Q17" s="34"/>
      <c r="R17" s="91">
        <v>-0.41495574673538188</v>
      </c>
      <c r="S17" s="91">
        <v>33.908714955400143</v>
      </c>
      <c r="T17" s="39" t="str">
        <f t="shared" si="7"/>
        <v>Normal</v>
      </c>
      <c r="U17" s="91">
        <v>-1.823700644263857</v>
      </c>
      <c r="V17" s="91">
        <v>3.4098670705639202</v>
      </c>
      <c r="W17" s="39" t="str">
        <f t="shared" si="5"/>
        <v>Piernas cortas</v>
      </c>
      <c r="X17" s="116">
        <v>-0.47439222794983377</v>
      </c>
      <c r="Y17" s="91">
        <v>31.761011714375609</v>
      </c>
      <c r="Z17" s="39" t="str">
        <f t="shared" si="6"/>
        <v>Normal</v>
      </c>
      <c r="AA17" s="42"/>
      <c r="AB17" s="42"/>
      <c r="AC17" s="39"/>
      <c r="AD17" s="33" t="s">
        <v>172</v>
      </c>
      <c r="AE17" s="33" t="s">
        <v>172</v>
      </c>
      <c r="AF17" s="33" t="s">
        <v>172</v>
      </c>
    </row>
    <row r="18" spans="1:32" ht="15.75" x14ac:dyDescent="0.25">
      <c r="A18" s="43" t="s">
        <v>705</v>
      </c>
      <c r="B18" s="43">
        <v>15</v>
      </c>
      <c r="C18" s="50" t="s">
        <v>777</v>
      </c>
      <c r="D18" s="43">
        <v>1</v>
      </c>
      <c r="E18" s="43" t="s">
        <v>26</v>
      </c>
      <c r="F18" s="33">
        <v>2</v>
      </c>
      <c r="G18" s="46">
        <v>42020</v>
      </c>
      <c r="H18" s="51">
        <v>44462</v>
      </c>
      <c r="I18" s="47">
        <f t="shared" si="0"/>
        <v>6</v>
      </c>
      <c r="J18" s="47">
        <f t="shared" si="1"/>
        <v>80</v>
      </c>
      <c r="K18" s="33">
        <v>27.7</v>
      </c>
      <c r="L18" s="33">
        <v>1.1599999999999999</v>
      </c>
      <c r="M18" s="43">
        <f t="shared" si="2"/>
        <v>115.99999999999999</v>
      </c>
      <c r="N18" s="33">
        <f>102.7-40</f>
        <v>62.7</v>
      </c>
      <c r="O18" s="48">
        <f t="shared" si="3"/>
        <v>45.948275862068954</v>
      </c>
      <c r="P18" s="49">
        <f t="shared" si="4"/>
        <v>20.585612366230677</v>
      </c>
      <c r="Q18" s="34"/>
      <c r="R18" s="91">
        <v>-0.54555495821280986</v>
      </c>
      <c r="S18" s="91">
        <v>29.268594645056485</v>
      </c>
      <c r="T18" s="39" t="str">
        <f t="shared" si="7"/>
        <v>Normal</v>
      </c>
      <c r="U18" s="91">
        <v>-0.6412329106916631</v>
      </c>
      <c r="V18" s="91">
        <v>26.068568512934881</v>
      </c>
      <c r="W18" s="39" t="str">
        <f t="shared" si="5"/>
        <v>Normal</v>
      </c>
      <c r="X18" s="116">
        <v>2.3440815477604797</v>
      </c>
      <c r="Y18" s="91">
        <v>99.046299975549729</v>
      </c>
      <c r="Z18" s="39" t="str">
        <f t="shared" si="6"/>
        <v>Obesidad</v>
      </c>
      <c r="AA18" s="42"/>
      <c r="AB18" s="42"/>
      <c r="AC18" s="39"/>
      <c r="AD18" s="33" t="s">
        <v>172</v>
      </c>
      <c r="AE18" s="33" t="s">
        <v>172</v>
      </c>
      <c r="AF18" s="33" t="s">
        <v>172</v>
      </c>
    </row>
    <row r="19" spans="1:32" ht="15.75" x14ac:dyDescent="0.25">
      <c r="A19" s="43" t="s">
        <v>705</v>
      </c>
      <c r="B19" s="43">
        <v>16</v>
      </c>
      <c r="C19" s="50" t="s">
        <v>776</v>
      </c>
      <c r="D19" s="33">
        <v>1</v>
      </c>
      <c r="E19" s="33" t="s">
        <v>26</v>
      </c>
      <c r="F19" s="33">
        <v>1</v>
      </c>
      <c r="G19" s="46">
        <v>42140</v>
      </c>
      <c r="H19" s="51">
        <v>44462</v>
      </c>
      <c r="I19" s="47">
        <f t="shared" si="0"/>
        <v>6</v>
      </c>
      <c r="J19" s="47">
        <f t="shared" si="1"/>
        <v>76</v>
      </c>
      <c r="K19" s="33">
        <v>29.3</v>
      </c>
      <c r="L19" s="33">
        <v>1.21</v>
      </c>
      <c r="M19" s="43">
        <f t="shared" si="2"/>
        <v>121</v>
      </c>
      <c r="N19" s="33">
        <f>107.4-40</f>
        <v>67.400000000000006</v>
      </c>
      <c r="O19" s="48">
        <f t="shared" si="3"/>
        <v>44.297520661157023</v>
      </c>
      <c r="P19" s="49">
        <f t="shared" si="4"/>
        <v>20.012294242196571</v>
      </c>
      <c r="Q19" s="34"/>
      <c r="R19" s="91">
        <v>0.61339786493946635</v>
      </c>
      <c r="S19" s="91">
        <v>73.0193351278904</v>
      </c>
      <c r="T19" s="39" t="str">
        <f t="shared" si="7"/>
        <v>Normal</v>
      </c>
      <c r="U19" s="91">
        <v>-1.58856985547086</v>
      </c>
      <c r="V19" s="91">
        <v>5.6078769167621338</v>
      </c>
      <c r="W19" s="39" t="str">
        <f t="shared" si="5"/>
        <v>Normal</v>
      </c>
      <c r="X19" s="116">
        <v>2.6178895586603099</v>
      </c>
      <c r="Y19" s="91">
        <v>99.557622823585817</v>
      </c>
      <c r="Z19" s="39" t="str">
        <f t="shared" si="6"/>
        <v>Obesidad</v>
      </c>
      <c r="AA19" s="42"/>
      <c r="AB19" s="42"/>
      <c r="AC19" s="39"/>
      <c r="AD19" s="33" t="s">
        <v>172</v>
      </c>
      <c r="AE19" s="33" t="s">
        <v>172</v>
      </c>
      <c r="AF19" s="33" t="s">
        <v>172</v>
      </c>
    </row>
    <row r="20" spans="1:32" ht="15.75" x14ac:dyDescent="0.25">
      <c r="A20" s="43" t="s">
        <v>705</v>
      </c>
      <c r="B20" s="43">
        <v>17</v>
      </c>
      <c r="C20" s="50" t="s">
        <v>775</v>
      </c>
      <c r="D20" s="33">
        <v>1</v>
      </c>
      <c r="E20" s="33" t="s">
        <v>26</v>
      </c>
      <c r="F20" s="33">
        <v>1</v>
      </c>
      <c r="G20" s="46">
        <v>42063</v>
      </c>
      <c r="H20" s="51">
        <v>44462</v>
      </c>
      <c r="I20" s="47">
        <f t="shared" si="0"/>
        <v>6</v>
      </c>
      <c r="J20" s="47">
        <f t="shared" si="1"/>
        <v>78</v>
      </c>
      <c r="K20" s="33">
        <v>19</v>
      </c>
      <c r="L20" s="33">
        <v>1.06</v>
      </c>
      <c r="M20" s="43">
        <f t="shared" si="2"/>
        <v>106</v>
      </c>
      <c r="N20" s="33">
        <f>100-40</f>
        <v>60</v>
      </c>
      <c r="O20" s="48">
        <f t="shared" si="3"/>
        <v>43.39622641509434</v>
      </c>
      <c r="P20" s="49">
        <f t="shared" si="4"/>
        <v>16.909932360270556</v>
      </c>
      <c r="Q20" s="34"/>
      <c r="R20" s="91">
        <v>-2.5208274307548595</v>
      </c>
      <c r="S20" s="91">
        <v>0.58539627332319788</v>
      </c>
      <c r="T20" s="39" t="str">
        <f t="shared" si="7"/>
        <v>Desnutricion</v>
      </c>
      <c r="U20" s="91">
        <v>-2.1965308952989084</v>
      </c>
      <c r="V20" s="91">
        <v>1.4026983157248973</v>
      </c>
      <c r="W20" s="39" t="str">
        <f t="shared" si="5"/>
        <v>Piernas cortas</v>
      </c>
      <c r="X20" s="116">
        <v>1.0131066152609067</v>
      </c>
      <c r="Y20" s="91">
        <v>84.449538058021005</v>
      </c>
      <c r="Z20" s="39" t="str">
        <f t="shared" si="6"/>
        <v>Normal</v>
      </c>
      <c r="AA20" s="42"/>
      <c r="AB20" s="42"/>
      <c r="AC20" s="39"/>
      <c r="AD20" s="33" t="s">
        <v>172</v>
      </c>
      <c r="AE20" s="33" t="s">
        <v>172</v>
      </c>
      <c r="AF20" s="33" t="s">
        <v>172</v>
      </c>
    </row>
    <row r="21" spans="1:32" ht="15.75" x14ac:dyDescent="0.25">
      <c r="A21" s="43" t="s">
        <v>705</v>
      </c>
      <c r="B21" s="43">
        <v>18</v>
      </c>
      <c r="C21" s="50" t="s">
        <v>258</v>
      </c>
      <c r="D21" s="33">
        <v>1</v>
      </c>
      <c r="E21" s="33" t="s">
        <v>26</v>
      </c>
      <c r="F21" s="33">
        <v>1</v>
      </c>
      <c r="G21" s="51">
        <v>42317</v>
      </c>
      <c r="H21" s="51">
        <v>44462</v>
      </c>
      <c r="I21" s="47">
        <f t="shared" si="0"/>
        <v>5</v>
      </c>
      <c r="J21" s="47">
        <f t="shared" si="1"/>
        <v>70</v>
      </c>
      <c r="K21" s="33">
        <v>25.2</v>
      </c>
      <c r="L21" s="33">
        <v>1.1399999999999999</v>
      </c>
      <c r="M21" s="43">
        <f t="shared" si="2"/>
        <v>113.99999999999999</v>
      </c>
      <c r="N21" s="33">
        <f>104.7-40</f>
        <v>64.7</v>
      </c>
      <c r="O21" s="48">
        <f t="shared" si="3"/>
        <v>43.245614035087712</v>
      </c>
      <c r="P21" s="49">
        <f t="shared" si="4"/>
        <v>19.390581717451525</v>
      </c>
      <c r="Q21" s="34"/>
      <c r="R21" s="91">
        <v>-0.19615046250424198</v>
      </c>
      <c r="S21" s="91">
        <v>42.224619998627603</v>
      </c>
      <c r="T21" s="39" t="str">
        <f t="shared" si="7"/>
        <v>Normal</v>
      </c>
      <c r="U21" s="91">
        <v>-1.6892160355265684</v>
      </c>
      <c r="V21" s="91">
        <v>4.5589018543779245</v>
      </c>
      <c r="W21" s="39" t="str">
        <f t="shared" si="5"/>
        <v>Piernas cortas</v>
      </c>
      <c r="X21" s="116">
        <v>2.4681112457832022</v>
      </c>
      <c r="Y21" s="91">
        <v>99.320859500228877</v>
      </c>
      <c r="Z21" s="39" t="str">
        <f t="shared" si="6"/>
        <v>Obesidad</v>
      </c>
      <c r="AA21" s="42"/>
      <c r="AB21" s="42"/>
      <c r="AC21" s="39"/>
      <c r="AD21" s="33" t="s">
        <v>172</v>
      </c>
      <c r="AE21" s="33" t="s">
        <v>172</v>
      </c>
      <c r="AF21" s="33" t="s">
        <v>172</v>
      </c>
    </row>
    <row r="22" spans="1:32" ht="15.75" x14ac:dyDescent="0.25">
      <c r="A22" s="43" t="s">
        <v>705</v>
      </c>
      <c r="B22" s="43">
        <v>19</v>
      </c>
      <c r="C22" s="50" t="s">
        <v>774</v>
      </c>
      <c r="D22" s="33">
        <v>1</v>
      </c>
      <c r="E22" s="33" t="s">
        <v>26</v>
      </c>
      <c r="F22" s="33">
        <v>2</v>
      </c>
      <c r="G22" s="46">
        <v>42147</v>
      </c>
      <c r="H22" s="51">
        <v>44462</v>
      </c>
      <c r="I22" s="47">
        <f t="shared" si="0"/>
        <v>6</v>
      </c>
      <c r="J22" s="47">
        <f t="shared" si="1"/>
        <v>76</v>
      </c>
      <c r="K22" s="33">
        <v>18.399999999999999</v>
      </c>
      <c r="L22" s="33">
        <v>1.1100000000000001</v>
      </c>
      <c r="M22" s="43">
        <f t="shared" si="2"/>
        <v>111.00000000000001</v>
      </c>
      <c r="N22" s="33">
        <f>101.5-40</f>
        <v>61.5</v>
      </c>
      <c r="O22" s="48">
        <f t="shared" si="3"/>
        <v>44.594594594594597</v>
      </c>
      <c r="P22" s="49">
        <f t="shared" si="4"/>
        <v>14.933852771690606</v>
      </c>
      <c r="Q22" s="34"/>
      <c r="R22" s="91">
        <v>-1.1516014491664313</v>
      </c>
      <c r="S22" s="91">
        <v>12.474244281325797</v>
      </c>
      <c r="T22" s="39" t="str">
        <f t="shared" si="7"/>
        <v>Normal</v>
      </c>
      <c r="U22" s="91">
        <v>-1.5785796533550576</v>
      </c>
      <c r="V22" s="91">
        <v>5.7216252318618652</v>
      </c>
      <c r="W22" s="39" t="str">
        <f t="shared" si="5"/>
        <v>Normal</v>
      </c>
      <c r="X22" s="116">
        <v>-0.23650726911139458</v>
      </c>
      <c r="Y22" s="91">
        <v>40.651953366309876</v>
      </c>
      <c r="Z22" s="39" t="str">
        <f t="shared" si="6"/>
        <v>Normal</v>
      </c>
      <c r="AA22" s="42"/>
      <c r="AB22" s="42"/>
      <c r="AC22" s="39"/>
      <c r="AD22" s="33" t="s">
        <v>172</v>
      </c>
      <c r="AE22" s="33" t="s">
        <v>172</v>
      </c>
      <c r="AF22" s="33" t="s">
        <v>172</v>
      </c>
    </row>
    <row r="23" spans="1:32" ht="15.75" x14ac:dyDescent="0.25">
      <c r="A23" s="43" t="s">
        <v>705</v>
      </c>
      <c r="B23" s="43">
        <v>20</v>
      </c>
      <c r="C23" s="50" t="s">
        <v>773</v>
      </c>
      <c r="D23" s="33">
        <v>1</v>
      </c>
      <c r="E23" s="33" t="s">
        <v>26</v>
      </c>
      <c r="F23" s="33">
        <v>1</v>
      </c>
      <c r="G23" s="46">
        <v>42264</v>
      </c>
      <c r="H23" s="51">
        <v>44462</v>
      </c>
      <c r="I23" s="47">
        <f t="shared" si="0"/>
        <v>6</v>
      </c>
      <c r="J23" s="47">
        <f t="shared" si="1"/>
        <v>72</v>
      </c>
      <c r="K23" s="33">
        <v>20.9</v>
      </c>
      <c r="L23" s="33">
        <v>1.17</v>
      </c>
      <c r="M23" s="43">
        <f t="shared" si="2"/>
        <v>117</v>
      </c>
      <c r="N23" s="33">
        <f>103.2-40</f>
        <v>63.2</v>
      </c>
      <c r="O23" s="48">
        <f t="shared" si="3"/>
        <v>45.982905982905983</v>
      </c>
      <c r="P23" s="49">
        <f t="shared" si="4"/>
        <v>15.267733216451166</v>
      </c>
      <c r="Q23" s="34"/>
      <c r="R23" s="91">
        <v>0.212939402931688</v>
      </c>
      <c r="S23" s="91">
        <v>58.431288599212735</v>
      </c>
      <c r="T23" s="39" t="str">
        <f t="shared" si="7"/>
        <v>Normal</v>
      </c>
      <c r="U23" s="91">
        <v>-0.48695253376379172</v>
      </c>
      <c r="V23" s="91">
        <v>31.314598443946405</v>
      </c>
      <c r="W23" s="39" t="str">
        <f t="shared" si="5"/>
        <v>Normal</v>
      </c>
      <c r="X23" s="116">
        <v>-2.9019318637102446E-2</v>
      </c>
      <c r="Y23" s="91">
        <v>48.842459151882892</v>
      </c>
      <c r="Z23" s="39" t="str">
        <f t="shared" si="6"/>
        <v>Normal</v>
      </c>
      <c r="AA23" s="42"/>
      <c r="AB23" s="42"/>
      <c r="AC23" s="39"/>
      <c r="AD23" s="33" t="s">
        <v>172</v>
      </c>
      <c r="AE23" s="33" t="s">
        <v>172</v>
      </c>
      <c r="AF23" s="33" t="s">
        <v>172</v>
      </c>
    </row>
    <row r="24" spans="1:32" ht="15.75" x14ac:dyDescent="0.25">
      <c r="A24" s="43" t="s">
        <v>705</v>
      </c>
      <c r="B24" s="43">
        <v>21</v>
      </c>
      <c r="C24" s="50" t="s">
        <v>772</v>
      </c>
      <c r="D24" s="33">
        <v>1</v>
      </c>
      <c r="E24" s="33" t="s">
        <v>26</v>
      </c>
      <c r="F24" s="33">
        <v>1</v>
      </c>
      <c r="G24" s="46">
        <v>42075</v>
      </c>
      <c r="H24" s="51">
        <v>44462</v>
      </c>
      <c r="I24" s="47">
        <f t="shared" si="0"/>
        <v>6</v>
      </c>
      <c r="J24" s="47">
        <f t="shared" si="1"/>
        <v>78</v>
      </c>
      <c r="K24" s="33">
        <v>30</v>
      </c>
      <c r="L24" s="33">
        <v>1.29</v>
      </c>
      <c r="M24" s="43">
        <f t="shared" si="2"/>
        <v>129</v>
      </c>
      <c r="N24" s="33">
        <f>111.4-40</f>
        <v>71.400000000000006</v>
      </c>
      <c r="O24" s="48">
        <f t="shared" si="3"/>
        <v>44.651162790697668</v>
      </c>
      <c r="P24" s="49">
        <f t="shared" si="4"/>
        <v>18.027762754642147</v>
      </c>
      <c r="Q24" s="34"/>
      <c r="R24" s="91">
        <v>1.9841477757223556</v>
      </c>
      <c r="S24" s="91">
        <v>97.638031576916319</v>
      </c>
      <c r="T24" s="39" t="str">
        <f t="shared" si="7"/>
        <v>Alto</v>
      </c>
      <c r="U24" s="91">
        <v>-1.3536858103695399</v>
      </c>
      <c r="V24" s="91">
        <v>8.7918318520048011</v>
      </c>
      <c r="W24" s="39" t="str">
        <f t="shared" si="5"/>
        <v>Normal</v>
      </c>
      <c r="X24" s="116">
        <v>1.6395659971001701</v>
      </c>
      <c r="Y24" s="91">
        <v>94.945228104945571</v>
      </c>
      <c r="Z24" s="39" t="str">
        <f t="shared" si="6"/>
        <v>Obesidad</v>
      </c>
      <c r="AA24" s="42"/>
      <c r="AB24" s="42"/>
      <c r="AC24" s="39"/>
      <c r="AD24" s="33" t="s">
        <v>172</v>
      </c>
      <c r="AE24" s="33" t="s">
        <v>172</v>
      </c>
      <c r="AF24" s="33" t="s">
        <v>172</v>
      </c>
    </row>
    <row r="25" spans="1:32" ht="15.75" x14ac:dyDescent="0.25">
      <c r="A25" s="43" t="s">
        <v>705</v>
      </c>
      <c r="B25" s="43">
        <v>22</v>
      </c>
      <c r="C25" s="50" t="s">
        <v>767</v>
      </c>
      <c r="D25" s="33">
        <v>1</v>
      </c>
      <c r="E25" s="33" t="s">
        <v>26</v>
      </c>
      <c r="F25" s="33">
        <v>2</v>
      </c>
      <c r="G25" s="46">
        <v>42258</v>
      </c>
      <c r="H25" s="51">
        <v>44462</v>
      </c>
      <c r="I25" s="47">
        <f t="shared" si="0"/>
        <v>6</v>
      </c>
      <c r="J25" s="47">
        <f t="shared" si="1"/>
        <v>72</v>
      </c>
      <c r="K25" s="33">
        <v>20.8</v>
      </c>
      <c r="L25" s="33">
        <v>1.1200000000000001</v>
      </c>
      <c r="M25" s="43">
        <f t="shared" si="2"/>
        <v>112.00000000000001</v>
      </c>
      <c r="N25" s="33">
        <f>103.5-40</f>
        <v>63.5</v>
      </c>
      <c r="O25" s="48">
        <f t="shared" si="3"/>
        <v>43.303571428571438</v>
      </c>
      <c r="P25" s="49">
        <f t="shared" si="4"/>
        <v>16.581632653061224</v>
      </c>
      <c r="Q25" s="34"/>
      <c r="R25" s="91">
        <v>-0.61028419087743091</v>
      </c>
      <c r="S25" s="91">
        <v>27.083678375208336</v>
      </c>
      <c r="T25" s="39" t="str">
        <f t="shared" si="7"/>
        <v>Normal</v>
      </c>
      <c r="U25" s="91">
        <v>-2.5017874902020218</v>
      </c>
      <c r="V25" s="91">
        <v>0.61784035791575598</v>
      </c>
      <c r="W25" s="39" t="str">
        <f t="shared" si="5"/>
        <v>Piernas cortas</v>
      </c>
      <c r="X25" s="116">
        <v>0.77356388309896384</v>
      </c>
      <c r="Y25" s="91">
        <v>78.040563144043603</v>
      </c>
      <c r="Z25" s="39" t="str">
        <f t="shared" si="6"/>
        <v>Normal</v>
      </c>
      <c r="AA25" s="42"/>
      <c r="AB25" s="42"/>
      <c r="AC25" s="39"/>
      <c r="AD25" s="33" t="s">
        <v>172</v>
      </c>
      <c r="AE25" s="33" t="s">
        <v>172</v>
      </c>
      <c r="AF25" s="33" t="s">
        <v>172</v>
      </c>
    </row>
    <row r="26" spans="1:32" ht="15.75" x14ac:dyDescent="0.25">
      <c r="A26" s="43" t="s">
        <v>705</v>
      </c>
      <c r="B26" s="43">
        <v>23</v>
      </c>
      <c r="C26" s="50" t="s">
        <v>259</v>
      </c>
      <c r="D26" s="33">
        <v>1</v>
      </c>
      <c r="E26" s="33" t="s">
        <v>26</v>
      </c>
      <c r="F26" s="33">
        <v>2</v>
      </c>
      <c r="G26" s="51">
        <v>42235</v>
      </c>
      <c r="H26" s="51">
        <v>44462</v>
      </c>
      <c r="I26" s="47">
        <f t="shared" si="0"/>
        <v>6</v>
      </c>
      <c r="J26" s="47">
        <f t="shared" si="1"/>
        <v>73</v>
      </c>
      <c r="K26" s="33">
        <v>22.9</v>
      </c>
      <c r="L26" s="33">
        <v>1.24</v>
      </c>
      <c r="M26" s="43">
        <f t="shared" si="2"/>
        <v>124</v>
      </c>
      <c r="N26" s="33">
        <f>107.7-40</f>
        <v>67.7</v>
      </c>
      <c r="O26" s="48">
        <f t="shared" si="3"/>
        <v>45.403225806451609</v>
      </c>
      <c r="P26" s="49">
        <f t="shared" si="4"/>
        <v>14.893340270551507</v>
      </c>
      <c r="Q26" s="34"/>
      <c r="R26" s="91">
        <v>1.630628032756013</v>
      </c>
      <c r="S26" s="91">
        <v>94.851558480253857</v>
      </c>
      <c r="T26" s="39" t="str">
        <f t="shared" si="7"/>
        <v>Normal</v>
      </c>
      <c r="U26" s="91">
        <v>-1.0149952497906631</v>
      </c>
      <c r="V26" s="91">
        <v>15.505404592688807</v>
      </c>
      <c r="W26" s="39" t="str">
        <f t="shared" si="5"/>
        <v>Normal</v>
      </c>
      <c r="X26" s="116">
        <v>-0.25119283841084294</v>
      </c>
      <c r="Y26" s="91">
        <v>40.083251060961636</v>
      </c>
      <c r="Z26" s="39" t="str">
        <f t="shared" si="6"/>
        <v>Normal</v>
      </c>
      <c r="AA26" s="42"/>
      <c r="AB26" s="42"/>
      <c r="AC26" s="39"/>
      <c r="AD26" s="33" t="s">
        <v>172</v>
      </c>
      <c r="AE26" s="33" t="s">
        <v>172</v>
      </c>
      <c r="AF26" s="33" t="s">
        <v>172</v>
      </c>
    </row>
    <row r="27" spans="1:32" ht="15.75" x14ac:dyDescent="0.25">
      <c r="A27" s="43" t="s">
        <v>705</v>
      </c>
      <c r="B27" s="43">
        <v>24</v>
      </c>
      <c r="C27" s="50" t="s">
        <v>771</v>
      </c>
      <c r="D27" s="33">
        <v>1</v>
      </c>
      <c r="E27" s="33" t="s">
        <v>26</v>
      </c>
      <c r="F27" s="33">
        <v>1</v>
      </c>
      <c r="G27" s="46">
        <v>42118</v>
      </c>
      <c r="H27" s="51">
        <v>44462</v>
      </c>
      <c r="I27" s="47">
        <f t="shared" si="0"/>
        <v>6</v>
      </c>
      <c r="J27" s="47">
        <f t="shared" si="1"/>
        <v>76</v>
      </c>
      <c r="K27" s="33">
        <v>20.7</v>
      </c>
      <c r="L27" s="33">
        <v>1.1200000000000001</v>
      </c>
      <c r="M27" s="43">
        <f t="shared" si="2"/>
        <v>112.00000000000001</v>
      </c>
      <c r="N27" s="33">
        <f>99.8-40</f>
        <v>59.8</v>
      </c>
      <c r="O27" s="48">
        <f t="shared" si="3"/>
        <v>46.607142857142868</v>
      </c>
      <c r="P27" s="49">
        <f t="shared" si="4"/>
        <v>16.501913265306118</v>
      </c>
      <c r="Q27" s="34"/>
      <c r="R27" s="91">
        <v>-1.1700810988310337</v>
      </c>
      <c r="S27" s="91">
        <v>12.098416701208818</v>
      </c>
      <c r="T27" s="39" t="str">
        <f t="shared" si="7"/>
        <v>Normal</v>
      </c>
      <c r="U27" s="91">
        <v>-9.0025042409134226E-2</v>
      </c>
      <c r="V27" s="91">
        <v>46.413365732983813</v>
      </c>
      <c r="W27" s="39" t="str">
        <f t="shared" si="5"/>
        <v>Normal</v>
      </c>
      <c r="X27" s="116">
        <v>0.78805223676097624</v>
      </c>
      <c r="Y27" s="91">
        <v>78.466692416401287</v>
      </c>
      <c r="Z27" s="39" t="str">
        <f t="shared" si="6"/>
        <v>Normal</v>
      </c>
      <c r="AA27" s="42"/>
      <c r="AB27" s="42"/>
      <c r="AC27" s="39"/>
      <c r="AD27" s="33" t="s">
        <v>172</v>
      </c>
      <c r="AE27" s="33" t="s">
        <v>172</v>
      </c>
      <c r="AF27" s="33" t="s">
        <v>172</v>
      </c>
    </row>
    <row r="28" spans="1:32" ht="15.75" x14ac:dyDescent="0.25">
      <c r="A28" s="43" t="s">
        <v>705</v>
      </c>
      <c r="B28" s="43">
        <v>25</v>
      </c>
      <c r="C28" s="50" t="s">
        <v>768</v>
      </c>
      <c r="D28" s="33">
        <v>1</v>
      </c>
      <c r="E28" s="33" t="s">
        <v>26</v>
      </c>
      <c r="F28" s="33">
        <v>2</v>
      </c>
      <c r="G28" s="46">
        <v>42146</v>
      </c>
      <c r="H28" s="51">
        <v>44462</v>
      </c>
      <c r="I28" s="47">
        <f t="shared" si="0"/>
        <v>6</v>
      </c>
      <c r="J28" s="47">
        <f t="shared" si="1"/>
        <v>76</v>
      </c>
      <c r="K28" s="33">
        <v>23.7</v>
      </c>
      <c r="L28" s="33">
        <v>1.2</v>
      </c>
      <c r="M28" s="43">
        <f t="shared" si="2"/>
        <v>120</v>
      </c>
      <c r="N28" s="33">
        <f>105-40</f>
        <v>65</v>
      </c>
      <c r="O28" s="48">
        <f t="shared" si="3"/>
        <v>45.833333333333329</v>
      </c>
      <c r="P28" s="49">
        <f t="shared" si="4"/>
        <v>16.458333333333332</v>
      </c>
      <c r="Q28" s="34"/>
      <c r="R28" s="91">
        <v>0.56689319401605742</v>
      </c>
      <c r="S28" s="91">
        <v>71.460662576089177</v>
      </c>
      <c r="T28" s="39" t="str">
        <f t="shared" si="7"/>
        <v>Normal</v>
      </c>
      <c r="U28" s="91">
        <v>-0.7196514427286389</v>
      </c>
      <c r="V28" s="91">
        <v>23.586981503808541</v>
      </c>
      <c r="W28" s="39" t="str">
        <f t="shared" si="5"/>
        <v>Normal</v>
      </c>
      <c r="X28" s="116">
        <v>0.67473749067938538</v>
      </c>
      <c r="Y28" s="91">
        <v>75.007871954375531</v>
      </c>
      <c r="Z28" s="39" t="str">
        <f t="shared" si="6"/>
        <v>Normal</v>
      </c>
      <c r="AA28" s="42"/>
      <c r="AB28" s="42"/>
      <c r="AC28" s="39"/>
      <c r="AD28" s="33" t="s">
        <v>172</v>
      </c>
      <c r="AE28" s="33" t="s">
        <v>172</v>
      </c>
      <c r="AF28" s="33" t="s">
        <v>172</v>
      </c>
    </row>
    <row r="29" spans="1:32" ht="15.75" x14ac:dyDescent="0.25">
      <c r="A29" s="43" t="s">
        <v>705</v>
      </c>
      <c r="B29" s="43">
        <v>26</v>
      </c>
      <c r="C29" s="50" t="s">
        <v>770</v>
      </c>
      <c r="D29" s="33">
        <v>1</v>
      </c>
      <c r="E29" s="33" t="s">
        <v>26</v>
      </c>
      <c r="F29" s="33">
        <v>1</v>
      </c>
      <c r="G29" s="46">
        <v>42031</v>
      </c>
      <c r="H29" s="51">
        <v>44462</v>
      </c>
      <c r="I29" s="47">
        <f t="shared" si="0"/>
        <v>6</v>
      </c>
      <c r="J29" s="47">
        <f t="shared" si="1"/>
        <v>79</v>
      </c>
      <c r="K29" s="33">
        <v>24.9</v>
      </c>
      <c r="L29" s="33">
        <v>1.23</v>
      </c>
      <c r="M29" s="43">
        <f t="shared" si="2"/>
        <v>123</v>
      </c>
      <c r="N29" s="33">
        <f>107-40</f>
        <v>67</v>
      </c>
      <c r="O29" s="48">
        <f t="shared" si="3"/>
        <v>45.528455284552841</v>
      </c>
      <c r="P29" s="49">
        <f t="shared" si="4"/>
        <v>16.458457267499504</v>
      </c>
      <c r="Q29" s="34"/>
      <c r="R29" s="91">
        <v>0.71056037611537526</v>
      </c>
      <c r="S29" s="91">
        <v>76.132164771867878</v>
      </c>
      <c r="T29" s="39" t="str">
        <f t="shared" si="7"/>
        <v>Normal</v>
      </c>
      <c r="U29" s="91">
        <v>-0.77962024952508646</v>
      </c>
      <c r="V29" s="91">
        <v>21.780721661183492</v>
      </c>
      <c r="W29" s="39" t="str">
        <f t="shared" si="5"/>
        <v>Normal</v>
      </c>
      <c r="X29" s="116">
        <v>0.7208317628503178</v>
      </c>
      <c r="Y29" s="91">
        <v>76.449348477541974</v>
      </c>
      <c r="Z29" s="39" t="str">
        <f t="shared" si="6"/>
        <v>Normal</v>
      </c>
      <c r="AA29" s="42"/>
      <c r="AB29" s="42"/>
      <c r="AC29" s="39"/>
      <c r="AD29" s="33" t="s">
        <v>172</v>
      </c>
      <c r="AE29" s="33" t="s">
        <v>172</v>
      </c>
      <c r="AF29" s="33" t="s">
        <v>172</v>
      </c>
    </row>
    <row r="30" spans="1:32" ht="15.75" x14ac:dyDescent="0.25">
      <c r="A30" s="43" t="s">
        <v>705</v>
      </c>
      <c r="B30" s="43">
        <v>27</v>
      </c>
      <c r="C30" s="50" t="s">
        <v>260</v>
      </c>
      <c r="D30" s="33">
        <v>1</v>
      </c>
      <c r="E30" s="33" t="s">
        <v>26</v>
      </c>
      <c r="F30" s="33">
        <v>2</v>
      </c>
      <c r="G30" s="46">
        <v>42043</v>
      </c>
      <c r="H30" s="51">
        <v>44462</v>
      </c>
      <c r="I30" s="47">
        <f t="shared" si="0"/>
        <v>6</v>
      </c>
      <c r="J30" s="47">
        <f t="shared" si="1"/>
        <v>79</v>
      </c>
      <c r="K30" s="33">
        <v>26.5</v>
      </c>
      <c r="L30" s="33">
        <v>1.2</v>
      </c>
      <c r="M30" s="43">
        <f t="shared" si="2"/>
        <v>120</v>
      </c>
      <c r="N30" s="33">
        <f>106-40</f>
        <v>66</v>
      </c>
      <c r="O30" s="48">
        <f t="shared" si="3"/>
        <v>45</v>
      </c>
      <c r="P30" s="49">
        <f t="shared" si="4"/>
        <v>18.402777777777779</v>
      </c>
      <c r="Q30" s="34"/>
      <c r="R30" s="91">
        <v>0.29132588192748249</v>
      </c>
      <c r="S30" s="91">
        <v>61.45989527143287</v>
      </c>
      <c r="T30" s="39" t="str">
        <f t="shared" si="7"/>
        <v>Normal</v>
      </c>
      <c r="U30" s="91">
        <v>-1.2946529744569908</v>
      </c>
      <c r="V30" s="91">
        <v>9.7719984531577424</v>
      </c>
      <c r="W30" s="39" t="str">
        <f t="shared" si="5"/>
        <v>Normal</v>
      </c>
      <c r="X30" s="116">
        <v>1.560884476650868</v>
      </c>
      <c r="Y30" s="91">
        <v>94.072449469457851</v>
      </c>
      <c r="Z30" s="39" t="str">
        <f t="shared" si="6"/>
        <v>Obesidad</v>
      </c>
      <c r="AA30" s="42"/>
      <c r="AB30" s="42"/>
      <c r="AC30" s="39"/>
      <c r="AD30" s="33" t="s">
        <v>172</v>
      </c>
      <c r="AE30" s="33" t="s">
        <v>172</v>
      </c>
      <c r="AF30" s="33" t="s">
        <v>172</v>
      </c>
    </row>
    <row r="31" spans="1:32" ht="15.75" x14ac:dyDescent="0.25">
      <c r="A31" s="43" t="s">
        <v>705</v>
      </c>
      <c r="B31" s="43">
        <v>28</v>
      </c>
      <c r="C31" s="50" t="s">
        <v>769</v>
      </c>
      <c r="D31" s="33">
        <v>1</v>
      </c>
      <c r="E31" s="33" t="s">
        <v>26</v>
      </c>
      <c r="F31" s="33">
        <v>2</v>
      </c>
      <c r="G31" s="46">
        <v>42327</v>
      </c>
      <c r="H31" s="51">
        <v>44462</v>
      </c>
      <c r="I31" s="47">
        <f t="shared" si="0"/>
        <v>5</v>
      </c>
      <c r="J31" s="47">
        <f t="shared" si="1"/>
        <v>70</v>
      </c>
      <c r="K31" s="33">
        <v>28.2</v>
      </c>
      <c r="L31" s="33">
        <v>1.17</v>
      </c>
      <c r="M31" s="43">
        <f t="shared" si="2"/>
        <v>117</v>
      </c>
      <c r="N31" s="33">
        <f>105-40</f>
        <v>65</v>
      </c>
      <c r="O31" s="48">
        <f t="shared" si="3"/>
        <v>44.444444444444443</v>
      </c>
      <c r="P31" s="49">
        <f t="shared" si="4"/>
        <v>20.600482138943679</v>
      </c>
      <c r="Q31" s="34"/>
      <c r="R31" s="91">
        <v>0.56214821705856122</v>
      </c>
      <c r="S31" s="91">
        <v>71.299248046176842</v>
      </c>
      <c r="T31" s="39" t="str">
        <f t="shared" si="7"/>
        <v>Normal</v>
      </c>
      <c r="U31" s="91">
        <v>-0.99060846443420458</v>
      </c>
      <c r="V31" s="91">
        <v>16.093840146221279</v>
      </c>
      <c r="W31" s="39" t="str">
        <f t="shared" si="5"/>
        <v>Normal</v>
      </c>
      <c r="X31" s="116">
        <v>2.5492082317435907</v>
      </c>
      <c r="Y31" s="91">
        <v>99.460160938769036</v>
      </c>
      <c r="Z31" s="39" t="str">
        <f t="shared" si="6"/>
        <v>Obesidad</v>
      </c>
      <c r="AA31" s="42"/>
      <c r="AB31" s="42"/>
      <c r="AC31" s="39"/>
      <c r="AD31" s="33" t="s">
        <v>172</v>
      </c>
      <c r="AE31" s="33" t="s">
        <v>172</v>
      </c>
      <c r="AF31" s="33" t="s">
        <v>172</v>
      </c>
    </row>
    <row r="32" spans="1:32" ht="15.75" x14ac:dyDescent="0.25">
      <c r="A32" s="43" t="s">
        <v>705</v>
      </c>
      <c r="B32" s="43">
        <v>29</v>
      </c>
      <c r="C32" s="50" t="s">
        <v>261</v>
      </c>
      <c r="D32" s="33">
        <v>1</v>
      </c>
      <c r="E32" s="33" t="s">
        <v>26</v>
      </c>
      <c r="F32" s="33">
        <v>1</v>
      </c>
      <c r="G32" s="51">
        <v>42365</v>
      </c>
      <c r="H32" s="51">
        <v>44462</v>
      </c>
      <c r="I32" s="47">
        <f t="shared" si="0"/>
        <v>5</v>
      </c>
      <c r="J32" s="47">
        <f t="shared" si="1"/>
        <v>68</v>
      </c>
      <c r="K32" s="33">
        <v>22.8</v>
      </c>
      <c r="L32" s="33">
        <v>1.18</v>
      </c>
      <c r="M32" s="43">
        <f t="shared" si="2"/>
        <v>118</v>
      </c>
      <c r="N32" s="33">
        <f>102.2-40</f>
        <v>62.2</v>
      </c>
      <c r="O32" s="48">
        <f t="shared" si="3"/>
        <v>47.288135593220339</v>
      </c>
      <c r="P32" s="49">
        <f t="shared" si="4"/>
        <v>16.374604998563633</v>
      </c>
      <c r="Q32" s="34"/>
      <c r="R32" s="91">
        <v>0.84456377394689619</v>
      </c>
      <c r="S32" s="91">
        <v>80.082277883765414</v>
      </c>
      <c r="T32" s="39" t="str">
        <f t="shared" si="7"/>
        <v>Normal</v>
      </c>
      <c r="U32" s="91">
        <v>0.7964232090296004</v>
      </c>
      <c r="V32" s="91">
        <v>78.710695362571968</v>
      </c>
      <c r="W32" s="39" t="str">
        <f t="shared" si="5"/>
        <v>Normal</v>
      </c>
      <c r="X32" s="116">
        <v>0.78717343896007597</v>
      </c>
      <c r="Y32" s="91">
        <v>78.440982822944051</v>
      </c>
      <c r="Z32" s="39" t="str">
        <f t="shared" si="6"/>
        <v>Normal</v>
      </c>
      <c r="AA32" s="42"/>
      <c r="AB32" s="42"/>
      <c r="AC32" s="39"/>
      <c r="AD32" s="33" t="s">
        <v>172</v>
      </c>
      <c r="AE32" s="33" t="s">
        <v>172</v>
      </c>
      <c r="AF32" s="33" t="s">
        <v>172</v>
      </c>
    </row>
    <row r="33" spans="1:32" ht="15.75" x14ac:dyDescent="0.25">
      <c r="A33" s="43" t="s">
        <v>705</v>
      </c>
      <c r="B33" s="43">
        <v>30</v>
      </c>
      <c r="C33" s="50" t="s">
        <v>262</v>
      </c>
      <c r="D33" s="33">
        <v>1</v>
      </c>
      <c r="E33" s="33" t="s">
        <v>173</v>
      </c>
      <c r="F33" s="33">
        <v>2</v>
      </c>
      <c r="G33" s="51">
        <v>42202</v>
      </c>
      <c r="H33" s="51">
        <v>44462</v>
      </c>
      <c r="I33" s="47">
        <f t="shared" si="0"/>
        <v>6</v>
      </c>
      <c r="J33" s="47">
        <f t="shared" si="1"/>
        <v>74</v>
      </c>
      <c r="K33" s="33">
        <v>19.899999999999999</v>
      </c>
      <c r="L33" s="33">
        <v>1.17</v>
      </c>
      <c r="M33" s="43">
        <f t="shared" si="2"/>
        <v>117</v>
      </c>
      <c r="N33" s="33">
        <f>105-40</f>
        <v>65</v>
      </c>
      <c r="O33" s="48">
        <f t="shared" si="3"/>
        <v>44.444444444444443</v>
      </c>
      <c r="P33" s="49">
        <f t="shared" si="4"/>
        <v>14.537219665424795</v>
      </c>
      <c r="Q33" s="34"/>
      <c r="R33" s="91">
        <v>0.17742992716514014</v>
      </c>
      <c r="S33" s="91">
        <v>57.041464912427372</v>
      </c>
      <c r="T33" s="39" t="str">
        <f t="shared" si="7"/>
        <v>Normal</v>
      </c>
      <c r="U33" s="91">
        <v>-1.684449787570395</v>
      </c>
      <c r="V33" s="91">
        <v>4.6047387875448509</v>
      </c>
      <c r="W33" s="39" t="str">
        <f t="shared" si="5"/>
        <v>Piernas cortas</v>
      </c>
      <c r="X33" s="116">
        <v>-0.50017408082294723</v>
      </c>
      <c r="Y33" s="91">
        <v>30.847625357166329</v>
      </c>
      <c r="Z33" s="39" t="str">
        <f t="shared" si="6"/>
        <v>Normal</v>
      </c>
      <c r="AA33" s="42"/>
      <c r="AB33" s="42"/>
      <c r="AC33" s="39"/>
      <c r="AD33" s="33" t="s">
        <v>172</v>
      </c>
      <c r="AE33" s="33" t="s">
        <v>172</v>
      </c>
      <c r="AF33" s="33" t="s">
        <v>172</v>
      </c>
    </row>
    <row r="34" spans="1:32" ht="15.75" x14ac:dyDescent="0.25">
      <c r="A34" s="43" t="s">
        <v>705</v>
      </c>
      <c r="B34" s="43">
        <v>31</v>
      </c>
      <c r="C34" s="50" t="s">
        <v>263</v>
      </c>
      <c r="D34" s="33">
        <v>1</v>
      </c>
      <c r="E34" s="33" t="s">
        <v>173</v>
      </c>
      <c r="F34" s="33">
        <v>2</v>
      </c>
      <c r="G34" s="51">
        <v>42177</v>
      </c>
      <c r="H34" s="51">
        <v>44462</v>
      </c>
      <c r="I34" s="47">
        <f t="shared" si="0"/>
        <v>6</v>
      </c>
      <c r="J34" s="47">
        <f t="shared" si="1"/>
        <v>75</v>
      </c>
      <c r="K34" s="33">
        <v>23.3</v>
      </c>
      <c r="L34" s="33">
        <v>1.1599999999999999</v>
      </c>
      <c r="M34" s="43">
        <f t="shared" si="2"/>
        <v>115.99999999999999</v>
      </c>
      <c r="N34" s="33">
        <f>103.4-40</f>
        <v>63.400000000000006</v>
      </c>
      <c r="O34" s="48">
        <f t="shared" si="3"/>
        <v>45.34482758620689</v>
      </c>
      <c r="P34" s="49">
        <f t="shared" si="4"/>
        <v>17.315695600475625</v>
      </c>
      <c r="Q34" s="34"/>
      <c r="R34" s="91">
        <v>-0.10689348990141691</v>
      </c>
      <c r="S34" s="91">
        <v>45.743673895312568</v>
      </c>
      <c r="T34" s="39" t="str">
        <f t="shared" si="7"/>
        <v>Normal</v>
      </c>
      <c r="U34" s="91">
        <v>-1.05532998205599</v>
      </c>
      <c r="V34" s="91">
        <v>14.563721667478951</v>
      </c>
      <c r="W34" s="39" t="str">
        <f t="shared" si="5"/>
        <v>Normal</v>
      </c>
      <c r="X34" s="116">
        <v>1.1228277033860308</v>
      </c>
      <c r="Y34" s="91">
        <v>86.924466144909758</v>
      </c>
      <c r="Z34" s="39" t="str">
        <f t="shared" si="6"/>
        <v>Obesidad</v>
      </c>
      <c r="AA34" s="42"/>
      <c r="AB34" s="42"/>
      <c r="AC34" s="39"/>
      <c r="AD34" s="33" t="s">
        <v>172</v>
      </c>
      <c r="AE34" s="33" t="s">
        <v>172</v>
      </c>
      <c r="AF34" s="33" t="s">
        <v>172</v>
      </c>
    </row>
    <row r="35" spans="1:32" ht="15.75" x14ac:dyDescent="0.25">
      <c r="A35" s="43" t="s">
        <v>705</v>
      </c>
      <c r="B35" s="43">
        <v>32</v>
      </c>
      <c r="C35" s="50" t="s">
        <v>264</v>
      </c>
      <c r="D35" s="33">
        <v>1</v>
      </c>
      <c r="E35" s="33" t="s">
        <v>173</v>
      </c>
      <c r="F35" s="33">
        <v>1</v>
      </c>
      <c r="G35" s="51">
        <v>42101</v>
      </c>
      <c r="H35" s="51">
        <v>44462</v>
      </c>
      <c r="I35" s="47">
        <f t="shared" si="0"/>
        <v>6</v>
      </c>
      <c r="J35" s="47">
        <f t="shared" si="1"/>
        <v>77</v>
      </c>
      <c r="K35" s="33">
        <v>17.2</v>
      </c>
      <c r="L35" s="33">
        <v>1.1200000000000001</v>
      </c>
      <c r="M35" s="43">
        <f t="shared" si="2"/>
        <v>112.00000000000001</v>
      </c>
      <c r="N35" s="33">
        <f>102.5-40</f>
        <v>62.5</v>
      </c>
      <c r="O35" s="48">
        <f t="shared" si="3"/>
        <v>44.196428571428584</v>
      </c>
      <c r="P35" s="49">
        <f t="shared" si="4"/>
        <v>13.711734693877549</v>
      </c>
      <c r="Q35" s="34"/>
      <c r="R35" s="91">
        <v>-1.2586464062583185</v>
      </c>
      <c r="S35" s="91">
        <v>10.407903864451699</v>
      </c>
      <c r="T35" s="39" t="str">
        <f t="shared" si="7"/>
        <v>Normal</v>
      </c>
      <c r="U35" s="91">
        <v>-1.6560883705780167</v>
      </c>
      <c r="V35" s="91">
        <v>4.8851962042845045</v>
      </c>
      <c r="W35" s="39" t="str">
        <f t="shared" si="5"/>
        <v>Piernas cortas</v>
      </c>
      <c r="X35" s="116">
        <v>-1.3755346351060278</v>
      </c>
      <c r="Y35" s="91">
        <v>8.448287781050988</v>
      </c>
      <c r="Z35" s="39" t="str">
        <f t="shared" si="6"/>
        <v>Bajo Peso</v>
      </c>
      <c r="AA35" s="42"/>
      <c r="AB35" s="42"/>
      <c r="AC35" s="39"/>
      <c r="AD35" s="33" t="s">
        <v>172</v>
      </c>
      <c r="AE35" s="33" t="s">
        <v>172</v>
      </c>
      <c r="AF35" s="33" t="s">
        <v>172</v>
      </c>
    </row>
    <row r="36" spans="1:32" ht="15.75" x14ac:dyDescent="0.25">
      <c r="A36" s="43" t="s">
        <v>705</v>
      </c>
      <c r="B36" s="43">
        <v>33</v>
      </c>
      <c r="C36" s="50" t="s">
        <v>265</v>
      </c>
      <c r="D36" s="33">
        <v>1</v>
      </c>
      <c r="E36" s="33" t="s">
        <v>173</v>
      </c>
      <c r="F36" s="33">
        <v>2</v>
      </c>
      <c r="G36" s="51">
        <v>42063</v>
      </c>
      <c r="H36" s="51">
        <v>44462</v>
      </c>
      <c r="I36" s="47">
        <f t="shared" ref="I36:I67" si="8">DATEDIF(G36,H36,"y")</f>
        <v>6</v>
      </c>
      <c r="J36" s="47">
        <f t="shared" si="1"/>
        <v>78</v>
      </c>
      <c r="K36" s="33">
        <v>23.3</v>
      </c>
      <c r="L36" s="33">
        <v>1.19</v>
      </c>
      <c r="M36" s="43">
        <f t="shared" si="2"/>
        <v>119</v>
      </c>
      <c r="N36" s="33">
        <f>106.2-40</f>
        <v>66.2</v>
      </c>
      <c r="O36" s="48">
        <f t="shared" si="3"/>
        <v>44.369747899159663</v>
      </c>
      <c r="P36" s="49">
        <f t="shared" si="4"/>
        <v>16.45364027964127</v>
      </c>
      <c r="Q36" s="34"/>
      <c r="R36" s="91">
        <v>0.19318415336292494</v>
      </c>
      <c r="S36" s="91">
        <v>57.659262562120929</v>
      </c>
      <c r="T36" s="39" t="str">
        <f t="shared" si="7"/>
        <v>Normal</v>
      </c>
      <c r="U36" s="91">
        <v>-1.7372627455491434</v>
      </c>
      <c r="V36" s="91">
        <v>4.1170402073573076</v>
      </c>
      <c r="W36" s="39" t="str">
        <f t="shared" si="5"/>
        <v>Piernas cortas</v>
      </c>
      <c r="X36" s="116">
        <v>0.65400497537659119</v>
      </c>
      <c r="Y36" s="91">
        <v>74.344569991395176</v>
      </c>
      <c r="Z36" s="39" t="str">
        <f t="shared" si="6"/>
        <v>Normal</v>
      </c>
      <c r="AA36" s="42"/>
      <c r="AB36" s="42"/>
      <c r="AC36" s="39"/>
      <c r="AD36" s="33" t="s">
        <v>172</v>
      </c>
      <c r="AE36" s="33" t="s">
        <v>172</v>
      </c>
      <c r="AF36" s="33" t="s">
        <v>172</v>
      </c>
    </row>
    <row r="37" spans="1:32" ht="15.75" x14ac:dyDescent="0.25">
      <c r="A37" s="43" t="s">
        <v>705</v>
      </c>
      <c r="B37" s="43">
        <v>34</v>
      </c>
      <c r="C37" s="50" t="s">
        <v>266</v>
      </c>
      <c r="D37" s="33">
        <v>1</v>
      </c>
      <c r="E37" s="33" t="s">
        <v>173</v>
      </c>
      <c r="F37" s="33">
        <v>2</v>
      </c>
      <c r="G37" s="51">
        <v>42338</v>
      </c>
      <c r="H37" s="51">
        <v>44462</v>
      </c>
      <c r="I37" s="47">
        <f t="shared" si="8"/>
        <v>5</v>
      </c>
      <c r="J37" s="47">
        <f t="shared" si="1"/>
        <v>69</v>
      </c>
      <c r="K37" s="33">
        <v>18.3</v>
      </c>
      <c r="L37" s="33">
        <v>1.1100000000000001</v>
      </c>
      <c r="M37" s="43">
        <f t="shared" si="2"/>
        <v>111.00000000000001</v>
      </c>
      <c r="N37" s="33">
        <f>98.8-40</f>
        <v>58.8</v>
      </c>
      <c r="O37" s="48">
        <f t="shared" si="3"/>
        <v>47.027027027027032</v>
      </c>
      <c r="P37" s="49">
        <f t="shared" si="4"/>
        <v>14.852690528366201</v>
      </c>
      <c r="Q37" s="34"/>
      <c r="R37" s="91">
        <v>-0.53052210128022403</v>
      </c>
      <c r="S37" s="91">
        <v>29.78749947816538</v>
      </c>
      <c r="T37" s="39" t="str">
        <f t="shared" si="7"/>
        <v>Normal</v>
      </c>
      <c r="U37" s="91">
        <v>0.62408025191826766</v>
      </c>
      <c r="V37" s="91">
        <v>73.371255880487567</v>
      </c>
      <c r="W37" s="39" t="str">
        <f t="shared" si="5"/>
        <v>Normal</v>
      </c>
      <c r="X37" s="116">
        <v>-0.26947844625418482</v>
      </c>
      <c r="Y37" s="91">
        <v>39.378076317116644</v>
      </c>
      <c r="Z37" s="39" t="str">
        <f t="shared" si="6"/>
        <v>Normal</v>
      </c>
      <c r="AA37" s="42"/>
      <c r="AB37" s="42"/>
      <c r="AC37" s="39"/>
      <c r="AD37" s="33" t="s">
        <v>172</v>
      </c>
      <c r="AE37" s="33" t="s">
        <v>172</v>
      </c>
      <c r="AF37" s="33" t="s">
        <v>172</v>
      </c>
    </row>
    <row r="38" spans="1:32" ht="15.75" x14ac:dyDescent="0.25">
      <c r="A38" s="43" t="s">
        <v>705</v>
      </c>
      <c r="B38" s="43">
        <v>35</v>
      </c>
      <c r="C38" s="50" t="s">
        <v>267</v>
      </c>
      <c r="D38" s="33">
        <v>1</v>
      </c>
      <c r="E38" s="33" t="s">
        <v>173</v>
      </c>
      <c r="F38" s="33">
        <v>1</v>
      </c>
      <c r="G38" s="51">
        <v>42067</v>
      </c>
      <c r="H38" s="51">
        <v>44462</v>
      </c>
      <c r="I38" s="47">
        <f t="shared" si="8"/>
        <v>6</v>
      </c>
      <c r="J38" s="47">
        <f t="shared" si="1"/>
        <v>78</v>
      </c>
      <c r="K38" s="33">
        <v>26.4</v>
      </c>
      <c r="L38" s="33">
        <v>1.17</v>
      </c>
      <c r="M38" s="43">
        <f t="shared" si="2"/>
        <v>117</v>
      </c>
      <c r="N38" s="33">
        <f>104.6-40</f>
        <v>64.599999999999994</v>
      </c>
      <c r="O38" s="48">
        <f t="shared" si="3"/>
        <v>44.786324786324791</v>
      </c>
      <c r="P38" s="49">
        <f t="shared" si="4"/>
        <v>19.28555774709621</v>
      </c>
      <c r="Q38" s="34"/>
      <c r="R38" s="91">
        <v>-0.36627407113532234</v>
      </c>
      <c r="S38" s="91">
        <v>35.708028776585778</v>
      </c>
      <c r="T38" s="39" t="str">
        <f t="shared" si="7"/>
        <v>Normal</v>
      </c>
      <c r="U38" s="91">
        <v>-1.2644465681754677</v>
      </c>
      <c r="V38" s="91">
        <v>10.303489365346859</v>
      </c>
      <c r="W38" s="39" t="str">
        <f t="shared" si="5"/>
        <v>Normal</v>
      </c>
      <c r="X38" s="116">
        <v>2.2526607619954038</v>
      </c>
      <c r="Y38" s="91">
        <v>98.785972661483328</v>
      </c>
      <c r="Z38" s="39" t="str">
        <f t="shared" si="6"/>
        <v>Obesidad</v>
      </c>
      <c r="AA38" s="42"/>
      <c r="AB38" s="42"/>
      <c r="AC38" s="39"/>
      <c r="AD38" s="33" t="s">
        <v>172</v>
      </c>
      <c r="AE38" s="33" t="s">
        <v>172</v>
      </c>
      <c r="AF38" s="33" t="s">
        <v>172</v>
      </c>
    </row>
    <row r="39" spans="1:32" ht="15.75" x14ac:dyDescent="0.25">
      <c r="A39" s="43" t="s">
        <v>705</v>
      </c>
      <c r="B39" s="43">
        <v>36</v>
      </c>
      <c r="C39" s="50" t="s">
        <v>268</v>
      </c>
      <c r="D39" s="33">
        <v>1</v>
      </c>
      <c r="E39" s="33" t="s">
        <v>173</v>
      </c>
      <c r="F39" s="33">
        <v>2</v>
      </c>
      <c r="G39" s="51">
        <v>42151</v>
      </c>
      <c r="H39" s="51">
        <v>44462</v>
      </c>
      <c r="I39" s="47">
        <f t="shared" si="8"/>
        <v>6</v>
      </c>
      <c r="J39" s="47">
        <f t="shared" si="1"/>
        <v>75</v>
      </c>
      <c r="K39" s="33">
        <v>21.8</v>
      </c>
      <c r="L39" s="33">
        <v>1.18</v>
      </c>
      <c r="M39" s="43">
        <f t="shared" si="2"/>
        <v>118</v>
      </c>
      <c r="N39" s="33">
        <f>106-40</f>
        <v>66</v>
      </c>
      <c r="O39" s="48">
        <f t="shared" si="3"/>
        <v>44.067796610169488</v>
      </c>
      <c r="P39" s="49">
        <f t="shared" si="4"/>
        <v>15.656420568802071</v>
      </c>
      <c r="Q39" s="34"/>
      <c r="R39" s="91">
        <v>0.27706301118125604</v>
      </c>
      <c r="S39" s="91">
        <v>60.913413840554199</v>
      </c>
      <c r="T39" s="39" t="str">
        <f t="shared" si="7"/>
        <v>Normal</v>
      </c>
      <c r="U39" s="91">
        <v>-1.9517409968195727</v>
      </c>
      <c r="V39" s="91">
        <v>2.5484481300882185</v>
      </c>
      <c r="W39" s="39" t="str">
        <f t="shared" si="5"/>
        <v>Piernas cortas</v>
      </c>
      <c r="X39" s="116">
        <v>0.22547884817071959</v>
      </c>
      <c r="Y39" s="91">
        <v>58.919661077849341</v>
      </c>
      <c r="Z39" s="39" t="str">
        <f t="shared" si="6"/>
        <v>Normal</v>
      </c>
      <c r="AA39" s="42"/>
      <c r="AB39" s="42"/>
      <c r="AC39" s="39"/>
      <c r="AD39" s="33" t="s">
        <v>172</v>
      </c>
      <c r="AE39" s="33" t="s">
        <v>172</v>
      </c>
      <c r="AF39" s="33" t="s">
        <v>172</v>
      </c>
    </row>
    <row r="40" spans="1:32" ht="15.75" x14ac:dyDescent="0.25">
      <c r="A40" s="43" t="s">
        <v>705</v>
      </c>
      <c r="B40" s="43">
        <v>37</v>
      </c>
      <c r="C40" s="50" t="s">
        <v>269</v>
      </c>
      <c r="D40" s="33">
        <v>1</v>
      </c>
      <c r="E40" s="33" t="s">
        <v>173</v>
      </c>
      <c r="F40" s="33">
        <v>1</v>
      </c>
      <c r="G40" s="51">
        <v>42086</v>
      </c>
      <c r="H40" s="51">
        <v>44462</v>
      </c>
      <c r="I40" s="47">
        <f t="shared" si="8"/>
        <v>6</v>
      </c>
      <c r="J40" s="47">
        <f t="shared" si="1"/>
        <v>78</v>
      </c>
      <c r="K40" s="33">
        <v>22.6</v>
      </c>
      <c r="L40" s="33">
        <v>1.1499999999999999</v>
      </c>
      <c r="M40" s="43">
        <f t="shared" si="2"/>
        <v>114.99999999999999</v>
      </c>
      <c r="N40" s="33">
        <f>101.6-40</f>
        <v>61.599999999999994</v>
      </c>
      <c r="O40" s="48">
        <f t="shared" si="3"/>
        <v>46.434782608695649</v>
      </c>
      <c r="P40" s="49">
        <f t="shared" si="4"/>
        <v>17.088846880907376</v>
      </c>
      <c r="Q40" s="34"/>
      <c r="R40" s="91">
        <v>-0.75801104561160371</v>
      </c>
      <c r="S40" s="91">
        <v>22.422218513677358</v>
      </c>
      <c r="T40" s="39" t="str">
        <f t="shared" si="7"/>
        <v>Normal</v>
      </c>
      <c r="U40" s="91">
        <v>-0.1990421446739479</v>
      </c>
      <c r="V40" s="91">
        <v>42.111488871069405</v>
      </c>
      <c r="W40" s="39" t="str">
        <f t="shared" si="5"/>
        <v>Normal</v>
      </c>
      <c r="X40" s="116">
        <v>1.1192276362120066</v>
      </c>
      <c r="Y40" s="91">
        <v>86.84784808807197</v>
      </c>
      <c r="Z40" s="39" t="str">
        <f t="shared" si="6"/>
        <v>Obesidad</v>
      </c>
      <c r="AA40" s="42"/>
      <c r="AB40" s="42"/>
      <c r="AC40" s="39"/>
      <c r="AD40" s="33" t="s">
        <v>172</v>
      </c>
      <c r="AE40" s="33" t="s">
        <v>172</v>
      </c>
      <c r="AF40" s="33" t="s">
        <v>172</v>
      </c>
    </row>
    <row r="41" spans="1:32" ht="15.75" x14ac:dyDescent="0.25">
      <c r="A41" s="43" t="s">
        <v>705</v>
      </c>
      <c r="B41" s="43">
        <v>38</v>
      </c>
      <c r="C41" s="50" t="s">
        <v>270</v>
      </c>
      <c r="D41" s="33">
        <v>1</v>
      </c>
      <c r="E41" s="33" t="s">
        <v>173</v>
      </c>
      <c r="F41" s="33">
        <v>2</v>
      </c>
      <c r="G41" s="51">
        <v>42339</v>
      </c>
      <c r="H41" s="51">
        <v>44462</v>
      </c>
      <c r="I41" s="47">
        <f t="shared" si="8"/>
        <v>5</v>
      </c>
      <c r="J41" s="47">
        <f t="shared" si="1"/>
        <v>69</v>
      </c>
      <c r="K41" s="33">
        <v>18.899999999999999</v>
      </c>
      <c r="L41" s="33">
        <v>1.1200000000000001</v>
      </c>
      <c r="M41" s="43">
        <f t="shared" si="2"/>
        <v>112.00000000000001</v>
      </c>
      <c r="N41" s="33">
        <f>102.5-40</f>
        <v>62.5</v>
      </c>
      <c r="O41" s="48">
        <f t="shared" si="3"/>
        <v>44.196428571428584</v>
      </c>
      <c r="P41" s="49">
        <f t="shared" si="4"/>
        <v>15.066964285714283</v>
      </c>
      <c r="Q41" s="34"/>
      <c r="R41" s="91">
        <v>-0.33161609450149321</v>
      </c>
      <c r="S41" s="91">
        <v>37.008958250973713</v>
      </c>
      <c r="T41" s="39" t="str">
        <f t="shared" si="7"/>
        <v>Normal</v>
      </c>
      <c r="U41" s="91">
        <v>-1.1510182455369857</v>
      </c>
      <c r="V41" s="91">
        <v>12.486236471272349</v>
      </c>
      <c r="W41" s="39" t="str">
        <f t="shared" si="5"/>
        <v>Normal</v>
      </c>
      <c r="X41" s="116">
        <v>-0.12416917212206098</v>
      </c>
      <c r="Y41" s="91">
        <v>45.059066519539527</v>
      </c>
      <c r="Z41" s="39" t="str">
        <f t="shared" si="6"/>
        <v>Normal</v>
      </c>
      <c r="AA41" s="42"/>
      <c r="AB41" s="42"/>
      <c r="AC41" s="39"/>
      <c r="AD41" s="33" t="s">
        <v>172</v>
      </c>
      <c r="AE41" s="33" t="s">
        <v>172</v>
      </c>
      <c r="AF41" s="33" t="s">
        <v>172</v>
      </c>
    </row>
    <row r="42" spans="1:32" ht="15.75" x14ac:dyDescent="0.25">
      <c r="A42" s="43" t="s">
        <v>705</v>
      </c>
      <c r="B42" s="43">
        <v>39</v>
      </c>
      <c r="C42" s="50" t="s">
        <v>271</v>
      </c>
      <c r="D42" s="33">
        <v>1</v>
      </c>
      <c r="E42" s="33" t="s">
        <v>173</v>
      </c>
      <c r="F42" s="33">
        <v>1</v>
      </c>
      <c r="G42" s="51">
        <v>42163</v>
      </c>
      <c r="H42" s="51">
        <v>44462</v>
      </c>
      <c r="I42" s="47">
        <f t="shared" si="8"/>
        <v>6</v>
      </c>
      <c r="J42" s="47">
        <f t="shared" si="1"/>
        <v>75</v>
      </c>
      <c r="K42" s="33">
        <v>20.2</v>
      </c>
      <c r="L42" s="33">
        <v>1.1100000000000001</v>
      </c>
      <c r="M42" s="43">
        <f t="shared" si="2"/>
        <v>111.00000000000001</v>
      </c>
      <c r="N42" s="33">
        <f>102.1-40</f>
        <v>62.099999999999994</v>
      </c>
      <c r="O42" s="48">
        <f t="shared" si="3"/>
        <v>44.054054054054063</v>
      </c>
      <c r="P42" s="49">
        <f t="shared" si="4"/>
        <v>16.394773151529904</v>
      </c>
      <c r="Q42" s="34"/>
      <c r="R42" s="91">
        <v>-1.2797823836950899</v>
      </c>
      <c r="S42" s="91">
        <v>10.031084055229632</v>
      </c>
      <c r="T42" s="39" t="str">
        <f t="shared" si="7"/>
        <v>Normal</v>
      </c>
      <c r="U42" s="91">
        <v>-1.7514641743215669</v>
      </c>
      <c r="V42" s="91">
        <v>3.9932993577604403</v>
      </c>
      <c r="W42" s="39" t="str">
        <f t="shared" si="5"/>
        <v>Piernas cortas</v>
      </c>
      <c r="X42" s="116">
        <v>0.73154659356563911</v>
      </c>
      <c r="Y42" s="91">
        <v>76.777732216526346</v>
      </c>
      <c r="Z42" s="39" t="str">
        <f t="shared" si="6"/>
        <v>Normal</v>
      </c>
      <c r="AA42" s="42"/>
      <c r="AB42" s="42"/>
      <c r="AC42" s="39"/>
      <c r="AD42" s="33" t="s">
        <v>172</v>
      </c>
      <c r="AE42" s="33" t="s">
        <v>172</v>
      </c>
      <c r="AF42" s="33" t="s">
        <v>172</v>
      </c>
    </row>
    <row r="43" spans="1:32" ht="15.75" x14ac:dyDescent="0.25">
      <c r="A43" s="43" t="s">
        <v>705</v>
      </c>
      <c r="B43" s="43">
        <v>40</v>
      </c>
      <c r="C43" s="50" t="s">
        <v>272</v>
      </c>
      <c r="D43" s="33">
        <v>2</v>
      </c>
      <c r="E43" s="33" t="s">
        <v>26</v>
      </c>
      <c r="F43" s="33">
        <v>2</v>
      </c>
      <c r="G43" s="46">
        <v>41789</v>
      </c>
      <c r="H43" s="51">
        <v>44462</v>
      </c>
      <c r="I43" s="47">
        <f t="shared" si="8"/>
        <v>7</v>
      </c>
      <c r="J43" s="47">
        <f t="shared" si="1"/>
        <v>87</v>
      </c>
      <c r="K43" s="33">
        <v>24</v>
      </c>
      <c r="L43" s="33">
        <v>1.32</v>
      </c>
      <c r="M43" s="43">
        <f t="shared" si="2"/>
        <v>132</v>
      </c>
      <c r="N43" s="33">
        <f>106.5-40</f>
        <v>66.5</v>
      </c>
      <c r="O43" s="48">
        <f t="shared" si="3"/>
        <v>49.621212121212125</v>
      </c>
      <c r="P43" s="49">
        <f t="shared" si="4"/>
        <v>13.77410468319559</v>
      </c>
      <c r="Q43" s="34"/>
      <c r="R43" s="91">
        <v>1.7590863988474952</v>
      </c>
      <c r="S43" s="91">
        <v>96.071858263968807</v>
      </c>
      <c r="T43" s="39" t="str">
        <f t="shared" si="7"/>
        <v>Alto</v>
      </c>
      <c r="U43" s="91">
        <v>1.3526390574554881</v>
      </c>
      <c r="V43" s="91">
        <v>91.191451580148382</v>
      </c>
      <c r="W43" s="39" t="str">
        <f t="shared" si="5"/>
        <v>Normal</v>
      </c>
      <c r="X43" s="116">
        <v>-1.1438575089614904</v>
      </c>
      <c r="Y43" s="91">
        <v>12.634136762308781</v>
      </c>
      <c r="Z43" s="39" t="str">
        <f t="shared" si="6"/>
        <v>Bajo Peso</v>
      </c>
      <c r="AA43" s="42"/>
      <c r="AB43" s="42"/>
      <c r="AC43" s="39"/>
      <c r="AD43" s="33" t="s">
        <v>172</v>
      </c>
      <c r="AE43" s="33" t="s">
        <v>172</v>
      </c>
      <c r="AF43" s="33" t="s">
        <v>172</v>
      </c>
    </row>
    <row r="44" spans="1:32" ht="15.75" x14ac:dyDescent="0.25">
      <c r="A44" s="43" t="s">
        <v>705</v>
      </c>
      <c r="B44" s="43">
        <v>41</v>
      </c>
      <c r="C44" s="66" t="s">
        <v>796</v>
      </c>
      <c r="D44" s="33">
        <v>2</v>
      </c>
      <c r="E44" s="33" t="s">
        <v>26</v>
      </c>
      <c r="F44" s="33">
        <v>1</v>
      </c>
      <c r="G44" s="46">
        <v>42000</v>
      </c>
      <c r="H44" s="51">
        <v>44462</v>
      </c>
      <c r="I44" s="47">
        <f t="shared" si="8"/>
        <v>6</v>
      </c>
      <c r="J44" s="47">
        <f t="shared" si="1"/>
        <v>80</v>
      </c>
      <c r="K44" s="33">
        <v>55.5</v>
      </c>
      <c r="L44" s="33">
        <v>1.31</v>
      </c>
      <c r="M44" s="43">
        <f t="shared" si="2"/>
        <v>131</v>
      </c>
      <c r="N44" s="33">
        <f>112-40</f>
        <v>72</v>
      </c>
      <c r="O44" s="48">
        <f t="shared" si="3"/>
        <v>45.038167938931295</v>
      </c>
      <c r="P44" s="49">
        <f t="shared" si="4"/>
        <v>32.340772682244619</v>
      </c>
      <c r="Q44" s="34"/>
      <c r="R44" s="91">
        <v>2.1622048610085467</v>
      </c>
      <c r="S44" s="91">
        <v>98.469880548371393</v>
      </c>
      <c r="T44" s="39" t="str">
        <f t="shared" si="7"/>
        <v>Alto</v>
      </c>
      <c r="U44" s="91">
        <v>-1.098947752137807</v>
      </c>
      <c r="V44" s="91">
        <v>13.589542810912555</v>
      </c>
      <c r="W44" s="39" t="str">
        <f t="shared" si="5"/>
        <v>Normal</v>
      </c>
      <c r="X44" s="116">
        <v>5.5578323524055664</v>
      </c>
      <c r="Y44" s="91">
        <v>99.999998634272274</v>
      </c>
      <c r="Z44" s="39" t="str">
        <f t="shared" si="6"/>
        <v>Obesidad</v>
      </c>
      <c r="AA44" s="42"/>
      <c r="AB44" s="42"/>
      <c r="AC44" s="39"/>
      <c r="AD44" s="33" t="s">
        <v>172</v>
      </c>
      <c r="AE44" s="33" t="s">
        <v>172</v>
      </c>
      <c r="AF44" s="33" t="s">
        <v>172</v>
      </c>
    </row>
    <row r="45" spans="1:32" ht="15.75" x14ac:dyDescent="0.25">
      <c r="A45" s="43" t="s">
        <v>705</v>
      </c>
      <c r="B45" s="43">
        <v>42</v>
      </c>
      <c r="C45" s="44" t="s">
        <v>789</v>
      </c>
      <c r="D45" s="33">
        <v>2</v>
      </c>
      <c r="E45" s="33" t="s">
        <v>26</v>
      </c>
      <c r="F45" s="33">
        <v>2</v>
      </c>
      <c r="G45" s="46">
        <v>41941</v>
      </c>
      <c r="H45" s="51">
        <v>44462</v>
      </c>
      <c r="I45" s="47">
        <f t="shared" si="8"/>
        <v>6</v>
      </c>
      <c r="J45" s="47">
        <f t="shared" si="1"/>
        <v>82</v>
      </c>
      <c r="K45" s="33">
        <v>20.6</v>
      </c>
      <c r="L45" s="33">
        <v>1.1100000000000001</v>
      </c>
      <c r="M45" s="43">
        <f t="shared" si="2"/>
        <v>111.00000000000001</v>
      </c>
      <c r="N45" s="33">
        <f>101-40</f>
        <v>61</v>
      </c>
      <c r="O45" s="48">
        <f t="shared" si="3"/>
        <v>45.04504504504505</v>
      </c>
      <c r="P45" s="49">
        <f t="shared" si="4"/>
        <v>16.719422124827528</v>
      </c>
      <c r="Q45" s="34"/>
      <c r="R45" s="91">
        <v>-1.6383840902634794</v>
      </c>
      <c r="S45" s="91">
        <v>5.0670797940563279</v>
      </c>
      <c r="T45" s="39" t="str">
        <f t="shared" si="7"/>
        <v>Normal</v>
      </c>
      <c r="U45" s="91">
        <v>-1.2632771714609095</v>
      </c>
      <c r="V45" s="91">
        <v>10.324479368017665</v>
      </c>
      <c r="W45" s="39" t="str">
        <f t="shared" si="5"/>
        <v>Normal</v>
      </c>
      <c r="X45" s="116">
        <v>0.74944213919387404</v>
      </c>
      <c r="Y45" s="91">
        <v>77.320461971257117</v>
      </c>
      <c r="Z45" s="39" t="str">
        <f t="shared" si="6"/>
        <v>Normal</v>
      </c>
      <c r="AA45" s="37"/>
      <c r="AB45" s="37"/>
      <c r="AC45" s="39"/>
      <c r="AD45" s="33" t="s">
        <v>172</v>
      </c>
      <c r="AE45" s="33" t="s">
        <v>172</v>
      </c>
      <c r="AF45" s="33" t="s">
        <v>172</v>
      </c>
    </row>
    <row r="46" spans="1:32" ht="15.75" x14ac:dyDescent="0.25">
      <c r="A46" s="43" t="s">
        <v>705</v>
      </c>
      <c r="B46" s="43">
        <v>43</v>
      </c>
      <c r="C46" s="44" t="s">
        <v>273</v>
      </c>
      <c r="D46" s="33">
        <v>2</v>
      </c>
      <c r="E46" s="33" t="s">
        <v>26</v>
      </c>
      <c r="F46" s="33">
        <v>2</v>
      </c>
      <c r="G46" s="46">
        <v>41642</v>
      </c>
      <c r="H46" s="51">
        <v>44462</v>
      </c>
      <c r="I46" s="47">
        <f t="shared" si="8"/>
        <v>7</v>
      </c>
      <c r="J46" s="47">
        <f t="shared" si="1"/>
        <v>92</v>
      </c>
      <c r="K46" s="33">
        <v>24.8</v>
      </c>
      <c r="L46" s="33">
        <v>1.25</v>
      </c>
      <c r="M46" s="43">
        <f t="shared" si="2"/>
        <v>125</v>
      </c>
      <c r="N46" s="33">
        <f>106-40</f>
        <v>66</v>
      </c>
      <c r="O46" s="48">
        <f t="shared" si="3"/>
        <v>47.199999999999996</v>
      </c>
      <c r="P46" s="49">
        <f t="shared" si="4"/>
        <v>15.872</v>
      </c>
      <c r="R46" s="91">
        <v>6.61972484897453E-2</v>
      </c>
      <c r="S46" s="91">
        <v>52.638960632064745</v>
      </c>
      <c r="T46" s="39" t="str">
        <f t="shared" si="7"/>
        <v>Normal</v>
      </c>
      <c r="U46" s="91">
        <v>-0.2587521264673508</v>
      </c>
      <c r="V46" s="91">
        <v>39.791324882575729</v>
      </c>
      <c r="W46" s="39" t="str">
        <f t="shared" si="5"/>
        <v>Normal</v>
      </c>
      <c r="X46" s="116">
        <v>0.16939400789845213</v>
      </c>
      <c r="Y46" s="91">
        <v>56.725663179812258</v>
      </c>
      <c r="Z46" s="39" t="str">
        <f t="shared" si="6"/>
        <v>Normal</v>
      </c>
      <c r="AA46" s="11"/>
      <c r="AB46" s="11"/>
      <c r="AC46" s="39"/>
      <c r="AD46" s="33" t="s">
        <v>172</v>
      </c>
      <c r="AE46" s="33" t="s">
        <v>172</v>
      </c>
      <c r="AF46" s="33" t="s">
        <v>172</v>
      </c>
    </row>
    <row r="47" spans="1:32" ht="15.75" x14ac:dyDescent="0.25">
      <c r="A47" s="43" t="s">
        <v>705</v>
      </c>
      <c r="B47" s="43">
        <v>44</v>
      </c>
      <c r="C47" s="44" t="s">
        <v>274</v>
      </c>
      <c r="D47" s="33">
        <v>2</v>
      </c>
      <c r="E47" s="33" t="s">
        <v>26</v>
      </c>
      <c r="F47" s="33">
        <v>2</v>
      </c>
      <c r="G47" s="46">
        <v>41778</v>
      </c>
      <c r="H47" s="51">
        <v>44462</v>
      </c>
      <c r="I47" s="47">
        <f t="shared" si="8"/>
        <v>7</v>
      </c>
      <c r="J47" s="47">
        <f t="shared" si="1"/>
        <v>88</v>
      </c>
      <c r="K47" s="33">
        <v>24</v>
      </c>
      <c r="L47" s="33">
        <v>1.19</v>
      </c>
      <c r="M47" s="43">
        <f t="shared" si="2"/>
        <v>119</v>
      </c>
      <c r="N47" s="33">
        <f>103.5-40</f>
        <v>63.5</v>
      </c>
      <c r="O47" s="48">
        <f t="shared" si="3"/>
        <v>46.638655462184872</v>
      </c>
      <c r="P47" s="49">
        <f t="shared" si="4"/>
        <v>16.947955652849377</v>
      </c>
      <c r="R47" s="91">
        <v>-0.66488463128092945</v>
      </c>
      <c r="S47" s="91">
        <v>25.306214318074844</v>
      </c>
      <c r="T47" s="39" t="str">
        <f t="shared" si="7"/>
        <v>Normal</v>
      </c>
      <c r="U47" s="91">
        <v>-0.64514797825414649</v>
      </c>
      <c r="V47" s="91">
        <v>25.941564727696907</v>
      </c>
      <c r="W47" s="39" t="str">
        <f t="shared" si="5"/>
        <v>Normal</v>
      </c>
      <c r="X47" s="116">
        <v>0.78191280108269556</v>
      </c>
      <c r="Y47" s="91">
        <v>78.286708930558333</v>
      </c>
      <c r="Z47" s="39" t="str">
        <f t="shared" si="6"/>
        <v>Normal</v>
      </c>
      <c r="AA47" s="11"/>
      <c r="AB47" s="11"/>
      <c r="AC47" s="39"/>
      <c r="AD47" s="33" t="s">
        <v>172</v>
      </c>
      <c r="AE47" s="33" t="s">
        <v>172</v>
      </c>
      <c r="AF47" s="33" t="s">
        <v>172</v>
      </c>
    </row>
    <row r="48" spans="1:32" ht="15.75" x14ac:dyDescent="0.25">
      <c r="A48" s="43" t="s">
        <v>705</v>
      </c>
      <c r="B48" s="43">
        <v>45</v>
      </c>
      <c r="C48" s="44" t="s">
        <v>275</v>
      </c>
      <c r="D48" s="33">
        <v>2</v>
      </c>
      <c r="E48" s="33" t="s">
        <v>26</v>
      </c>
      <c r="F48" s="33">
        <v>2</v>
      </c>
      <c r="G48" s="46">
        <v>41860</v>
      </c>
      <c r="H48" s="51">
        <v>44462</v>
      </c>
      <c r="I48" s="47">
        <f t="shared" si="8"/>
        <v>7</v>
      </c>
      <c r="J48" s="47">
        <f t="shared" si="1"/>
        <v>85</v>
      </c>
      <c r="K48" s="33">
        <v>35.299999999999997</v>
      </c>
      <c r="L48" s="33">
        <v>1.2</v>
      </c>
      <c r="M48" s="43">
        <f t="shared" si="2"/>
        <v>120</v>
      </c>
      <c r="N48" s="33">
        <f>109.6-40</f>
        <v>69.599999999999994</v>
      </c>
      <c r="O48" s="48">
        <f t="shared" si="3"/>
        <v>42.000000000000007</v>
      </c>
      <c r="P48" s="49">
        <f t="shared" si="4"/>
        <v>24.513888888888889</v>
      </c>
      <c r="R48" s="91">
        <v>-0.23370490872529148</v>
      </c>
      <c r="S48" s="91">
        <v>40.760703833311425</v>
      </c>
      <c r="T48" s="39" t="str">
        <f t="shared" si="7"/>
        <v>Normal</v>
      </c>
      <c r="U48" s="91">
        <v>-4.0451399848090439</v>
      </c>
      <c r="V48" s="91">
        <v>2.6145934203358132E-3</v>
      </c>
      <c r="W48" s="39" t="str">
        <f t="shared" si="5"/>
        <v>Piernas cortas</v>
      </c>
      <c r="X48" s="116">
        <v>3.246706926429634</v>
      </c>
      <c r="Y48" s="91">
        <v>99.941625728138135</v>
      </c>
      <c r="Z48" s="39" t="str">
        <f t="shared" si="6"/>
        <v>Obesidad</v>
      </c>
      <c r="AA48" s="11"/>
      <c r="AB48" s="11"/>
      <c r="AC48" s="39"/>
      <c r="AD48" s="33" t="s">
        <v>172</v>
      </c>
      <c r="AE48" s="33" t="s">
        <v>172</v>
      </c>
      <c r="AF48" s="33" t="s">
        <v>172</v>
      </c>
    </row>
    <row r="49" spans="1:32" ht="15.75" x14ac:dyDescent="0.25">
      <c r="A49" s="43" t="s">
        <v>705</v>
      </c>
      <c r="B49" s="43">
        <v>46</v>
      </c>
      <c r="C49" s="44" t="s">
        <v>790</v>
      </c>
      <c r="D49" s="33">
        <v>2</v>
      </c>
      <c r="E49" s="33" t="s">
        <v>26</v>
      </c>
      <c r="F49" s="33">
        <v>2</v>
      </c>
      <c r="G49" s="46">
        <v>41770</v>
      </c>
      <c r="H49" s="51">
        <v>44462</v>
      </c>
      <c r="I49" s="47">
        <f t="shared" si="8"/>
        <v>7</v>
      </c>
      <c r="J49" s="47">
        <f t="shared" si="1"/>
        <v>88</v>
      </c>
      <c r="K49" s="33">
        <v>25.8</v>
      </c>
      <c r="L49" s="33">
        <v>1.3</v>
      </c>
      <c r="M49" s="43">
        <f t="shared" si="2"/>
        <v>130</v>
      </c>
      <c r="N49" s="33">
        <f>111-40</f>
        <v>71</v>
      </c>
      <c r="O49" s="48">
        <f t="shared" si="3"/>
        <v>45.384615384615387</v>
      </c>
      <c r="P49" s="49">
        <f t="shared" si="4"/>
        <v>15.266272189349111</v>
      </c>
      <c r="R49" s="91">
        <v>1.3065776966316867</v>
      </c>
      <c r="S49" s="91">
        <v>90.432191226418297</v>
      </c>
      <c r="T49" s="39" t="str">
        <f t="shared" si="7"/>
        <v>Normal</v>
      </c>
      <c r="U49" s="91">
        <v>-1.526879421093482</v>
      </c>
      <c r="V49" s="91">
        <v>6.339549883514958</v>
      </c>
      <c r="W49" s="39" t="str">
        <f t="shared" si="5"/>
        <v>Normal</v>
      </c>
      <c r="X49" s="116">
        <v>-0.12825267497479337</v>
      </c>
      <c r="Y49" s="91">
        <v>44.897450781070027</v>
      </c>
      <c r="Z49" s="39" t="str">
        <f t="shared" si="6"/>
        <v>Normal</v>
      </c>
      <c r="AA49" s="11"/>
      <c r="AB49" s="11"/>
      <c r="AC49" s="39"/>
      <c r="AD49" s="33" t="s">
        <v>172</v>
      </c>
      <c r="AE49" s="33" t="s">
        <v>172</v>
      </c>
      <c r="AF49" s="33" t="s">
        <v>172</v>
      </c>
    </row>
    <row r="50" spans="1:32" ht="15.75" x14ac:dyDescent="0.25">
      <c r="A50" s="43" t="s">
        <v>705</v>
      </c>
      <c r="B50" s="43">
        <v>47</v>
      </c>
      <c r="C50" s="44" t="s">
        <v>276</v>
      </c>
      <c r="D50" s="33">
        <v>2</v>
      </c>
      <c r="E50" s="33" t="s">
        <v>26</v>
      </c>
      <c r="F50" s="33">
        <v>2</v>
      </c>
      <c r="G50" s="46">
        <v>41851</v>
      </c>
      <c r="H50" s="51">
        <v>44462</v>
      </c>
      <c r="I50" s="47">
        <f t="shared" si="8"/>
        <v>7</v>
      </c>
      <c r="J50" s="47">
        <f t="shared" si="1"/>
        <v>85</v>
      </c>
      <c r="K50" s="33">
        <v>24.5</v>
      </c>
      <c r="L50" s="33">
        <v>1.17</v>
      </c>
      <c r="M50" s="43">
        <f t="shared" si="2"/>
        <v>117</v>
      </c>
      <c r="N50" s="33">
        <f>105.7-40</f>
        <v>65.7</v>
      </c>
      <c r="O50" s="48">
        <f t="shared" si="3"/>
        <v>43.846153846153847</v>
      </c>
      <c r="P50" s="49">
        <f t="shared" si="4"/>
        <v>17.897582000146105</v>
      </c>
      <c r="R50" s="91">
        <v>-0.77961686557016974</v>
      </c>
      <c r="S50" s="91">
        <v>21.780821282306878</v>
      </c>
      <c r="T50" s="39" t="str">
        <f t="shared" si="7"/>
        <v>Normal</v>
      </c>
      <c r="U50" s="91">
        <v>-2.6453847299302566</v>
      </c>
      <c r="V50" s="91">
        <v>0.40799041466387981</v>
      </c>
      <c r="W50" s="39" t="str">
        <f t="shared" si="5"/>
        <v>Piernas cortas</v>
      </c>
      <c r="X50" s="116">
        <v>1.2574044992593816</v>
      </c>
      <c r="Y50" s="91">
        <v>89.569639957428933</v>
      </c>
      <c r="Z50" s="39" t="str">
        <f t="shared" si="6"/>
        <v>Obesidad</v>
      </c>
      <c r="AA50" s="11"/>
      <c r="AB50" s="11"/>
      <c r="AC50" s="39"/>
      <c r="AD50" s="33" t="s">
        <v>172</v>
      </c>
      <c r="AE50" s="33" t="s">
        <v>172</v>
      </c>
      <c r="AF50" s="33" t="s">
        <v>172</v>
      </c>
    </row>
    <row r="51" spans="1:32" ht="15.75" x14ac:dyDescent="0.25">
      <c r="A51" s="43" t="s">
        <v>705</v>
      </c>
      <c r="B51" s="43">
        <v>48</v>
      </c>
      <c r="C51" s="44" t="s">
        <v>791</v>
      </c>
      <c r="D51" s="33">
        <v>2</v>
      </c>
      <c r="E51" s="33" t="s">
        <v>26</v>
      </c>
      <c r="F51" s="33">
        <v>2</v>
      </c>
      <c r="G51" s="46">
        <v>41831</v>
      </c>
      <c r="H51" s="51">
        <v>44462</v>
      </c>
      <c r="I51" s="47">
        <f t="shared" si="8"/>
        <v>7</v>
      </c>
      <c r="J51" s="47">
        <f t="shared" si="1"/>
        <v>86</v>
      </c>
      <c r="K51" s="33">
        <v>24.8</v>
      </c>
      <c r="L51" s="33">
        <v>1.24</v>
      </c>
      <c r="M51" s="43">
        <f t="shared" si="2"/>
        <v>124</v>
      </c>
      <c r="N51" s="33">
        <f>106-40</f>
        <v>66</v>
      </c>
      <c r="O51" s="48">
        <f t="shared" si="3"/>
        <v>46.774193548387096</v>
      </c>
      <c r="P51" s="49">
        <f t="shared" si="4"/>
        <v>16.129032258064516</v>
      </c>
      <c r="R51" s="91">
        <v>0.40581392263037702</v>
      </c>
      <c r="S51" s="91">
        <v>65.756033596982675</v>
      </c>
      <c r="T51" s="39" t="str">
        <f t="shared" si="7"/>
        <v>Normal</v>
      </c>
      <c r="U51" s="91">
        <v>-0.55139177290538077</v>
      </c>
      <c r="V51" s="91">
        <v>29.068256961088125</v>
      </c>
      <c r="W51" s="39" t="str">
        <f t="shared" si="5"/>
        <v>Normal</v>
      </c>
      <c r="X51" s="116">
        <v>0.39197618423579378</v>
      </c>
      <c r="Y51" s="91">
        <v>65.246209459357132</v>
      </c>
      <c r="Z51" s="39" t="str">
        <f t="shared" si="6"/>
        <v>Normal</v>
      </c>
      <c r="AA51" s="11"/>
      <c r="AB51" s="11"/>
      <c r="AC51" s="39"/>
      <c r="AD51" s="33" t="s">
        <v>172</v>
      </c>
      <c r="AE51" s="33" t="s">
        <v>172</v>
      </c>
      <c r="AF51" s="33" t="s">
        <v>172</v>
      </c>
    </row>
    <row r="52" spans="1:32" ht="15.75" x14ac:dyDescent="0.25">
      <c r="A52" s="43" t="s">
        <v>705</v>
      </c>
      <c r="B52" s="43">
        <v>49</v>
      </c>
      <c r="C52" s="44" t="s">
        <v>277</v>
      </c>
      <c r="D52" s="33">
        <v>2</v>
      </c>
      <c r="E52" s="33" t="s">
        <v>26</v>
      </c>
      <c r="F52" s="33">
        <v>1</v>
      </c>
      <c r="G52" s="46">
        <v>41863</v>
      </c>
      <c r="H52" s="51">
        <v>44462</v>
      </c>
      <c r="I52" s="47">
        <f t="shared" si="8"/>
        <v>7</v>
      </c>
      <c r="J52" s="47">
        <f t="shared" si="1"/>
        <v>85</v>
      </c>
      <c r="K52" s="33">
        <v>18.7</v>
      </c>
      <c r="L52" s="33">
        <v>1.18</v>
      </c>
      <c r="M52" s="43">
        <f t="shared" si="2"/>
        <v>118</v>
      </c>
      <c r="N52" s="33">
        <f>103.3-40</f>
        <v>63.3</v>
      </c>
      <c r="O52" s="48">
        <f t="shared" si="3"/>
        <v>46.355932203389834</v>
      </c>
      <c r="P52" s="49">
        <f t="shared" si="4"/>
        <v>13.430048836541225</v>
      </c>
      <c r="R52" s="91">
        <v>-0.79107504517717742</v>
      </c>
      <c r="S52" s="91">
        <v>21.445010023415193</v>
      </c>
      <c r="T52" s="39" t="str">
        <f t="shared" si="7"/>
        <v>Normal</v>
      </c>
      <c r="U52" s="91">
        <v>-0.64349802644643883</v>
      </c>
      <c r="V52" s="91">
        <v>25.995049746953789</v>
      </c>
      <c r="W52" s="39" t="str">
        <f t="shared" si="5"/>
        <v>Normal</v>
      </c>
      <c r="X52" s="116">
        <v>-1.7282034213898232</v>
      </c>
      <c r="Y52" s="91">
        <v>4.1975880278951303</v>
      </c>
      <c r="Z52" s="39" t="str">
        <f t="shared" si="6"/>
        <v>Desnutricion</v>
      </c>
      <c r="AA52" s="11"/>
      <c r="AB52" s="11"/>
      <c r="AC52" s="39"/>
      <c r="AD52" s="33" t="s">
        <v>172</v>
      </c>
      <c r="AE52" s="33" t="s">
        <v>172</v>
      </c>
      <c r="AF52" s="33" t="s">
        <v>172</v>
      </c>
    </row>
    <row r="53" spans="1:32" ht="15.75" x14ac:dyDescent="0.25">
      <c r="A53" s="43" t="s">
        <v>705</v>
      </c>
      <c r="B53" s="43">
        <v>50</v>
      </c>
      <c r="C53" s="44" t="s">
        <v>794</v>
      </c>
      <c r="D53" s="33">
        <v>2</v>
      </c>
      <c r="E53" s="33" t="s">
        <v>26</v>
      </c>
      <c r="F53" s="33">
        <v>1</v>
      </c>
      <c r="G53" s="46">
        <v>41903</v>
      </c>
      <c r="H53" s="51">
        <v>44462</v>
      </c>
      <c r="I53" s="47">
        <f t="shared" si="8"/>
        <v>7</v>
      </c>
      <c r="J53" s="47">
        <f t="shared" si="1"/>
        <v>84</v>
      </c>
      <c r="K53" s="33">
        <v>21.7</v>
      </c>
      <c r="L53" s="33">
        <v>1.19</v>
      </c>
      <c r="M53" s="43">
        <f t="shared" si="2"/>
        <v>119</v>
      </c>
      <c r="N53" s="33">
        <f>104-40</f>
        <v>64</v>
      </c>
      <c r="O53" s="48">
        <f t="shared" si="3"/>
        <v>46.218487394957982</v>
      </c>
      <c r="P53" s="49">
        <f t="shared" si="4"/>
        <v>15.32377656945131</v>
      </c>
      <c r="R53" s="91">
        <v>-0.51720860410298564</v>
      </c>
      <c r="S53" s="91">
        <v>30.250527320234756</v>
      </c>
      <c r="T53" s="39" t="str">
        <f t="shared" si="7"/>
        <v>Normal</v>
      </c>
      <c r="U53" s="91">
        <v>-0.7336420060491492</v>
      </c>
      <c r="V53" s="91">
        <v>23.158347624567888</v>
      </c>
      <c r="W53" s="39" t="str">
        <f t="shared" si="5"/>
        <v>Normal</v>
      </c>
      <c r="X53" s="116">
        <v>-0.11487585928721458</v>
      </c>
      <c r="Y53" s="91">
        <v>45.427175994873537</v>
      </c>
      <c r="Z53" s="39" t="str">
        <f t="shared" si="6"/>
        <v>Normal</v>
      </c>
      <c r="AA53" s="11"/>
      <c r="AB53" s="11"/>
      <c r="AC53" s="39"/>
      <c r="AD53" s="33" t="s">
        <v>172</v>
      </c>
      <c r="AE53" s="33" t="s">
        <v>172</v>
      </c>
      <c r="AF53" s="33" t="s">
        <v>172</v>
      </c>
    </row>
    <row r="54" spans="1:32" ht="15.75" x14ac:dyDescent="0.25">
      <c r="A54" s="43" t="s">
        <v>705</v>
      </c>
      <c r="B54" s="43">
        <v>51</v>
      </c>
      <c r="C54" s="44" t="s">
        <v>795</v>
      </c>
      <c r="D54" s="33">
        <v>2</v>
      </c>
      <c r="E54" s="33" t="s">
        <v>26</v>
      </c>
      <c r="F54" s="33">
        <v>1</v>
      </c>
      <c r="G54" s="46">
        <v>41832</v>
      </c>
      <c r="H54" s="51">
        <v>44462</v>
      </c>
      <c r="I54" s="47">
        <f t="shared" si="8"/>
        <v>7</v>
      </c>
      <c r="J54" s="47">
        <f t="shared" si="1"/>
        <v>86</v>
      </c>
      <c r="K54" s="33">
        <v>23.1</v>
      </c>
      <c r="L54" s="33">
        <v>1.21</v>
      </c>
      <c r="M54" s="43">
        <f t="shared" si="2"/>
        <v>121</v>
      </c>
      <c r="N54" s="33">
        <f>104.6-40</f>
        <v>64.599999999999994</v>
      </c>
      <c r="O54" s="48">
        <f t="shared" si="3"/>
        <v>46.611570247933884</v>
      </c>
      <c r="P54" s="49">
        <f t="shared" si="4"/>
        <v>15.777610818933134</v>
      </c>
      <c r="R54" s="91">
        <v>-0.31330802490340465</v>
      </c>
      <c r="S54" s="91">
        <v>37.702332692771677</v>
      </c>
      <c r="T54" s="39" t="str">
        <f t="shared" si="7"/>
        <v>Normal</v>
      </c>
      <c r="U54" s="91">
        <v>-0.47660106212495235</v>
      </c>
      <c r="V54" s="91">
        <v>31.682311347311444</v>
      </c>
      <c r="W54" s="39" t="str">
        <f t="shared" si="5"/>
        <v>Normal</v>
      </c>
      <c r="X54" s="116">
        <v>0.17755125650682246</v>
      </c>
      <c r="Y54" s="91">
        <v>57.046229607768787</v>
      </c>
      <c r="Z54" s="39" t="str">
        <f t="shared" si="6"/>
        <v>Normal</v>
      </c>
      <c r="AA54" s="11"/>
      <c r="AB54" s="11"/>
      <c r="AC54" s="39"/>
      <c r="AD54" s="33" t="s">
        <v>172</v>
      </c>
      <c r="AE54" s="33" t="s">
        <v>172</v>
      </c>
      <c r="AF54" s="33" t="s">
        <v>172</v>
      </c>
    </row>
    <row r="55" spans="1:32" ht="15.75" x14ac:dyDescent="0.25">
      <c r="A55" s="43" t="s">
        <v>705</v>
      </c>
      <c r="B55" s="43">
        <v>52</v>
      </c>
      <c r="C55" s="44" t="s">
        <v>793</v>
      </c>
      <c r="D55" s="33">
        <v>2</v>
      </c>
      <c r="E55" s="33" t="s">
        <v>26</v>
      </c>
      <c r="F55" s="33">
        <v>1</v>
      </c>
      <c r="G55" s="46">
        <v>41832</v>
      </c>
      <c r="H55" s="51">
        <v>44462</v>
      </c>
      <c r="I55" s="47">
        <f t="shared" si="8"/>
        <v>7</v>
      </c>
      <c r="J55" s="47">
        <f t="shared" si="1"/>
        <v>86</v>
      </c>
      <c r="K55" s="33">
        <v>26.4</v>
      </c>
      <c r="L55" s="33">
        <v>1.28</v>
      </c>
      <c r="M55" s="43">
        <f t="shared" si="2"/>
        <v>128</v>
      </c>
      <c r="N55" s="33">
        <f>109.2-40</f>
        <v>69.2</v>
      </c>
      <c r="O55" s="48">
        <f t="shared" si="3"/>
        <v>45.9375</v>
      </c>
      <c r="P55" s="49">
        <f t="shared" si="4"/>
        <v>16.11328125</v>
      </c>
      <c r="R55" s="91">
        <v>0.99603894484217037</v>
      </c>
      <c r="S55" s="91">
        <v>84.038438843186242</v>
      </c>
      <c r="T55" s="39" t="str">
        <f t="shared" si="7"/>
        <v>Normal</v>
      </c>
      <c r="U55" s="91">
        <v>-0.91883308691979271</v>
      </c>
      <c r="V55" s="91">
        <v>17.909144166967998</v>
      </c>
      <c r="W55" s="39" t="str">
        <f t="shared" si="5"/>
        <v>Normal</v>
      </c>
      <c r="X55" s="116">
        <v>0.40007829605829592</v>
      </c>
      <c r="Y55" s="91">
        <v>65.545057525915396</v>
      </c>
      <c r="Z55" s="39" t="str">
        <f t="shared" si="6"/>
        <v>Normal</v>
      </c>
      <c r="AA55" s="11"/>
      <c r="AB55" s="11"/>
      <c r="AC55" s="39"/>
      <c r="AD55" s="33" t="s">
        <v>172</v>
      </c>
      <c r="AE55" s="33" t="s">
        <v>172</v>
      </c>
      <c r="AF55" s="33" t="s">
        <v>172</v>
      </c>
    </row>
    <row r="56" spans="1:32" ht="15.75" x14ac:dyDescent="0.25">
      <c r="A56" s="43" t="s">
        <v>705</v>
      </c>
      <c r="B56" s="43">
        <v>53</v>
      </c>
      <c r="C56" s="44" t="s">
        <v>792</v>
      </c>
      <c r="D56" s="33">
        <v>2</v>
      </c>
      <c r="E56" s="33" t="s">
        <v>26</v>
      </c>
      <c r="F56" s="33">
        <v>1</v>
      </c>
      <c r="G56" s="46">
        <v>41888</v>
      </c>
      <c r="H56" s="51">
        <v>44462</v>
      </c>
      <c r="I56" s="47">
        <f t="shared" si="8"/>
        <v>7</v>
      </c>
      <c r="J56" s="47">
        <f t="shared" si="1"/>
        <v>84</v>
      </c>
      <c r="K56" s="33">
        <v>23.9</v>
      </c>
      <c r="L56" s="33">
        <v>1.18</v>
      </c>
      <c r="M56" s="43">
        <f t="shared" si="2"/>
        <v>118</v>
      </c>
      <c r="N56" s="33">
        <f>106.2-40</f>
        <v>66.2</v>
      </c>
      <c r="O56" s="48">
        <f t="shared" si="3"/>
        <v>43.898305084745758</v>
      </c>
      <c r="P56" s="49">
        <f t="shared" si="4"/>
        <v>17.164607871301349</v>
      </c>
      <c r="R56" s="91">
        <v>-0.70639896334762187</v>
      </c>
      <c r="S56" s="91">
        <v>23.997003268664525</v>
      </c>
      <c r="T56" s="39" t="str">
        <f t="shared" si="7"/>
        <v>Normal</v>
      </c>
      <c r="U56" s="91">
        <v>-2.3005776085062344</v>
      </c>
      <c r="V56" s="91">
        <v>1.0707758948231161</v>
      </c>
      <c r="W56" s="39" t="str">
        <f t="shared" si="5"/>
        <v>Piernas cortas</v>
      </c>
      <c r="X56" s="116">
        <v>1.0669076252109804</v>
      </c>
      <c r="Y56" s="91">
        <v>85.699322438864414</v>
      </c>
      <c r="Z56" s="39" t="str">
        <f t="shared" si="6"/>
        <v>Obesidad</v>
      </c>
      <c r="AA56" s="11"/>
      <c r="AB56" s="11"/>
      <c r="AC56" s="39"/>
      <c r="AD56" s="33" t="s">
        <v>172</v>
      </c>
      <c r="AE56" s="33" t="s">
        <v>172</v>
      </c>
      <c r="AF56" s="33" t="s">
        <v>172</v>
      </c>
    </row>
    <row r="57" spans="1:32" ht="15.75" x14ac:dyDescent="0.25">
      <c r="A57" s="43" t="s">
        <v>705</v>
      </c>
      <c r="B57" s="43">
        <v>54</v>
      </c>
      <c r="C57" s="44" t="s">
        <v>541</v>
      </c>
      <c r="D57" s="33">
        <v>2</v>
      </c>
      <c r="E57" s="33" t="s">
        <v>26</v>
      </c>
      <c r="F57" s="33">
        <v>1</v>
      </c>
      <c r="G57" s="51">
        <v>41961</v>
      </c>
      <c r="H57" s="51">
        <v>44462</v>
      </c>
      <c r="I57" s="47">
        <f t="shared" si="8"/>
        <v>6</v>
      </c>
      <c r="J57" s="47">
        <f t="shared" si="1"/>
        <v>82</v>
      </c>
      <c r="K57" s="33">
        <v>20.6</v>
      </c>
      <c r="L57" s="33">
        <v>1.1200000000000001</v>
      </c>
      <c r="M57" s="43">
        <f t="shared" si="2"/>
        <v>112.00000000000001</v>
      </c>
      <c r="N57" s="33">
        <f>102.5-40</f>
        <v>62.5</v>
      </c>
      <c r="O57" s="48">
        <f t="shared" si="3"/>
        <v>44.196428571428584</v>
      </c>
      <c r="P57" s="49">
        <f t="shared" si="4"/>
        <v>16.42219387755102</v>
      </c>
      <c r="R57" s="91">
        <v>-1.6813417565690345</v>
      </c>
      <c r="S57" s="91">
        <v>4.6348275784594835</v>
      </c>
      <c r="T57" s="39" t="str">
        <f t="shared" si="7"/>
        <v>Desnutricion</v>
      </c>
      <c r="U57" s="91">
        <v>-1.6560883705780167</v>
      </c>
      <c r="V57" s="91">
        <v>4.8851962042845045</v>
      </c>
      <c r="W57" s="39" t="str">
        <f t="shared" si="5"/>
        <v>Piernas cortas</v>
      </c>
      <c r="X57" s="116">
        <v>0.65565198578079653</v>
      </c>
      <c r="Y57" s="91">
        <v>74.397596565546451</v>
      </c>
      <c r="Z57" s="39" t="str">
        <f t="shared" si="6"/>
        <v>Normal</v>
      </c>
      <c r="AA57" s="11"/>
      <c r="AB57" s="11"/>
      <c r="AC57" s="39"/>
      <c r="AD57" s="33" t="s">
        <v>172</v>
      </c>
      <c r="AE57" s="33" t="s">
        <v>172</v>
      </c>
      <c r="AF57" s="33" t="s">
        <v>172</v>
      </c>
    </row>
    <row r="58" spans="1:32" ht="15.75" x14ac:dyDescent="0.25">
      <c r="A58" s="43" t="s">
        <v>706</v>
      </c>
      <c r="B58" s="43">
        <v>55</v>
      </c>
      <c r="C58" s="44" t="s">
        <v>542</v>
      </c>
      <c r="D58" s="33">
        <v>3</v>
      </c>
      <c r="E58" s="33" t="s">
        <v>7</v>
      </c>
      <c r="F58" s="33">
        <v>2</v>
      </c>
      <c r="G58" s="46">
        <v>41310</v>
      </c>
      <c r="H58" s="51">
        <v>44462</v>
      </c>
      <c r="I58" s="47">
        <f t="shared" si="8"/>
        <v>8</v>
      </c>
      <c r="J58" s="47">
        <f t="shared" si="1"/>
        <v>103</v>
      </c>
      <c r="K58" s="33">
        <v>34.1</v>
      </c>
      <c r="L58" s="33">
        <v>1.29</v>
      </c>
      <c r="M58" s="43">
        <f t="shared" si="2"/>
        <v>129</v>
      </c>
      <c r="N58" s="33">
        <f>108.3-40</f>
        <v>68.3</v>
      </c>
      <c r="O58" s="48">
        <f t="shared" si="3"/>
        <v>47.054263565891475</v>
      </c>
      <c r="P58" s="49">
        <f t="shared" si="4"/>
        <v>20.491556997776573</v>
      </c>
      <c r="R58" s="91">
        <v>-0.16602346048835437</v>
      </c>
      <c r="S58" s="91">
        <v>43.406924379261994</v>
      </c>
      <c r="T58" s="39" t="str">
        <f t="shared" si="7"/>
        <v>Normal</v>
      </c>
      <c r="U58" s="91">
        <v>-0.68963087565141745</v>
      </c>
      <c r="V58" s="91">
        <v>24.521317283405736</v>
      </c>
      <c r="W58" s="39" t="str">
        <f t="shared" si="5"/>
        <v>Normal</v>
      </c>
      <c r="X58" s="116">
        <v>1.8285444058844078</v>
      </c>
      <c r="Y58" s="91">
        <v>96.626605621213045</v>
      </c>
      <c r="Z58" s="39" t="str">
        <f t="shared" si="6"/>
        <v>Obesidad</v>
      </c>
      <c r="AA58" s="11"/>
      <c r="AB58" s="11"/>
      <c r="AC58" s="39"/>
      <c r="AD58" s="33" t="s">
        <v>172</v>
      </c>
      <c r="AE58" s="33" t="s">
        <v>172</v>
      </c>
      <c r="AF58" s="33" t="s">
        <v>172</v>
      </c>
    </row>
    <row r="59" spans="1:32" ht="15.75" x14ac:dyDescent="0.25">
      <c r="A59" s="43" t="s">
        <v>706</v>
      </c>
      <c r="B59" s="43">
        <v>56</v>
      </c>
      <c r="C59" s="44" t="s">
        <v>543</v>
      </c>
      <c r="D59" s="33">
        <v>3</v>
      </c>
      <c r="E59" s="33" t="s">
        <v>7</v>
      </c>
      <c r="F59" s="33">
        <v>2</v>
      </c>
      <c r="G59" s="51">
        <v>41177</v>
      </c>
      <c r="H59" s="51">
        <v>44462</v>
      </c>
      <c r="I59" s="47">
        <f t="shared" si="8"/>
        <v>8</v>
      </c>
      <c r="J59" s="47">
        <f t="shared" si="1"/>
        <v>107</v>
      </c>
      <c r="K59" s="33">
        <v>22.3</v>
      </c>
      <c r="L59" s="33">
        <v>1.24</v>
      </c>
      <c r="M59" s="43">
        <f t="shared" si="2"/>
        <v>124</v>
      </c>
      <c r="N59" s="33">
        <f>106-40</f>
        <v>66</v>
      </c>
      <c r="O59" s="48">
        <f t="shared" si="3"/>
        <v>46.774193548387096</v>
      </c>
      <c r="P59" s="49">
        <f t="shared" si="4"/>
        <v>14.50312174817898</v>
      </c>
      <c r="R59" s="91">
        <v>-1.3133065112379985</v>
      </c>
      <c r="S59" s="91">
        <v>9.4539842679487318</v>
      </c>
      <c r="T59" s="39" t="str">
        <f t="shared" si="7"/>
        <v>Normal</v>
      </c>
      <c r="U59" s="91">
        <v>-0.88265402572048923</v>
      </c>
      <c r="V59" s="91">
        <v>18.871161450548712</v>
      </c>
      <c r="W59" s="39" t="str">
        <f t="shared" si="5"/>
        <v>Normal</v>
      </c>
      <c r="X59" s="116">
        <v>-0.93232864514641411</v>
      </c>
      <c r="Y59" s="91">
        <v>17.558335415779798</v>
      </c>
      <c r="Z59" s="39" t="str">
        <f t="shared" si="6"/>
        <v>Normal</v>
      </c>
      <c r="AA59" s="11"/>
      <c r="AB59" s="11"/>
      <c r="AC59" s="39"/>
      <c r="AD59" s="33" t="s">
        <v>172</v>
      </c>
      <c r="AE59" s="33" t="s">
        <v>172</v>
      </c>
      <c r="AF59" s="33" t="s">
        <v>172</v>
      </c>
    </row>
    <row r="60" spans="1:32" ht="15.75" x14ac:dyDescent="0.25">
      <c r="A60" s="43" t="s">
        <v>706</v>
      </c>
      <c r="B60" s="43">
        <v>57</v>
      </c>
      <c r="C60" s="44" t="s">
        <v>544</v>
      </c>
      <c r="D60" s="33">
        <v>3</v>
      </c>
      <c r="E60" s="33" t="s">
        <v>7</v>
      </c>
      <c r="F60" s="33">
        <v>1</v>
      </c>
      <c r="G60" s="51">
        <v>41573</v>
      </c>
      <c r="H60" s="51">
        <v>44462</v>
      </c>
      <c r="I60" s="47">
        <f t="shared" si="8"/>
        <v>7</v>
      </c>
      <c r="J60" s="47">
        <f t="shared" si="1"/>
        <v>94</v>
      </c>
      <c r="K60" s="33">
        <v>23.2</v>
      </c>
      <c r="L60" s="33">
        <f>1.13</f>
        <v>1.1299999999999999</v>
      </c>
      <c r="M60" s="43">
        <f t="shared" si="2"/>
        <v>112.99999999999999</v>
      </c>
      <c r="N60" s="33">
        <f>103.3-40</f>
        <v>63.3</v>
      </c>
      <c r="O60" s="48">
        <f t="shared" si="3"/>
        <v>43.982300884955748</v>
      </c>
      <c r="P60" s="49">
        <f t="shared" si="4"/>
        <v>18.169003054272068</v>
      </c>
      <c r="R60" s="91">
        <v>-2.3916320452694682</v>
      </c>
      <c r="S60" s="91">
        <v>0.83868245304184763</v>
      </c>
      <c r="T60" s="39" t="str">
        <f t="shared" si="7"/>
        <v>Desnutricion</v>
      </c>
      <c r="U60" s="91">
        <v>-2.2423058176079675</v>
      </c>
      <c r="V60" s="91">
        <v>1.2470807012294169</v>
      </c>
      <c r="W60" s="39" t="str">
        <f t="shared" si="5"/>
        <v>Piernas cortas</v>
      </c>
      <c r="X60" s="116">
        <v>1.4009148853229625</v>
      </c>
      <c r="Y60" s="91">
        <v>91.938023651842457</v>
      </c>
      <c r="Z60" s="39" t="str">
        <f t="shared" si="6"/>
        <v>Obesidad</v>
      </c>
      <c r="AA60" s="11"/>
      <c r="AB60" s="11"/>
      <c r="AC60" s="39"/>
      <c r="AD60" s="33" t="s">
        <v>172</v>
      </c>
      <c r="AE60" s="33" t="s">
        <v>172</v>
      </c>
      <c r="AF60" s="33" t="s">
        <v>172</v>
      </c>
    </row>
    <row r="61" spans="1:32" ht="15.75" x14ac:dyDescent="0.25">
      <c r="A61" s="43" t="s">
        <v>706</v>
      </c>
      <c r="B61" s="43">
        <v>58</v>
      </c>
      <c r="C61" s="44" t="s">
        <v>545</v>
      </c>
      <c r="D61" s="33">
        <v>3</v>
      </c>
      <c r="E61" s="33" t="s">
        <v>7</v>
      </c>
      <c r="F61" s="33">
        <v>2</v>
      </c>
      <c r="G61" s="51">
        <v>41353</v>
      </c>
      <c r="H61" s="51">
        <v>44462</v>
      </c>
      <c r="I61" s="47">
        <f t="shared" si="8"/>
        <v>8</v>
      </c>
      <c r="J61" s="47">
        <f t="shared" si="1"/>
        <v>102</v>
      </c>
      <c r="K61" s="33">
        <v>20.9</v>
      </c>
      <c r="L61" s="33">
        <v>1.17</v>
      </c>
      <c r="M61" s="43">
        <f t="shared" si="2"/>
        <v>117</v>
      </c>
      <c r="N61" s="33">
        <f>102.9-40</f>
        <v>62.900000000000006</v>
      </c>
      <c r="O61" s="48">
        <f t="shared" si="3"/>
        <v>46.239316239316238</v>
      </c>
      <c r="P61" s="49">
        <f t="shared" si="4"/>
        <v>15.267733216451166</v>
      </c>
      <c r="R61" s="91">
        <v>-2.0979924910418788</v>
      </c>
      <c r="S61" s="91">
        <v>1.7952904348930629</v>
      </c>
      <c r="T61" s="39" t="str">
        <f t="shared" si="7"/>
        <v>Desnutricion</v>
      </c>
      <c r="U61" s="91">
        <v>-1.2548319975218831</v>
      </c>
      <c r="V61" s="91">
        <v>10.476987712922796</v>
      </c>
      <c r="W61" s="39" t="str">
        <f t="shared" si="5"/>
        <v>Normal</v>
      </c>
      <c r="X61" s="116">
        <v>-0.3464136819283119</v>
      </c>
      <c r="Y61" s="91">
        <v>36.451592211635209</v>
      </c>
      <c r="Z61" s="39" t="str">
        <f t="shared" si="6"/>
        <v>Normal</v>
      </c>
      <c r="AA61" s="11"/>
      <c r="AB61" s="11"/>
      <c r="AC61" s="39"/>
      <c r="AD61" s="33" t="s">
        <v>172</v>
      </c>
      <c r="AE61" s="33" t="s">
        <v>172</v>
      </c>
      <c r="AF61" s="33" t="s">
        <v>172</v>
      </c>
    </row>
    <row r="62" spans="1:32" ht="15.75" x14ac:dyDescent="0.25">
      <c r="A62" s="43" t="s">
        <v>706</v>
      </c>
      <c r="B62" s="43">
        <v>59</v>
      </c>
      <c r="C62" s="44" t="s">
        <v>546</v>
      </c>
      <c r="D62" s="33">
        <v>3</v>
      </c>
      <c r="E62" s="33" t="s">
        <v>7</v>
      </c>
      <c r="F62" s="33">
        <v>1</v>
      </c>
      <c r="G62" s="51">
        <v>41296</v>
      </c>
      <c r="H62" s="51">
        <v>44462</v>
      </c>
      <c r="I62" s="47">
        <f t="shared" si="8"/>
        <v>8</v>
      </c>
      <c r="J62" s="47">
        <f t="shared" si="1"/>
        <v>104</v>
      </c>
      <c r="K62" s="33">
        <v>23.8</v>
      </c>
      <c r="L62" s="33">
        <v>1.22</v>
      </c>
      <c r="M62" s="43">
        <f t="shared" si="2"/>
        <v>122</v>
      </c>
      <c r="N62" s="33">
        <f>106-40</f>
        <v>66</v>
      </c>
      <c r="O62" s="48">
        <f t="shared" si="3"/>
        <v>45.901639344262293</v>
      </c>
      <c r="P62" s="49">
        <f t="shared" si="4"/>
        <v>15.99032518140285</v>
      </c>
      <c r="R62" s="91">
        <v>-1.4957079713051564</v>
      </c>
      <c r="S62" s="91">
        <v>6.7364886069583241</v>
      </c>
      <c r="T62" s="39" t="str">
        <f t="shared" si="7"/>
        <v>Normal</v>
      </c>
      <c r="U62" s="91">
        <v>-1.2949353193842263</v>
      </c>
      <c r="V62" s="91">
        <v>9.7671271577250511</v>
      </c>
      <c r="W62" s="39" t="str">
        <f t="shared" si="5"/>
        <v>Normal</v>
      </c>
      <c r="X62" s="116">
        <v>3.3079326909996751E-2</v>
      </c>
      <c r="Y62" s="91">
        <v>51.319433576864171</v>
      </c>
      <c r="Z62" s="39" t="str">
        <f t="shared" si="6"/>
        <v>Normal</v>
      </c>
      <c r="AA62" s="11"/>
      <c r="AB62" s="11"/>
      <c r="AC62" s="39"/>
      <c r="AD62" s="33" t="s">
        <v>172</v>
      </c>
      <c r="AE62" s="33" t="s">
        <v>172</v>
      </c>
      <c r="AF62" s="33" t="s">
        <v>172</v>
      </c>
    </row>
    <row r="63" spans="1:32" ht="15.75" x14ac:dyDescent="0.25">
      <c r="A63" s="43" t="s">
        <v>706</v>
      </c>
      <c r="B63" s="43">
        <v>60</v>
      </c>
      <c r="C63" s="44" t="s">
        <v>547</v>
      </c>
      <c r="D63" s="33">
        <v>3</v>
      </c>
      <c r="E63" s="33" t="s">
        <v>7</v>
      </c>
      <c r="F63" s="33">
        <v>2</v>
      </c>
      <c r="G63" s="51">
        <v>41593</v>
      </c>
      <c r="H63" s="51">
        <v>44462</v>
      </c>
      <c r="I63" s="47">
        <f t="shared" si="8"/>
        <v>7</v>
      </c>
      <c r="J63" s="47">
        <f t="shared" si="1"/>
        <v>94</v>
      </c>
      <c r="K63" s="33">
        <v>27.8</v>
      </c>
      <c r="L63" s="33">
        <v>1.24</v>
      </c>
      <c r="M63" s="43">
        <f t="shared" si="2"/>
        <v>124</v>
      </c>
      <c r="N63" s="33">
        <f>107.2-40</f>
        <v>67.2</v>
      </c>
      <c r="O63" s="48">
        <f t="shared" si="3"/>
        <v>45.806451612903224</v>
      </c>
      <c r="P63" s="49">
        <f t="shared" si="4"/>
        <v>18.080124869927158</v>
      </c>
      <c r="R63" s="91">
        <v>-0.27631471798675322</v>
      </c>
      <c r="S63" s="91">
        <v>39.115317624362845</v>
      </c>
      <c r="T63" s="39" t="str">
        <f t="shared" si="7"/>
        <v>Normal</v>
      </c>
      <c r="U63" s="91">
        <v>-1.2273641282371863</v>
      </c>
      <c r="V63" s="91">
        <v>10.984288130982886</v>
      </c>
      <c r="W63" s="39" t="str">
        <f t="shared" si="5"/>
        <v>Normal</v>
      </c>
      <c r="X63" s="116">
        <v>1.1811515024576846</v>
      </c>
      <c r="Y63" s="91">
        <v>88.122872836176739</v>
      </c>
      <c r="Z63" s="39" t="str">
        <f t="shared" si="6"/>
        <v>Obesidad</v>
      </c>
      <c r="AA63" s="11"/>
      <c r="AB63" s="11"/>
      <c r="AC63" s="39"/>
      <c r="AD63" s="33" t="s">
        <v>172</v>
      </c>
      <c r="AE63" s="33" t="s">
        <v>172</v>
      </c>
      <c r="AF63" s="33" t="s">
        <v>172</v>
      </c>
    </row>
    <row r="64" spans="1:32" ht="15.75" x14ac:dyDescent="0.25">
      <c r="A64" s="43" t="s">
        <v>706</v>
      </c>
      <c r="B64" s="43">
        <v>61</v>
      </c>
      <c r="C64" s="44" t="s">
        <v>548</v>
      </c>
      <c r="D64" s="33">
        <v>3</v>
      </c>
      <c r="E64" s="33" t="s">
        <v>7</v>
      </c>
      <c r="F64" s="33">
        <v>2</v>
      </c>
      <c r="G64" s="51">
        <v>41234</v>
      </c>
      <c r="H64" s="51">
        <v>44462</v>
      </c>
      <c r="I64" s="47">
        <f t="shared" si="8"/>
        <v>8</v>
      </c>
      <c r="J64" s="47">
        <f t="shared" si="1"/>
        <v>106</v>
      </c>
      <c r="K64" s="33">
        <v>23.9</v>
      </c>
      <c r="L64" s="33">
        <v>1.25</v>
      </c>
      <c r="M64" s="43">
        <f t="shared" si="2"/>
        <v>125</v>
      </c>
      <c r="N64" s="33">
        <f>108.4-40</f>
        <v>68.400000000000006</v>
      </c>
      <c r="O64" s="48">
        <f t="shared" si="3"/>
        <v>45.28</v>
      </c>
      <c r="P64" s="49">
        <f t="shared" si="4"/>
        <v>15.295999999999999</v>
      </c>
      <c r="R64" s="91">
        <v>-1.0710449366256951</v>
      </c>
      <c r="S64" s="91">
        <v>14.207461245193739</v>
      </c>
      <c r="T64" s="39" t="str">
        <f t="shared" si="7"/>
        <v>Normal</v>
      </c>
      <c r="U64" s="91">
        <v>-1.9343090272812833</v>
      </c>
      <c r="V64" s="91">
        <v>2.6537571993343856</v>
      </c>
      <c r="W64" s="39" t="str">
        <f t="shared" si="5"/>
        <v>Piernas cortas</v>
      </c>
      <c r="X64" s="116">
        <v>-0.40746045798792169</v>
      </c>
      <c r="Y64" s="91">
        <v>34.183491530214042</v>
      </c>
      <c r="Z64" s="39" t="str">
        <f t="shared" si="6"/>
        <v>Normal</v>
      </c>
      <c r="AA64" s="11"/>
      <c r="AB64" s="11"/>
      <c r="AC64" s="39"/>
      <c r="AD64" s="33" t="s">
        <v>172</v>
      </c>
      <c r="AE64" s="33" t="s">
        <v>172</v>
      </c>
      <c r="AF64" s="33" t="s">
        <v>172</v>
      </c>
    </row>
    <row r="65" spans="1:38" ht="15.75" x14ac:dyDescent="0.25">
      <c r="A65" s="43" t="s">
        <v>706</v>
      </c>
      <c r="B65" s="43">
        <v>62</v>
      </c>
      <c r="C65" s="44" t="s">
        <v>549</v>
      </c>
      <c r="D65" s="33">
        <v>3</v>
      </c>
      <c r="E65" s="33" t="s">
        <v>7</v>
      </c>
      <c r="F65" s="33">
        <v>2</v>
      </c>
      <c r="G65" s="51">
        <v>41409</v>
      </c>
      <c r="H65" s="51">
        <v>44462</v>
      </c>
      <c r="I65" s="47">
        <f t="shared" si="8"/>
        <v>8</v>
      </c>
      <c r="J65" s="47">
        <f t="shared" si="1"/>
        <v>100</v>
      </c>
      <c r="K65" s="33">
        <v>44</v>
      </c>
      <c r="L65" s="33">
        <v>1.31</v>
      </c>
      <c r="M65" s="43">
        <f t="shared" si="2"/>
        <v>131</v>
      </c>
      <c r="N65" s="33">
        <f>111-40</f>
        <v>71</v>
      </c>
      <c r="O65" s="48">
        <f t="shared" si="3"/>
        <v>45.801526717557252</v>
      </c>
      <c r="P65" s="49">
        <f t="shared" si="4"/>
        <v>25.639531495833573</v>
      </c>
      <c r="R65" s="91">
        <v>0.42161047149011194</v>
      </c>
      <c r="S65" s="91">
        <v>66.334531911918731</v>
      </c>
      <c r="T65" s="39" t="str">
        <f t="shared" si="7"/>
        <v>Normal</v>
      </c>
      <c r="U65" s="91">
        <v>-1.5629810082253919</v>
      </c>
      <c r="V65" s="91">
        <v>5.9028530973571964</v>
      </c>
      <c r="W65" s="39" t="str">
        <f t="shared" si="5"/>
        <v>Normal</v>
      </c>
      <c r="X65" s="116">
        <v>3.0510651745886563</v>
      </c>
      <c r="Y65" s="91">
        <v>99.885984464524029</v>
      </c>
      <c r="Z65" s="39" t="str">
        <f t="shared" si="6"/>
        <v>Obesidad</v>
      </c>
      <c r="AA65" s="11"/>
      <c r="AB65" s="11"/>
      <c r="AC65" s="39"/>
      <c r="AD65" s="33" t="s">
        <v>172</v>
      </c>
      <c r="AE65" s="33" t="s">
        <v>172</v>
      </c>
      <c r="AF65" s="33" t="s">
        <v>172</v>
      </c>
    </row>
    <row r="66" spans="1:38" ht="15.75" x14ac:dyDescent="0.25">
      <c r="A66" s="43" t="s">
        <v>706</v>
      </c>
      <c r="B66" s="43">
        <v>63</v>
      </c>
      <c r="C66" s="44" t="s">
        <v>550</v>
      </c>
      <c r="D66" s="33">
        <v>3</v>
      </c>
      <c r="E66" s="33" t="s">
        <v>7</v>
      </c>
      <c r="F66" s="33">
        <v>1</v>
      </c>
      <c r="G66" s="51">
        <v>41329</v>
      </c>
      <c r="H66" s="51">
        <v>44462</v>
      </c>
      <c r="I66" s="47">
        <f t="shared" si="8"/>
        <v>8</v>
      </c>
      <c r="J66" s="47">
        <f t="shared" si="1"/>
        <v>102</v>
      </c>
      <c r="K66" s="33">
        <v>26.9</v>
      </c>
      <c r="L66" s="33">
        <v>1.3</v>
      </c>
      <c r="M66" s="43">
        <f t="shared" si="2"/>
        <v>130</v>
      </c>
      <c r="N66" s="33">
        <f>107.5-40</f>
        <v>67.5</v>
      </c>
      <c r="O66" s="48">
        <f t="shared" si="3"/>
        <v>48.07692307692308</v>
      </c>
      <c r="P66" s="49">
        <f t="shared" si="4"/>
        <v>15.917159763313608</v>
      </c>
      <c r="R66" s="91">
        <v>1.2006945297436887E-2</v>
      </c>
      <c r="S66" s="91">
        <v>50.478996304511583</v>
      </c>
      <c r="T66" s="39" t="str">
        <f t="shared" si="7"/>
        <v>Normal</v>
      </c>
      <c r="U66" s="91">
        <v>0.15434658209953905</v>
      </c>
      <c r="V66" s="91">
        <v>56.133176493295565</v>
      </c>
      <c r="W66" s="39" t="str">
        <f t="shared" si="5"/>
        <v>Normal</v>
      </c>
      <c r="X66" s="116">
        <v>2.0330710318869082E-2</v>
      </c>
      <c r="Y66" s="91">
        <v>50.811022122280001</v>
      </c>
      <c r="Z66" s="39" t="str">
        <f t="shared" si="6"/>
        <v>Normal</v>
      </c>
      <c r="AA66" s="11"/>
      <c r="AB66" s="11"/>
      <c r="AC66" s="39"/>
      <c r="AD66" s="33" t="s">
        <v>172</v>
      </c>
      <c r="AE66" s="33" t="s">
        <v>172</v>
      </c>
      <c r="AF66" s="33" t="s">
        <v>172</v>
      </c>
    </row>
    <row r="67" spans="1:38" ht="15.75" x14ac:dyDescent="0.25">
      <c r="A67" s="43" t="s">
        <v>706</v>
      </c>
      <c r="B67" s="43">
        <v>64</v>
      </c>
      <c r="C67" s="44" t="s">
        <v>551</v>
      </c>
      <c r="D67" s="33">
        <v>3</v>
      </c>
      <c r="E67" s="33" t="s">
        <v>7</v>
      </c>
      <c r="F67" s="33">
        <v>1</v>
      </c>
      <c r="G67" s="51">
        <v>41403</v>
      </c>
      <c r="H67" s="51">
        <v>44462</v>
      </c>
      <c r="I67" s="47">
        <f t="shared" si="8"/>
        <v>8</v>
      </c>
      <c r="J67" s="47">
        <f t="shared" si="1"/>
        <v>100</v>
      </c>
      <c r="K67" s="33">
        <v>19.3</v>
      </c>
      <c r="L67" s="33">
        <v>1.18</v>
      </c>
      <c r="M67" s="43">
        <f t="shared" si="2"/>
        <v>118</v>
      </c>
      <c r="N67" s="33">
        <f>101.8-40</f>
        <v>61.8</v>
      </c>
      <c r="O67" s="48">
        <f t="shared" si="3"/>
        <v>47.627118644067799</v>
      </c>
      <c r="P67" s="49">
        <f t="shared" si="4"/>
        <v>13.860959494398163</v>
      </c>
      <c r="R67" s="91">
        <v>-1.9150253999603546</v>
      </c>
      <c r="S67" s="91">
        <v>2.7744632216557048</v>
      </c>
      <c r="T67" s="39" t="str">
        <f t="shared" si="7"/>
        <v>Desnutricion</v>
      </c>
      <c r="U67" s="91">
        <v>-0.13939629451240709</v>
      </c>
      <c r="V67" s="91">
        <v>44.456850016236231</v>
      </c>
      <c r="W67" s="39" t="str">
        <f t="shared" si="5"/>
        <v>Normal</v>
      </c>
      <c r="X67" s="116">
        <v>-1.522572559259018</v>
      </c>
      <c r="Y67" s="91">
        <v>6.3932839685279328</v>
      </c>
      <c r="Z67" s="39" t="str">
        <f t="shared" si="6"/>
        <v>Bajo Peso</v>
      </c>
      <c r="AA67" s="11"/>
      <c r="AB67" s="11"/>
      <c r="AC67" s="39"/>
      <c r="AD67" s="33" t="s">
        <v>172</v>
      </c>
      <c r="AE67" s="33" t="s">
        <v>172</v>
      </c>
      <c r="AF67" s="33" t="s">
        <v>172</v>
      </c>
    </row>
    <row r="68" spans="1:38" ht="15.75" x14ac:dyDescent="0.25">
      <c r="A68" s="43" t="s">
        <v>706</v>
      </c>
      <c r="B68" s="43">
        <v>65</v>
      </c>
      <c r="C68" s="44" t="s">
        <v>552</v>
      </c>
      <c r="D68" s="33">
        <v>3</v>
      </c>
      <c r="E68" s="33" t="s">
        <v>7</v>
      </c>
      <c r="F68" s="33">
        <v>2</v>
      </c>
      <c r="G68" s="51">
        <v>41475</v>
      </c>
      <c r="H68" s="51">
        <v>44462</v>
      </c>
      <c r="I68" s="47">
        <f t="shared" ref="I68:I99" si="9">DATEDIF(G68,H68,"y")</f>
        <v>8</v>
      </c>
      <c r="J68" s="47">
        <f t="shared" ref="J68:J131" si="10">DATEDIF(G68,H68,"m")</f>
        <v>98</v>
      </c>
      <c r="K68" s="33">
        <v>26.3</v>
      </c>
      <c r="L68" s="33">
        <v>1.31</v>
      </c>
      <c r="M68" s="43">
        <f t="shared" ref="M68:M131" si="11">L68*100</f>
        <v>131</v>
      </c>
      <c r="N68" s="33">
        <f>108.3-40</f>
        <v>68.3</v>
      </c>
      <c r="O68" s="48">
        <f t="shared" ref="O68:O131" si="12">((M68-N68)/M68)*100</f>
        <v>47.862595419847331</v>
      </c>
      <c r="P68" s="49">
        <f t="shared" ref="P68:P131" si="13">K68/(L68*L68)</f>
        <v>15.325447235009614</v>
      </c>
      <c r="R68" s="91">
        <v>0.59298304796961854</v>
      </c>
      <c r="S68" s="91">
        <v>72.34037513742382</v>
      </c>
      <c r="T68" s="39" t="str">
        <f t="shared" si="7"/>
        <v>Normal</v>
      </c>
      <c r="U68" s="91">
        <v>-0.13951170204580543</v>
      </c>
      <c r="V68" s="91">
        <v>44.452290473701652</v>
      </c>
      <c r="W68" s="39" t="str">
        <f t="shared" ref="W68:W131" si="14">IF(U68&lt;-1.645,"Piernas cortas",IF(AND(U68&gt;=-1.645,U68&lt;=1.645),"Normal",IF(U68&gt;1.645,"Piernas largas")))</f>
        <v>Normal</v>
      </c>
      <c r="X68" s="116">
        <v>-0.23986095416631842</v>
      </c>
      <c r="Y68" s="91">
        <v>40.521902567672903</v>
      </c>
      <c r="Z68" s="39" t="str">
        <f t="shared" ref="Z68:Z131" si="15">IF(Y68&lt;5,"Desnutricion",IF(AND(Y68&gt;=5,Y68&lt;15),"Bajo Peso",IF(AND(Y68&gt;=15,Y68&lt;=85),"Normal",IF(Y68&gt;85,"Obesidad"))))</f>
        <v>Normal</v>
      </c>
      <c r="AA68" s="11"/>
      <c r="AB68" s="11"/>
      <c r="AC68" s="39"/>
      <c r="AD68" s="33" t="s">
        <v>172</v>
      </c>
      <c r="AE68" s="33" t="s">
        <v>172</v>
      </c>
      <c r="AF68" s="33" t="s">
        <v>172</v>
      </c>
      <c r="AG68" s="33"/>
      <c r="AJ68" s="112"/>
    </row>
    <row r="69" spans="1:38" ht="15.75" x14ac:dyDescent="0.25">
      <c r="A69" s="43" t="s">
        <v>706</v>
      </c>
      <c r="B69" s="43">
        <v>66</v>
      </c>
      <c r="C69" s="44" t="s">
        <v>553</v>
      </c>
      <c r="D69" s="33">
        <v>3</v>
      </c>
      <c r="E69" s="33" t="s">
        <v>7</v>
      </c>
      <c r="F69" s="33">
        <v>1</v>
      </c>
      <c r="G69" s="51">
        <v>41295</v>
      </c>
      <c r="H69" s="51">
        <v>44462</v>
      </c>
      <c r="I69" s="47">
        <f t="shared" si="9"/>
        <v>8</v>
      </c>
      <c r="J69" s="47">
        <f t="shared" si="10"/>
        <v>104</v>
      </c>
      <c r="K69" s="33">
        <v>32.1</v>
      </c>
      <c r="L69" s="33">
        <v>1.31</v>
      </c>
      <c r="M69" s="43">
        <f t="shared" si="11"/>
        <v>131</v>
      </c>
      <c r="N69" s="33">
        <f>108.4-40</f>
        <v>68.400000000000006</v>
      </c>
      <c r="O69" s="48">
        <f t="shared" si="12"/>
        <v>47.786259541984727</v>
      </c>
      <c r="P69" s="49">
        <f t="shared" si="13"/>
        <v>18.705203659460402</v>
      </c>
      <c r="R69" s="91">
        <v>3.220501028983698E-2</v>
      </c>
      <c r="S69" s="91">
        <v>51.284571969014571</v>
      </c>
      <c r="T69" s="39" t="str">
        <f t="shared" ref="T69:T132" si="16">IF(R69&lt;-1.645,"Desnutricion",IF(AND(R69&gt;=-1.645,R69&lt;=1.645),"Normal",IF(R69&gt;1.645,"Alto")))</f>
        <v>Normal</v>
      </c>
      <c r="U69" s="91">
        <v>-3.5125790171084151E-2</v>
      </c>
      <c r="V69" s="91">
        <v>48.598971825775806</v>
      </c>
      <c r="W69" s="39" t="str">
        <f t="shared" si="14"/>
        <v>Normal</v>
      </c>
      <c r="X69" s="116">
        <v>1.4337857759675872</v>
      </c>
      <c r="Y69" s="91">
        <v>92.418329734370104</v>
      </c>
      <c r="Z69" s="39" t="str">
        <f t="shared" si="15"/>
        <v>Obesidad</v>
      </c>
      <c r="AA69" s="11"/>
      <c r="AB69" s="11"/>
      <c r="AC69" s="39"/>
      <c r="AD69" s="33" t="s">
        <v>172</v>
      </c>
      <c r="AE69" s="33" t="s">
        <v>172</v>
      </c>
      <c r="AF69" s="33" t="s">
        <v>172</v>
      </c>
      <c r="AK69" s="110"/>
    </row>
    <row r="70" spans="1:38" ht="15.75" x14ac:dyDescent="0.25">
      <c r="A70" s="43" t="s">
        <v>706</v>
      </c>
      <c r="B70" s="43">
        <v>67</v>
      </c>
      <c r="C70" s="44" t="s">
        <v>554</v>
      </c>
      <c r="D70" s="33">
        <v>3</v>
      </c>
      <c r="E70" s="33" t="s">
        <v>7</v>
      </c>
      <c r="F70" s="33">
        <v>1</v>
      </c>
      <c r="G70" s="51">
        <v>41290</v>
      </c>
      <c r="H70" s="51">
        <v>44462</v>
      </c>
      <c r="I70" s="47">
        <f t="shared" si="9"/>
        <v>8</v>
      </c>
      <c r="J70" s="47">
        <f t="shared" si="10"/>
        <v>104</v>
      </c>
      <c r="K70" s="33">
        <v>30</v>
      </c>
      <c r="L70" s="33">
        <v>1.31</v>
      </c>
      <c r="M70" s="43">
        <f t="shared" si="11"/>
        <v>131</v>
      </c>
      <c r="N70" s="33">
        <f>110.5-40</f>
        <v>70.5</v>
      </c>
      <c r="O70" s="48">
        <f t="shared" si="12"/>
        <v>46.18320610687023</v>
      </c>
      <c r="P70" s="49">
        <f t="shared" si="13"/>
        <v>17.481498747159254</v>
      </c>
      <c r="R70" s="91">
        <v>3.220501028983698E-2</v>
      </c>
      <c r="S70" s="91">
        <v>51.284571969014571</v>
      </c>
      <c r="T70" s="39" t="str">
        <f t="shared" si="16"/>
        <v>Normal</v>
      </c>
      <c r="U70" s="91">
        <v>-1.1031729138973292</v>
      </c>
      <c r="V70" s="91">
        <v>13.497604076161249</v>
      </c>
      <c r="W70" s="39" t="str">
        <f t="shared" si="14"/>
        <v>Normal</v>
      </c>
      <c r="X70" s="116">
        <v>0.87177256212324372</v>
      </c>
      <c r="Y70" s="91">
        <v>80.83337671039213</v>
      </c>
      <c r="Z70" s="39" t="str">
        <f t="shared" si="15"/>
        <v>Normal</v>
      </c>
      <c r="AA70" s="11"/>
      <c r="AB70" s="11"/>
      <c r="AC70" s="39"/>
      <c r="AD70" s="33" t="s">
        <v>172</v>
      </c>
      <c r="AE70" s="33" t="s">
        <v>172</v>
      </c>
      <c r="AF70" s="33" t="s">
        <v>172</v>
      </c>
      <c r="AK70" s="110"/>
    </row>
    <row r="71" spans="1:38" ht="15.75" x14ac:dyDescent="0.25">
      <c r="A71" s="43" t="s">
        <v>706</v>
      </c>
      <c r="B71" s="43">
        <v>68</v>
      </c>
      <c r="C71" s="44" t="s">
        <v>555</v>
      </c>
      <c r="D71" s="33">
        <v>3</v>
      </c>
      <c r="E71" s="33" t="s">
        <v>7</v>
      </c>
      <c r="F71" s="33">
        <v>2</v>
      </c>
      <c r="G71" s="51">
        <v>41496</v>
      </c>
      <c r="H71" s="51">
        <v>44462</v>
      </c>
      <c r="I71" s="47">
        <f t="shared" si="9"/>
        <v>8</v>
      </c>
      <c r="J71" s="47">
        <f t="shared" si="10"/>
        <v>97</v>
      </c>
      <c r="K71" s="33">
        <v>37</v>
      </c>
      <c r="L71" s="33">
        <v>1.29</v>
      </c>
      <c r="M71" s="43">
        <f t="shared" si="11"/>
        <v>129</v>
      </c>
      <c r="N71" s="33">
        <f>110-40</f>
        <v>70</v>
      </c>
      <c r="O71" s="48">
        <f t="shared" si="12"/>
        <v>45.736434108527128</v>
      </c>
      <c r="P71" s="49">
        <f t="shared" si="13"/>
        <v>22.234240730725315</v>
      </c>
      <c r="R71" s="91">
        <v>0.33607478291570914</v>
      </c>
      <c r="S71" s="91">
        <v>63.159276305231174</v>
      </c>
      <c r="T71" s="39" t="str">
        <f t="shared" si="16"/>
        <v>Normal</v>
      </c>
      <c r="U71" s="91">
        <v>-1.6090734369609043</v>
      </c>
      <c r="V71" s="91">
        <v>5.3800142380494007</v>
      </c>
      <c r="W71" s="39" t="str">
        <f t="shared" si="14"/>
        <v>Normal</v>
      </c>
      <c r="X71" s="116">
        <v>2.4277220269033468</v>
      </c>
      <c r="Y71" s="91">
        <v>99.240300818193461</v>
      </c>
      <c r="Z71" s="39" t="str">
        <f t="shared" si="15"/>
        <v>Obesidad</v>
      </c>
      <c r="AA71" s="11"/>
      <c r="AB71" s="11"/>
      <c r="AC71" s="39"/>
      <c r="AD71" s="33" t="s">
        <v>172</v>
      </c>
      <c r="AE71" s="33" t="s">
        <v>172</v>
      </c>
      <c r="AF71" s="33" t="s">
        <v>172</v>
      </c>
      <c r="AK71" s="110"/>
    </row>
    <row r="72" spans="1:38" ht="15.75" x14ac:dyDescent="0.25">
      <c r="A72" s="43" t="s">
        <v>706</v>
      </c>
      <c r="B72" s="43">
        <v>69</v>
      </c>
      <c r="C72" s="44" t="s">
        <v>556</v>
      </c>
      <c r="D72" s="33">
        <v>3</v>
      </c>
      <c r="E72" s="33" t="s">
        <v>7</v>
      </c>
      <c r="F72" s="33">
        <v>2</v>
      </c>
      <c r="G72" s="51">
        <v>41275</v>
      </c>
      <c r="H72" s="51">
        <v>44462</v>
      </c>
      <c r="I72" s="47">
        <f t="shared" si="9"/>
        <v>8</v>
      </c>
      <c r="J72" s="47">
        <f t="shared" si="10"/>
        <v>104</v>
      </c>
      <c r="K72" s="33">
        <v>29</v>
      </c>
      <c r="L72" s="33">
        <v>1.27</v>
      </c>
      <c r="M72" s="43">
        <f t="shared" si="11"/>
        <v>127</v>
      </c>
      <c r="N72" s="33">
        <f>107.8-40</f>
        <v>67.8</v>
      </c>
      <c r="O72" s="48">
        <f t="shared" si="12"/>
        <v>46.614173228346459</v>
      </c>
      <c r="P72" s="49">
        <f t="shared" si="13"/>
        <v>17.98003596007192</v>
      </c>
      <c r="R72" s="91">
        <v>-0.58098018780060001</v>
      </c>
      <c r="S72" s="91">
        <v>28.062690321212703</v>
      </c>
      <c r="T72" s="39" t="str">
        <f t="shared" si="16"/>
        <v>Normal</v>
      </c>
      <c r="U72" s="91">
        <v>-0.99350853339432521</v>
      </c>
      <c r="V72" s="91">
        <v>16.023109699233189</v>
      </c>
      <c r="W72" s="39" t="str">
        <f t="shared" si="14"/>
        <v>Normal</v>
      </c>
      <c r="X72" s="116">
        <v>0.94693548580433129</v>
      </c>
      <c r="Y72" s="91">
        <v>82.816417290968388</v>
      </c>
      <c r="Z72" s="39" t="str">
        <f t="shared" si="15"/>
        <v>Normal</v>
      </c>
      <c r="AA72" s="11"/>
      <c r="AB72" s="11"/>
      <c r="AC72" s="39"/>
      <c r="AD72" s="33" t="s">
        <v>172</v>
      </c>
      <c r="AE72" s="33" t="s">
        <v>172</v>
      </c>
      <c r="AF72" s="33" t="s">
        <v>172</v>
      </c>
      <c r="AK72" s="110"/>
    </row>
    <row r="73" spans="1:38" ht="15.75" x14ac:dyDescent="0.25">
      <c r="A73" s="43" t="s">
        <v>706</v>
      </c>
      <c r="B73" s="43">
        <v>70</v>
      </c>
      <c r="C73" s="44" t="s">
        <v>557</v>
      </c>
      <c r="D73" s="33">
        <v>3</v>
      </c>
      <c r="E73" s="33" t="s">
        <v>7</v>
      </c>
      <c r="F73" s="33">
        <v>2</v>
      </c>
      <c r="G73" s="51">
        <v>41426</v>
      </c>
      <c r="H73" s="51">
        <v>44462</v>
      </c>
      <c r="I73" s="47">
        <f t="shared" si="9"/>
        <v>8</v>
      </c>
      <c r="J73" s="47">
        <f t="shared" si="10"/>
        <v>99</v>
      </c>
      <c r="K73" s="33">
        <v>25.7</v>
      </c>
      <c r="L73" s="33">
        <v>1.32</v>
      </c>
      <c r="M73" s="43">
        <f t="shared" si="11"/>
        <v>132</v>
      </c>
      <c r="N73" s="33">
        <f>112.5-40</f>
        <v>72.5</v>
      </c>
      <c r="O73" s="48">
        <f t="shared" si="12"/>
        <v>45.075757575757578</v>
      </c>
      <c r="P73" s="49">
        <f t="shared" si="13"/>
        <v>14.749770431588612</v>
      </c>
      <c r="R73" s="91">
        <v>0.67718792797972793</v>
      </c>
      <c r="S73" s="91">
        <v>75.085663691838775</v>
      </c>
      <c r="T73" s="39" t="str">
        <f t="shared" si="16"/>
        <v>Normal</v>
      </c>
      <c r="U73" s="91">
        <v>-2.0810083814800646</v>
      </c>
      <c r="V73" s="91">
        <v>1.8716569447293556</v>
      </c>
      <c r="W73" s="39" t="str">
        <f t="shared" si="14"/>
        <v>Piernas cortas</v>
      </c>
      <c r="X73" s="116">
        <v>-0.61594869432957333</v>
      </c>
      <c r="Y73" s="91">
        <v>26.896419096986811</v>
      </c>
      <c r="Z73" s="39" t="str">
        <f t="shared" si="15"/>
        <v>Normal</v>
      </c>
      <c r="AA73" s="11"/>
      <c r="AB73" s="11"/>
      <c r="AC73" s="39"/>
      <c r="AD73" s="33" t="s">
        <v>172</v>
      </c>
      <c r="AE73" s="33" t="s">
        <v>172</v>
      </c>
      <c r="AF73" s="33" t="s">
        <v>172</v>
      </c>
      <c r="AK73" s="110"/>
    </row>
    <row r="74" spans="1:38" ht="15.75" x14ac:dyDescent="0.25">
      <c r="A74" s="43" t="s">
        <v>706</v>
      </c>
      <c r="B74" s="43">
        <v>71</v>
      </c>
      <c r="C74" s="44" t="s">
        <v>558</v>
      </c>
      <c r="D74" s="33">
        <v>3</v>
      </c>
      <c r="E74" s="33" t="s">
        <v>26</v>
      </c>
      <c r="F74" s="33">
        <v>1</v>
      </c>
      <c r="G74" s="51">
        <v>41489</v>
      </c>
      <c r="H74" s="51">
        <v>44462</v>
      </c>
      <c r="I74" s="47">
        <f t="shared" si="9"/>
        <v>8</v>
      </c>
      <c r="J74" s="47">
        <f t="shared" si="10"/>
        <v>97</v>
      </c>
      <c r="K74" s="33">
        <v>27.2</v>
      </c>
      <c r="L74" s="33">
        <v>1.26</v>
      </c>
      <c r="M74" s="43">
        <f t="shared" si="11"/>
        <v>126</v>
      </c>
      <c r="N74" s="33">
        <f>106.5-40</f>
        <v>66.5</v>
      </c>
      <c r="O74" s="48">
        <f t="shared" si="12"/>
        <v>47.222222222222221</v>
      </c>
      <c r="P74" s="49">
        <f t="shared" si="13"/>
        <v>17.132779037540942</v>
      </c>
      <c r="R74" s="91">
        <v>-0.30166698612300724</v>
      </c>
      <c r="S74" s="91">
        <v>38.145296885554686</v>
      </c>
      <c r="T74" s="39" t="str">
        <f t="shared" si="16"/>
        <v>Normal</v>
      </c>
      <c r="U74" s="91">
        <v>-0.40640878181368839</v>
      </c>
      <c r="V74" s="91">
        <v>34.222113410770085</v>
      </c>
      <c r="W74" s="39" t="str">
        <f t="shared" si="14"/>
        <v>Normal</v>
      </c>
      <c r="X74" s="116">
        <v>0.82086893775008252</v>
      </c>
      <c r="Y74" s="91">
        <v>79.413953701684932</v>
      </c>
      <c r="Z74" s="39" t="str">
        <f t="shared" si="15"/>
        <v>Normal</v>
      </c>
      <c r="AA74" s="11"/>
      <c r="AB74" s="11"/>
      <c r="AC74" s="39"/>
      <c r="AD74" s="33" t="s">
        <v>172</v>
      </c>
      <c r="AE74" s="33" t="s">
        <v>172</v>
      </c>
      <c r="AF74" s="33" t="s">
        <v>172</v>
      </c>
    </row>
    <row r="75" spans="1:38" ht="15.75" x14ac:dyDescent="0.25">
      <c r="A75" s="43" t="s">
        <v>706</v>
      </c>
      <c r="B75" s="43">
        <v>72</v>
      </c>
      <c r="C75" s="44" t="s">
        <v>559</v>
      </c>
      <c r="D75" s="33">
        <v>3</v>
      </c>
      <c r="E75" s="33" t="s">
        <v>26</v>
      </c>
      <c r="F75" s="33">
        <v>2</v>
      </c>
      <c r="G75" s="51">
        <v>41387</v>
      </c>
      <c r="H75" s="51">
        <v>44462</v>
      </c>
      <c r="I75" s="47">
        <f t="shared" si="9"/>
        <v>8</v>
      </c>
      <c r="J75" s="47">
        <f t="shared" si="10"/>
        <v>101</v>
      </c>
      <c r="K75" s="33">
        <v>22</v>
      </c>
      <c r="L75" s="33">
        <v>1.24</v>
      </c>
      <c r="M75" s="43">
        <f t="shared" si="11"/>
        <v>124</v>
      </c>
      <c r="N75" s="33">
        <f>105.2-40</f>
        <v>65.2</v>
      </c>
      <c r="O75" s="48">
        <f t="shared" si="12"/>
        <v>47.41935483870968</v>
      </c>
      <c r="P75" s="49">
        <f t="shared" si="13"/>
        <v>14.308012486992714</v>
      </c>
      <c r="R75" s="91">
        <v>-0.84371915114966745</v>
      </c>
      <c r="S75" s="91">
        <v>19.941318160798076</v>
      </c>
      <c r="T75" s="39" t="str">
        <f t="shared" si="16"/>
        <v>Normal</v>
      </c>
      <c r="U75" s="91">
        <v>-0.43989233784572818</v>
      </c>
      <c r="V75" s="91">
        <v>33.000754280557274</v>
      </c>
      <c r="W75" s="39" t="str">
        <f t="shared" si="14"/>
        <v>Normal</v>
      </c>
      <c r="X75" s="116">
        <v>-0.95047162900631144</v>
      </c>
      <c r="Y75" s="91">
        <v>17.093633153145895</v>
      </c>
      <c r="Z75" s="39" t="str">
        <f t="shared" si="15"/>
        <v>Normal</v>
      </c>
      <c r="AA75" s="11"/>
      <c r="AB75" s="11"/>
      <c r="AC75" s="39"/>
      <c r="AD75" s="33" t="s">
        <v>172</v>
      </c>
      <c r="AE75" s="33" t="s">
        <v>172</v>
      </c>
      <c r="AF75" s="33" t="s">
        <v>172</v>
      </c>
    </row>
    <row r="76" spans="1:38" ht="15.75" x14ac:dyDescent="0.25">
      <c r="A76" s="43" t="s">
        <v>706</v>
      </c>
      <c r="B76" s="43">
        <v>73</v>
      </c>
      <c r="C76" s="44" t="s">
        <v>560</v>
      </c>
      <c r="D76" s="33">
        <v>3</v>
      </c>
      <c r="E76" s="33" t="s">
        <v>26</v>
      </c>
      <c r="F76" s="33">
        <v>2</v>
      </c>
      <c r="G76" s="51">
        <v>41304</v>
      </c>
      <c r="H76" s="51">
        <v>44462</v>
      </c>
      <c r="I76" s="47">
        <f t="shared" si="9"/>
        <v>8</v>
      </c>
      <c r="J76" s="47">
        <f t="shared" si="10"/>
        <v>103</v>
      </c>
      <c r="K76" s="33">
        <v>27.1</v>
      </c>
      <c r="L76" s="33">
        <v>1.34</v>
      </c>
      <c r="M76" s="43">
        <f t="shared" si="11"/>
        <v>134</v>
      </c>
      <c r="N76" s="33">
        <f>110.1-40</f>
        <v>70.099999999999994</v>
      </c>
      <c r="O76" s="48">
        <f t="shared" si="12"/>
        <v>47.68656716417911</v>
      </c>
      <c r="P76" s="49">
        <f t="shared" si="13"/>
        <v>15.092448206727555</v>
      </c>
      <c r="R76" s="91">
        <v>0.66977728703659012</v>
      </c>
      <c r="S76" s="91">
        <v>74.850011271610484</v>
      </c>
      <c r="T76" s="39" t="str">
        <f t="shared" si="16"/>
        <v>Normal</v>
      </c>
      <c r="U76" s="91">
        <v>-0.25843846036675949</v>
      </c>
      <c r="V76" s="91">
        <v>39.803426869567289</v>
      </c>
      <c r="W76" s="39" t="str">
        <f t="shared" si="14"/>
        <v>Normal</v>
      </c>
      <c r="X76" s="116">
        <v>-0.4718614873970764</v>
      </c>
      <c r="Y76" s="91">
        <v>31.851282953171218</v>
      </c>
      <c r="Z76" s="39" t="str">
        <f t="shared" si="15"/>
        <v>Normal</v>
      </c>
      <c r="AA76" s="11"/>
      <c r="AB76" s="11"/>
      <c r="AC76" s="39"/>
      <c r="AD76" s="33" t="s">
        <v>172</v>
      </c>
      <c r="AE76" s="33" t="s">
        <v>172</v>
      </c>
      <c r="AF76" s="33" t="s">
        <v>172</v>
      </c>
    </row>
    <row r="77" spans="1:38" ht="15.75" x14ac:dyDescent="0.25">
      <c r="A77" s="43" t="s">
        <v>706</v>
      </c>
      <c r="B77" s="43">
        <v>74</v>
      </c>
      <c r="C77" s="44" t="s">
        <v>561</v>
      </c>
      <c r="D77" s="33">
        <v>3</v>
      </c>
      <c r="E77" s="33" t="s">
        <v>26</v>
      </c>
      <c r="F77" s="33">
        <v>2</v>
      </c>
      <c r="G77" s="51">
        <v>41340</v>
      </c>
      <c r="H77" s="51">
        <v>44462</v>
      </c>
      <c r="I77" s="47">
        <f t="shared" si="9"/>
        <v>8</v>
      </c>
      <c r="J77" s="47">
        <f t="shared" si="10"/>
        <v>102</v>
      </c>
      <c r="K77" s="33">
        <v>28.8</v>
      </c>
      <c r="L77" s="33">
        <v>1.3</v>
      </c>
      <c r="M77" s="43">
        <f t="shared" si="11"/>
        <v>130</v>
      </c>
      <c r="N77" s="33">
        <f>110.1-40</f>
        <v>70.099999999999994</v>
      </c>
      <c r="O77" s="48">
        <f t="shared" si="12"/>
        <v>46.07692307692308</v>
      </c>
      <c r="P77" s="49">
        <f t="shared" si="13"/>
        <v>17.041420118343193</v>
      </c>
      <c r="R77" s="91">
        <v>8.4356169373759393E-2</v>
      </c>
      <c r="S77" s="91">
        <v>53.3613372602344</v>
      </c>
      <c r="T77" s="39" t="str">
        <f t="shared" si="16"/>
        <v>Normal</v>
      </c>
      <c r="U77" s="91">
        <v>-1.3687621564938435</v>
      </c>
      <c r="V77" s="91">
        <v>8.5536816923383956</v>
      </c>
      <c r="W77" s="39" t="str">
        <f t="shared" si="14"/>
        <v>Normal</v>
      </c>
      <c r="X77" s="116">
        <v>0.58393434584930914</v>
      </c>
      <c r="Y77" s="91">
        <v>72.036775777001978</v>
      </c>
      <c r="Z77" s="39" t="str">
        <f t="shared" si="15"/>
        <v>Normal</v>
      </c>
      <c r="AA77" s="11"/>
      <c r="AB77" s="11"/>
      <c r="AC77" s="39"/>
      <c r="AD77" s="33" t="s">
        <v>172</v>
      </c>
      <c r="AE77" s="33" t="s">
        <v>172</v>
      </c>
      <c r="AF77" s="33" t="s">
        <v>172</v>
      </c>
      <c r="AG77" s="33"/>
      <c r="AJ77" s="112"/>
    </row>
    <row r="78" spans="1:38" ht="15.75" x14ac:dyDescent="0.25">
      <c r="A78" s="43" t="s">
        <v>706</v>
      </c>
      <c r="B78" s="43">
        <v>75</v>
      </c>
      <c r="C78" s="44" t="s">
        <v>562</v>
      </c>
      <c r="D78" s="33">
        <v>3</v>
      </c>
      <c r="E78" s="33" t="s">
        <v>26</v>
      </c>
      <c r="F78" s="33">
        <v>1</v>
      </c>
      <c r="G78" s="51">
        <v>41477</v>
      </c>
      <c r="H78" s="51">
        <v>44462</v>
      </c>
      <c r="I78" s="47">
        <f t="shared" si="9"/>
        <v>8</v>
      </c>
      <c r="J78" s="47">
        <f t="shared" si="10"/>
        <v>98</v>
      </c>
      <c r="K78" s="33">
        <v>20</v>
      </c>
      <c r="L78" s="33">
        <v>1.19</v>
      </c>
      <c r="M78" s="43">
        <f t="shared" si="11"/>
        <v>119</v>
      </c>
      <c r="N78" s="33">
        <f>103.7-40</f>
        <v>63.7</v>
      </c>
      <c r="O78" s="48">
        <f t="shared" si="12"/>
        <v>46.470588235294116</v>
      </c>
      <c r="P78" s="49">
        <f t="shared" si="13"/>
        <v>14.12329637737448</v>
      </c>
      <c r="R78" s="91">
        <v>-1.6045333056949733</v>
      </c>
      <c r="S78" s="91">
        <v>5.429827457475648</v>
      </c>
      <c r="T78" s="39" t="str">
        <f t="shared" si="16"/>
        <v>Normal</v>
      </c>
      <c r="U78" s="91">
        <v>-0.90875896776351162</v>
      </c>
      <c r="V78" s="91">
        <v>18.17386850234746</v>
      </c>
      <c r="W78" s="39" t="str">
        <f t="shared" si="14"/>
        <v>Normal</v>
      </c>
      <c r="X78" s="116">
        <v>-1.2592470460689176</v>
      </c>
      <c r="Y78" s="91">
        <v>10.397055672876462</v>
      </c>
      <c r="Z78" s="39" t="str">
        <f t="shared" si="15"/>
        <v>Bajo Peso</v>
      </c>
      <c r="AA78" s="11"/>
      <c r="AB78" s="11"/>
      <c r="AC78" s="39"/>
      <c r="AD78" s="33" t="s">
        <v>172</v>
      </c>
      <c r="AE78" s="33" t="s">
        <v>172</v>
      </c>
      <c r="AF78" s="33" t="s">
        <v>172</v>
      </c>
      <c r="AG78" s="33"/>
    </row>
    <row r="79" spans="1:38" ht="15.75" x14ac:dyDescent="0.25">
      <c r="A79" s="43" t="s">
        <v>706</v>
      </c>
      <c r="B79" s="43">
        <v>76</v>
      </c>
      <c r="C79" s="44" t="s">
        <v>563</v>
      </c>
      <c r="D79" s="33">
        <v>3</v>
      </c>
      <c r="E79" s="33" t="s">
        <v>26</v>
      </c>
      <c r="F79" s="33">
        <v>1</v>
      </c>
      <c r="G79" s="51">
        <v>41590</v>
      </c>
      <c r="H79" s="51">
        <v>44462</v>
      </c>
      <c r="I79" s="47">
        <f t="shared" si="9"/>
        <v>7</v>
      </c>
      <c r="J79" s="47">
        <f t="shared" si="10"/>
        <v>94</v>
      </c>
      <c r="K79" s="33">
        <v>27.5</v>
      </c>
      <c r="L79" s="33">
        <v>1.26</v>
      </c>
      <c r="M79" s="43">
        <f t="shared" si="11"/>
        <v>126</v>
      </c>
      <c r="N79" s="33">
        <f>107.5-40</f>
        <v>67.5</v>
      </c>
      <c r="O79" s="48">
        <f t="shared" si="12"/>
        <v>46.428571428571431</v>
      </c>
      <c r="P79" s="49">
        <f t="shared" si="13"/>
        <v>17.321743512219701</v>
      </c>
      <c r="R79" s="91">
        <v>-6.5141728859479109E-2</v>
      </c>
      <c r="S79" s="91">
        <v>47.403057807193534</v>
      </c>
      <c r="T79" s="39" t="str">
        <f t="shared" si="16"/>
        <v>Normal</v>
      </c>
      <c r="U79" s="91">
        <v>-0.59597362035337287</v>
      </c>
      <c r="V79" s="91">
        <v>27.559642482751105</v>
      </c>
      <c r="W79" s="39" t="str">
        <f t="shared" si="14"/>
        <v>Normal</v>
      </c>
      <c r="X79" s="116">
        <v>0.97663720212365124</v>
      </c>
      <c r="Y79" s="91">
        <v>83.56256027049686</v>
      </c>
      <c r="Z79" s="39" t="str">
        <f t="shared" si="15"/>
        <v>Normal</v>
      </c>
      <c r="AA79" s="11"/>
      <c r="AB79" s="11"/>
      <c r="AC79" s="39"/>
      <c r="AD79" s="33" t="s">
        <v>172</v>
      </c>
      <c r="AE79" s="33" t="s">
        <v>172</v>
      </c>
      <c r="AF79" s="33" t="s">
        <v>172</v>
      </c>
      <c r="AK79" s="110"/>
      <c r="AL79" s="110"/>
    </row>
    <row r="80" spans="1:38" ht="15.75" x14ac:dyDescent="0.25">
      <c r="A80" s="33" t="s">
        <v>705</v>
      </c>
      <c r="B80" s="43">
        <v>77</v>
      </c>
      <c r="C80" s="44" t="s">
        <v>797</v>
      </c>
      <c r="D80" s="33">
        <v>2</v>
      </c>
      <c r="E80" s="33" t="s">
        <v>7</v>
      </c>
      <c r="F80" s="33">
        <v>1</v>
      </c>
      <c r="G80" s="46">
        <v>41770</v>
      </c>
      <c r="H80" s="51">
        <v>44462</v>
      </c>
      <c r="I80" s="47">
        <f t="shared" si="9"/>
        <v>7</v>
      </c>
      <c r="J80" s="47">
        <f t="shared" si="10"/>
        <v>88</v>
      </c>
      <c r="K80" s="33">
        <v>26</v>
      </c>
      <c r="L80" s="33">
        <v>1.24</v>
      </c>
      <c r="M80" s="43">
        <f t="shared" si="11"/>
        <v>124</v>
      </c>
      <c r="N80" s="33">
        <f>107.8-40</f>
        <v>67.8</v>
      </c>
      <c r="O80" s="48">
        <f t="shared" si="12"/>
        <v>45.322580645161295</v>
      </c>
      <c r="P80" s="49">
        <f t="shared" si="13"/>
        <v>16.909469302809573</v>
      </c>
      <c r="R80" s="91">
        <v>7.2281137860061281E-2</v>
      </c>
      <c r="S80" s="91">
        <v>52.881091238243492</v>
      </c>
      <c r="T80" s="39" t="str">
        <f t="shared" si="16"/>
        <v>Normal</v>
      </c>
      <c r="U80" s="91">
        <v>-1.3284113585817752</v>
      </c>
      <c r="V80" s="91">
        <v>9.2021124555012737</v>
      </c>
      <c r="W80" s="39" t="str">
        <f t="shared" si="14"/>
        <v>Normal</v>
      </c>
      <c r="X80" s="116">
        <v>0.85436199457241113</v>
      </c>
      <c r="Y80" s="91">
        <v>80.354777646544306</v>
      </c>
      <c r="Z80" s="39" t="str">
        <f t="shared" si="15"/>
        <v>Normal</v>
      </c>
      <c r="AA80" s="11"/>
      <c r="AB80" s="11"/>
      <c r="AC80" s="39"/>
      <c r="AD80" s="33" t="s">
        <v>172</v>
      </c>
      <c r="AE80" s="33" t="s">
        <v>172</v>
      </c>
      <c r="AF80" s="33" t="s">
        <v>172</v>
      </c>
      <c r="AK80" s="110"/>
      <c r="AL80" s="110"/>
    </row>
    <row r="81" spans="1:38" ht="15.75" x14ac:dyDescent="0.25">
      <c r="A81" s="33" t="s">
        <v>705</v>
      </c>
      <c r="B81" s="43">
        <v>78</v>
      </c>
      <c r="C81" s="44" t="s">
        <v>765</v>
      </c>
      <c r="D81" s="43">
        <v>2</v>
      </c>
      <c r="E81" s="43" t="s">
        <v>7</v>
      </c>
      <c r="F81" s="43">
        <v>1</v>
      </c>
      <c r="G81" s="46">
        <v>41936</v>
      </c>
      <c r="H81" s="51">
        <v>44462</v>
      </c>
      <c r="I81" s="47">
        <f t="shared" si="9"/>
        <v>6</v>
      </c>
      <c r="J81" s="47">
        <f t="shared" si="10"/>
        <v>82</v>
      </c>
      <c r="K81" s="33">
        <v>24.1</v>
      </c>
      <c r="L81" s="33">
        <v>1.23</v>
      </c>
      <c r="M81" s="43">
        <f t="shared" si="11"/>
        <v>123</v>
      </c>
      <c r="N81" s="33">
        <f>104.5-40</f>
        <v>64.5</v>
      </c>
      <c r="O81" s="48">
        <f t="shared" si="12"/>
        <v>47.560975609756099</v>
      </c>
      <c r="P81" s="49">
        <f t="shared" si="13"/>
        <v>15.929671491836871</v>
      </c>
      <c r="R81" s="91">
        <v>0.42385206973847728</v>
      </c>
      <c r="S81" s="91">
        <v>66.416314939265675</v>
      </c>
      <c r="T81" s="39" t="str">
        <f t="shared" si="16"/>
        <v>Normal</v>
      </c>
      <c r="U81" s="91">
        <v>0.50545699537019351</v>
      </c>
      <c r="V81" s="91">
        <v>69.338105197802818</v>
      </c>
      <c r="W81" s="39" t="str">
        <f t="shared" si="14"/>
        <v>Normal</v>
      </c>
      <c r="X81" s="116">
        <v>0.33547573501428801</v>
      </c>
      <c r="Y81" s="91">
        <v>63.136687703922497</v>
      </c>
      <c r="Z81" s="39" t="str">
        <f t="shared" si="15"/>
        <v>Normal</v>
      </c>
      <c r="AA81" s="11"/>
      <c r="AB81" s="11"/>
      <c r="AC81" s="39"/>
      <c r="AD81" s="33" t="s">
        <v>172</v>
      </c>
      <c r="AE81" s="33" t="s">
        <v>172</v>
      </c>
      <c r="AF81" s="33" t="s">
        <v>172</v>
      </c>
      <c r="AK81" s="110"/>
      <c r="AL81" s="110"/>
    </row>
    <row r="82" spans="1:38" ht="15.75" x14ac:dyDescent="0.25">
      <c r="A82" s="33" t="s">
        <v>705</v>
      </c>
      <c r="B82" s="43">
        <v>79</v>
      </c>
      <c r="C82" s="44" t="s">
        <v>564</v>
      </c>
      <c r="D82" s="43">
        <v>2</v>
      </c>
      <c r="E82" s="43" t="s">
        <v>7</v>
      </c>
      <c r="F82" s="43">
        <v>1</v>
      </c>
      <c r="G82" s="51">
        <v>41925</v>
      </c>
      <c r="H82" s="51">
        <v>44462</v>
      </c>
      <c r="I82" s="47">
        <f t="shared" si="9"/>
        <v>6</v>
      </c>
      <c r="J82" s="47">
        <f t="shared" si="10"/>
        <v>83</v>
      </c>
      <c r="K82" s="33">
        <v>27.5</v>
      </c>
      <c r="L82" s="33">
        <v>1.2</v>
      </c>
      <c r="M82" s="43">
        <f t="shared" si="11"/>
        <v>120</v>
      </c>
      <c r="N82" s="33">
        <f>106-40</f>
        <v>66</v>
      </c>
      <c r="O82" s="48">
        <f t="shared" si="12"/>
        <v>45</v>
      </c>
      <c r="P82" s="49">
        <f t="shared" si="13"/>
        <v>19.097222222222221</v>
      </c>
      <c r="R82" s="91">
        <v>-0.23982833424249264</v>
      </c>
      <c r="S82" s="91">
        <v>40.523167017248106</v>
      </c>
      <c r="T82" s="39" t="str">
        <f t="shared" si="16"/>
        <v>Normal</v>
      </c>
      <c r="U82" s="91">
        <v>-1.1239650859487014</v>
      </c>
      <c r="V82" s="91">
        <v>13.051391891309095</v>
      </c>
      <c r="W82" s="39" t="str">
        <f t="shared" si="14"/>
        <v>Normal</v>
      </c>
      <c r="X82" s="116">
        <v>2.057867950685988</v>
      </c>
      <c r="Y82" s="91">
        <v>98.019859449147958</v>
      </c>
      <c r="Z82" s="39" t="str">
        <f t="shared" si="15"/>
        <v>Obesidad</v>
      </c>
      <c r="AA82" s="11"/>
      <c r="AB82" s="11"/>
      <c r="AC82" s="39"/>
      <c r="AD82" s="33" t="s">
        <v>172</v>
      </c>
      <c r="AE82" s="33" t="s">
        <v>172</v>
      </c>
      <c r="AF82" s="33" t="s">
        <v>172</v>
      </c>
      <c r="AK82" s="110"/>
      <c r="AL82" s="110"/>
    </row>
    <row r="83" spans="1:38" ht="15.75" x14ac:dyDescent="0.25">
      <c r="A83" s="33" t="s">
        <v>705</v>
      </c>
      <c r="B83" s="43">
        <v>80</v>
      </c>
      <c r="C83" s="44" t="s">
        <v>565</v>
      </c>
      <c r="D83" s="43">
        <v>2</v>
      </c>
      <c r="E83" s="43" t="s">
        <v>7</v>
      </c>
      <c r="F83" s="43">
        <v>2</v>
      </c>
      <c r="G83" s="46">
        <v>41684</v>
      </c>
      <c r="H83" s="51">
        <v>44462</v>
      </c>
      <c r="I83" s="47">
        <f t="shared" si="9"/>
        <v>7</v>
      </c>
      <c r="J83" s="47">
        <f t="shared" si="10"/>
        <v>91</v>
      </c>
      <c r="K83" s="33">
        <v>41</v>
      </c>
      <c r="L83" s="33">
        <v>1.33</v>
      </c>
      <c r="M83" s="43">
        <f t="shared" si="11"/>
        <v>133</v>
      </c>
      <c r="N83" s="33">
        <f>112.6-40</f>
        <v>72.599999999999994</v>
      </c>
      <c r="O83" s="48">
        <f t="shared" si="12"/>
        <v>45.413533834586474</v>
      </c>
      <c r="P83" s="49">
        <f t="shared" si="13"/>
        <v>23.178246367799197</v>
      </c>
      <c r="R83" s="91">
        <v>1.564148812738331</v>
      </c>
      <c r="S83" s="91">
        <v>94.110868754957878</v>
      </c>
      <c r="T83" s="39" t="str">
        <f t="shared" si="16"/>
        <v>Normal</v>
      </c>
      <c r="U83" s="91">
        <v>-1.5062503521426041</v>
      </c>
      <c r="V83" s="91">
        <v>6.6001458977757528</v>
      </c>
      <c r="W83" s="39" t="str">
        <f t="shared" si="14"/>
        <v>Normal</v>
      </c>
      <c r="X83" s="116">
        <v>2.7949559483125781</v>
      </c>
      <c r="Y83" s="91">
        <v>99.740466061777724</v>
      </c>
      <c r="Z83" s="39" t="str">
        <f t="shared" si="15"/>
        <v>Obesidad</v>
      </c>
      <c r="AA83" s="11"/>
      <c r="AB83" s="11"/>
      <c r="AC83" s="39"/>
      <c r="AD83" s="33" t="s">
        <v>172</v>
      </c>
      <c r="AE83" s="33" t="s">
        <v>172</v>
      </c>
      <c r="AF83" s="33" t="s">
        <v>172</v>
      </c>
      <c r="AK83" s="110"/>
      <c r="AL83" s="110"/>
    </row>
    <row r="84" spans="1:38" ht="15.75" x14ac:dyDescent="0.25">
      <c r="A84" s="33" t="s">
        <v>705</v>
      </c>
      <c r="B84" s="43">
        <v>81</v>
      </c>
      <c r="C84" s="44" t="s">
        <v>566</v>
      </c>
      <c r="D84" s="43">
        <v>2</v>
      </c>
      <c r="E84" s="43" t="s">
        <v>7</v>
      </c>
      <c r="F84" s="43">
        <v>2</v>
      </c>
      <c r="G84" s="51">
        <v>41888</v>
      </c>
      <c r="H84" s="51">
        <v>44462</v>
      </c>
      <c r="I84" s="47">
        <f t="shared" si="9"/>
        <v>7</v>
      </c>
      <c r="J84" s="47">
        <f t="shared" si="10"/>
        <v>84</v>
      </c>
      <c r="K84" s="33">
        <v>21.7</v>
      </c>
      <c r="L84" s="33">
        <v>1.1299999999999999</v>
      </c>
      <c r="M84" s="43">
        <f t="shared" si="11"/>
        <v>112.99999999999999</v>
      </c>
      <c r="N84" s="33">
        <f>101-40</f>
        <v>61</v>
      </c>
      <c r="O84" s="48">
        <f t="shared" si="12"/>
        <v>46.017699115044245</v>
      </c>
      <c r="P84" s="49">
        <f t="shared" si="13"/>
        <v>16.994283029211374</v>
      </c>
      <c r="R84" s="91">
        <v>-1.4287477893612748</v>
      </c>
      <c r="S84" s="91">
        <v>7.6538368399733461</v>
      </c>
      <c r="T84" s="39" t="str">
        <f t="shared" si="16"/>
        <v>Normal</v>
      </c>
      <c r="U84" s="91">
        <v>-1.0784942512943891</v>
      </c>
      <c r="V84" s="91">
        <v>14.04066229288255</v>
      </c>
      <c r="W84" s="39" t="str">
        <f t="shared" si="14"/>
        <v>Normal</v>
      </c>
      <c r="X84" s="116">
        <v>0.86032255718773021</v>
      </c>
      <c r="Y84" s="91">
        <v>80.519436906371865</v>
      </c>
      <c r="Z84" s="39" t="str">
        <f t="shared" si="15"/>
        <v>Normal</v>
      </c>
      <c r="AA84" s="11"/>
      <c r="AB84" s="11"/>
      <c r="AC84" s="39"/>
      <c r="AD84" s="33" t="s">
        <v>172</v>
      </c>
      <c r="AE84" s="33" t="s">
        <v>172</v>
      </c>
      <c r="AF84" s="33" t="s">
        <v>172</v>
      </c>
    </row>
    <row r="85" spans="1:38" ht="15.75" x14ac:dyDescent="0.25">
      <c r="A85" s="33" t="s">
        <v>705</v>
      </c>
      <c r="B85" s="43">
        <v>82</v>
      </c>
      <c r="C85" s="44" t="s">
        <v>567</v>
      </c>
      <c r="D85" s="43">
        <v>2</v>
      </c>
      <c r="E85" s="43" t="s">
        <v>7</v>
      </c>
      <c r="F85" s="43">
        <v>2</v>
      </c>
      <c r="G85" s="51">
        <v>41946</v>
      </c>
      <c r="H85" s="51">
        <v>44462</v>
      </c>
      <c r="I85" s="47">
        <f t="shared" si="9"/>
        <v>6</v>
      </c>
      <c r="J85" s="47">
        <f t="shared" si="10"/>
        <v>82</v>
      </c>
      <c r="K85" s="33">
        <v>21.6</v>
      </c>
      <c r="L85" s="33">
        <v>1.18</v>
      </c>
      <c r="M85" s="43">
        <f t="shared" si="11"/>
        <v>118</v>
      </c>
      <c r="N85" s="33">
        <f>105-40</f>
        <v>65</v>
      </c>
      <c r="O85" s="48">
        <f t="shared" si="12"/>
        <v>44.915254237288138</v>
      </c>
      <c r="P85" s="49">
        <f t="shared" si="13"/>
        <v>15.512783682849758</v>
      </c>
      <c r="R85" s="91">
        <v>-0.34465060142624099</v>
      </c>
      <c r="S85" s="91">
        <v>36.517852972022347</v>
      </c>
      <c r="T85" s="39" t="str">
        <f t="shared" si="16"/>
        <v>Normal</v>
      </c>
      <c r="U85" s="91">
        <v>-1.3537745906753984</v>
      </c>
      <c r="V85" s="91">
        <v>8.7904151261252839</v>
      </c>
      <c r="W85" s="39" t="str">
        <f t="shared" si="14"/>
        <v>Normal</v>
      </c>
      <c r="X85" s="116">
        <v>8.5274509209912946E-2</v>
      </c>
      <c r="Y85" s="91">
        <v>53.397842179723497</v>
      </c>
      <c r="Z85" s="39" t="str">
        <f t="shared" si="15"/>
        <v>Normal</v>
      </c>
      <c r="AA85" s="11"/>
      <c r="AB85" s="11"/>
      <c r="AC85" s="39"/>
      <c r="AD85" s="33" t="s">
        <v>172</v>
      </c>
      <c r="AE85" s="33" t="s">
        <v>172</v>
      </c>
      <c r="AF85" s="33" t="s">
        <v>172</v>
      </c>
    </row>
    <row r="86" spans="1:38" ht="15.75" x14ac:dyDescent="0.25">
      <c r="A86" s="33" t="s">
        <v>705</v>
      </c>
      <c r="B86" s="43">
        <v>83</v>
      </c>
      <c r="C86" s="44" t="s">
        <v>568</v>
      </c>
      <c r="D86" s="43">
        <v>2</v>
      </c>
      <c r="E86" s="43" t="s">
        <v>7</v>
      </c>
      <c r="F86" s="43">
        <v>2</v>
      </c>
      <c r="G86" s="46">
        <v>41752</v>
      </c>
      <c r="H86" s="51">
        <v>44462</v>
      </c>
      <c r="I86" s="47">
        <f t="shared" si="9"/>
        <v>7</v>
      </c>
      <c r="J86" s="47">
        <f t="shared" si="10"/>
        <v>89</v>
      </c>
      <c r="K86" s="33">
        <v>31.2</v>
      </c>
      <c r="L86" s="33">
        <v>1.19</v>
      </c>
      <c r="M86" s="43">
        <f t="shared" si="11"/>
        <v>119</v>
      </c>
      <c r="N86" s="33">
        <f>106-40</f>
        <v>66</v>
      </c>
      <c r="O86" s="48">
        <f t="shared" si="12"/>
        <v>44.537815126050425</v>
      </c>
      <c r="P86" s="49">
        <f t="shared" si="13"/>
        <v>22.032342348704187</v>
      </c>
      <c r="R86" s="91">
        <v>-0.74681185984923282</v>
      </c>
      <c r="S86" s="91">
        <v>22.758856781345909</v>
      </c>
      <c r="T86" s="39" t="str">
        <f t="shared" si="16"/>
        <v>Normal</v>
      </c>
      <c r="U86" s="91">
        <v>-2.137347450586748</v>
      </c>
      <c r="V86" s="91">
        <v>1.6284871065690674</v>
      </c>
      <c r="W86" s="39" t="str">
        <f t="shared" si="14"/>
        <v>Piernas cortas</v>
      </c>
      <c r="X86" s="116">
        <v>2.5642002996967124</v>
      </c>
      <c r="Y86" s="91">
        <v>99.48293076868903</v>
      </c>
      <c r="Z86" s="39" t="str">
        <f t="shared" si="15"/>
        <v>Obesidad</v>
      </c>
      <c r="AA86" s="11"/>
      <c r="AB86" s="11"/>
      <c r="AC86" s="39"/>
      <c r="AD86" s="33" t="s">
        <v>172</v>
      </c>
      <c r="AE86" s="33" t="s">
        <v>172</v>
      </c>
      <c r="AF86" s="33" t="s">
        <v>172</v>
      </c>
    </row>
    <row r="87" spans="1:38" ht="15.75" x14ac:dyDescent="0.25">
      <c r="A87" s="33" t="s">
        <v>705</v>
      </c>
      <c r="B87" s="65">
        <v>84</v>
      </c>
      <c r="C87" s="44" t="s">
        <v>569</v>
      </c>
      <c r="D87" s="43">
        <v>2</v>
      </c>
      <c r="E87" s="43" t="s">
        <v>173</v>
      </c>
      <c r="F87" s="43">
        <v>2</v>
      </c>
      <c r="G87" s="46">
        <v>41785</v>
      </c>
      <c r="H87" s="51">
        <v>44462</v>
      </c>
      <c r="I87" s="47">
        <f t="shared" si="9"/>
        <v>7</v>
      </c>
      <c r="J87" s="47">
        <f t="shared" si="10"/>
        <v>87</v>
      </c>
      <c r="K87" s="33">
        <v>22.6</v>
      </c>
      <c r="L87" s="33">
        <v>1.19</v>
      </c>
      <c r="M87" s="43">
        <f t="shared" si="11"/>
        <v>119</v>
      </c>
      <c r="N87" s="33">
        <f>105.6-40</f>
        <v>65.599999999999994</v>
      </c>
      <c r="O87" s="48">
        <f t="shared" si="12"/>
        <v>44.873949579831937</v>
      </c>
      <c r="P87" s="49">
        <f t="shared" si="13"/>
        <v>15.959324906433164</v>
      </c>
      <c r="R87" s="91">
        <v>-0.58247154436659376</v>
      </c>
      <c r="S87" s="91">
        <v>28.012455157564411</v>
      </c>
      <c r="T87" s="39" t="str">
        <f t="shared" si="16"/>
        <v>Normal</v>
      </c>
      <c r="U87" s="91">
        <v>-1.8935303808310331</v>
      </c>
      <c r="V87" s="91">
        <v>2.9143685976793465</v>
      </c>
      <c r="W87" s="39" t="str">
        <f t="shared" si="14"/>
        <v>Piernas cortas</v>
      </c>
      <c r="X87" s="116">
        <v>0.28655496791912788</v>
      </c>
      <c r="Y87" s="91">
        <v>61.27734503531633</v>
      </c>
      <c r="Z87" s="39" t="str">
        <f t="shared" si="15"/>
        <v>Normal</v>
      </c>
      <c r="AF87" s="41"/>
    </row>
    <row r="88" spans="1:38" ht="15.75" x14ac:dyDescent="0.25">
      <c r="A88" s="33" t="s">
        <v>705</v>
      </c>
      <c r="B88" s="43">
        <v>85</v>
      </c>
      <c r="C88" s="44" t="s">
        <v>570</v>
      </c>
      <c r="D88" s="43">
        <v>2</v>
      </c>
      <c r="E88" s="43" t="s">
        <v>7</v>
      </c>
      <c r="F88" s="43">
        <v>1</v>
      </c>
      <c r="G88" s="2">
        <v>41662</v>
      </c>
      <c r="H88" s="51">
        <v>44462</v>
      </c>
      <c r="I88" s="47">
        <f t="shared" si="9"/>
        <v>7</v>
      </c>
      <c r="J88" s="47">
        <f t="shared" si="10"/>
        <v>92</v>
      </c>
      <c r="K88" s="33">
        <v>23.4</v>
      </c>
      <c r="L88" s="1">
        <v>1.22</v>
      </c>
      <c r="M88" s="43">
        <f t="shared" si="11"/>
        <v>122</v>
      </c>
      <c r="N88" s="1">
        <f>107.2-40</f>
        <v>67.2</v>
      </c>
      <c r="O88" s="48">
        <f t="shared" si="12"/>
        <v>44.918032786885242</v>
      </c>
      <c r="P88" s="49">
        <f t="shared" si="13"/>
        <v>15.721580220370868</v>
      </c>
      <c r="R88" s="91">
        <v>-0.62496322156117412</v>
      </c>
      <c r="S88" s="91">
        <v>26.599759843552071</v>
      </c>
      <c r="T88" s="39" t="str">
        <f t="shared" si="16"/>
        <v>Normal</v>
      </c>
      <c r="U88" s="91">
        <v>-1.6011525987573034</v>
      </c>
      <c r="V88" s="91">
        <v>5.4671562324416483</v>
      </c>
      <c r="W88" s="39" t="str">
        <f t="shared" si="14"/>
        <v>Normal</v>
      </c>
      <c r="X88" s="116">
        <v>5.1618504342533969E-2</v>
      </c>
      <c r="Y88" s="91">
        <v>52.058366266910404</v>
      </c>
      <c r="Z88" s="39" t="str">
        <f t="shared" si="15"/>
        <v>Normal</v>
      </c>
    </row>
    <row r="89" spans="1:38" ht="15.75" x14ac:dyDescent="0.25">
      <c r="A89" s="33" t="s">
        <v>705</v>
      </c>
      <c r="B89" s="43">
        <v>86</v>
      </c>
      <c r="C89" s="44" t="s">
        <v>571</v>
      </c>
      <c r="D89" s="7">
        <v>2</v>
      </c>
      <c r="E89" s="7" t="s">
        <v>7</v>
      </c>
      <c r="F89" s="7">
        <v>1</v>
      </c>
      <c r="G89" s="2">
        <v>41981</v>
      </c>
      <c r="H89" s="51">
        <v>44462</v>
      </c>
      <c r="I89" s="47">
        <f t="shared" si="9"/>
        <v>6</v>
      </c>
      <c r="J89" s="47">
        <f t="shared" si="10"/>
        <v>81</v>
      </c>
      <c r="K89" s="1">
        <v>31.6</v>
      </c>
      <c r="L89" s="1">
        <v>1.23</v>
      </c>
      <c r="M89" s="43">
        <f t="shared" si="11"/>
        <v>123</v>
      </c>
      <c r="N89" s="1">
        <f>107-40</f>
        <v>67</v>
      </c>
      <c r="O89" s="48">
        <f t="shared" si="12"/>
        <v>45.528455284552841</v>
      </c>
      <c r="P89" s="49">
        <f t="shared" si="13"/>
        <v>20.887038138674072</v>
      </c>
      <c r="R89" s="91">
        <v>0.51810219721473039</v>
      </c>
      <c r="S89" s="91">
        <v>69.780651634261034</v>
      </c>
      <c r="T89" s="39" t="str">
        <f t="shared" si="16"/>
        <v>Normal</v>
      </c>
      <c r="U89" s="91">
        <v>-0.77962024952508646</v>
      </c>
      <c r="V89" s="91">
        <v>21.780721661183492</v>
      </c>
      <c r="W89" s="39" t="str">
        <f t="shared" si="14"/>
        <v>Normal</v>
      </c>
      <c r="X89" s="116">
        <v>2.838118184170829</v>
      </c>
      <c r="Y89" s="91">
        <v>99.773098117842139</v>
      </c>
      <c r="Z89" s="39" t="str">
        <f t="shared" si="15"/>
        <v>Obesidad</v>
      </c>
    </row>
    <row r="90" spans="1:38" ht="15.75" x14ac:dyDescent="0.25">
      <c r="A90" s="33" t="s">
        <v>705</v>
      </c>
      <c r="B90" s="43">
        <v>87</v>
      </c>
      <c r="C90" s="44" t="s">
        <v>572</v>
      </c>
      <c r="D90" s="7">
        <v>2</v>
      </c>
      <c r="E90" s="7" t="s">
        <v>7</v>
      </c>
      <c r="F90" s="7">
        <v>2</v>
      </c>
      <c r="G90" s="46">
        <v>41926</v>
      </c>
      <c r="H90" s="51">
        <v>44462</v>
      </c>
      <c r="I90" s="47">
        <f t="shared" si="9"/>
        <v>6</v>
      </c>
      <c r="J90" s="47">
        <f t="shared" si="10"/>
        <v>83</v>
      </c>
      <c r="K90" s="1">
        <v>16.899999999999999</v>
      </c>
      <c r="L90" s="1">
        <v>1.06</v>
      </c>
      <c r="M90" s="43">
        <f t="shared" si="11"/>
        <v>106</v>
      </c>
      <c r="N90" s="1">
        <f>96-40</f>
        <v>56</v>
      </c>
      <c r="O90" s="48">
        <f t="shared" si="12"/>
        <v>47.169811320754718</v>
      </c>
      <c r="P90" s="49">
        <f t="shared" si="13"/>
        <v>15.040939836240652</v>
      </c>
      <c r="R90" s="91">
        <v>-2.6359146453575364</v>
      </c>
      <c r="S90" s="91">
        <v>0.41955417875598627</v>
      </c>
      <c r="T90" s="39" t="str">
        <f t="shared" si="16"/>
        <v>Desnutricion</v>
      </c>
      <c r="U90" s="91">
        <v>0.17921892315666321</v>
      </c>
      <c r="V90" s="91">
        <v>57.11170971264815</v>
      </c>
      <c r="W90" s="39" t="str">
        <f t="shared" si="14"/>
        <v>Normal</v>
      </c>
      <c r="X90" s="116">
        <v>-0.21568779489198964</v>
      </c>
      <c r="Y90" s="91">
        <v>41.461555778459271</v>
      </c>
      <c r="Z90" s="39" t="str">
        <f t="shared" si="15"/>
        <v>Normal</v>
      </c>
    </row>
    <row r="91" spans="1:38" ht="15.75" x14ac:dyDescent="0.25">
      <c r="A91" s="33" t="s">
        <v>705</v>
      </c>
      <c r="B91" s="43">
        <v>88</v>
      </c>
      <c r="C91" s="44" t="s">
        <v>573</v>
      </c>
      <c r="D91" s="7">
        <v>2</v>
      </c>
      <c r="E91" s="7" t="s">
        <v>7</v>
      </c>
      <c r="F91" s="7">
        <v>2</v>
      </c>
      <c r="G91" s="2">
        <v>41681</v>
      </c>
      <c r="H91" s="51">
        <v>44462</v>
      </c>
      <c r="I91" s="47">
        <f t="shared" si="9"/>
        <v>7</v>
      </c>
      <c r="J91" s="47">
        <f t="shared" si="10"/>
        <v>91</v>
      </c>
      <c r="K91" s="1">
        <v>31.4</v>
      </c>
      <c r="L91" s="1">
        <v>1.33</v>
      </c>
      <c r="M91" s="43">
        <f t="shared" si="11"/>
        <v>133</v>
      </c>
      <c r="N91" s="1">
        <f>110.7-40</f>
        <v>70.7</v>
      </c>
      <c r="O91" s="48">
        <f t="shared" si="12"/>
        <v>46.84210526315789</v>
      </c>
      <c r="P91" s="49">
        <f t="shared" si="13"/>
        <v>17.751144779241333</v>
      </c>
      <c r="R91" s="91">
        <v>1.564148812738331</v>
      </c>
      <c r="S91" s="91">
        <v>94.110868754957878</v>
      </c>
      <c r="T91" s="39" t="str">
        <f t="shared" si="16"/>
        <v>Normal</v>
      </c>
      <c r="U91" s="91">
        <v>-0.50452567228027023</v>
      </c>
      <c r="V91" s="91">
        <v>30.694601323155112</v>
      </c>
      <c r="W91" s="39" t="str">
        <f t="shared" si="14"/>
        <v>Normal</v>
      </c>
      <c r="X91" s="116">
        <v>1.0975521583816386</v>
      </c>
      <c r="Y91" s="91">
        <v>86.379995337175473</v>
      </c>
      <c r="Z91" s="39" t="str">
        <f t="shared" si="15"/>
        <v>Obesidad</v>
      </c>
    </row>
    <row r="92" spans="1:38" ht="15.75" x14ac:dyDescent="0.25">
      <c r="A92" s="33" t="s">
        <v>705</v>
      </c>
      <c r="B92" s="43">
        <v>89</v>
      </c>
      <c r="C92" s="44" t="s">
        <v>574</v>
      </c>
      <c r="D92" s="7">
        <v>2</v>
      </c>
      <c r="E92" s="7" t="s">
        <v>7</v>
      </c>
      <c r="F92" s="7">
        <v>2</v>
      </c>
      <c r="G92" s="2">
        <v>41664</v>
      </c>
      <c r="H92" s="51">
        <v>44462</v>
      </c>
      <c r="I92" s="47">
        <f t="shared" si="9"/>
        <v>7</v>
      </c>
      <c r="J92" s="47">
        <f t="shared" si="10"/>
        <v>91</v>
      </c>
      <c r="K92" s="1">
        <v>31.9</v>
      </c>
      <c r="L92" s="1">
        <v>1.21</v>
      </c>
      <c r="M92" s="43">
        <f t="shared" si="11"/>
        <v>121</v>
      </c>
      <c r="N92" s="1">
        <f>107.5-40</f>
        <v>67.5</v>
      </c>
      <c r="O92" s="48">
        <f t="shared" si="12"/>
        <v>44.214876033057855</v>
      </c>
      <c r="P92" s="49">
        <f t="shared" si="13"/>
        <v>21.788129226145756</v>
      </c>
      <c r="R92" s="91">
        <v>-0.55517436829932187</v>
      </c>
      <c r="S92" s="91">
        <v>28.938769953683675</v>
      </c>
      <c r="T92" s="39" t="str">
        <f t="shared" si="16"/>
        <v>Normal</v>
      </c>
      <c r="U92" s="91">
        <v>-2.3734794490320406</v>
      </c>
      <c r="V92" s="91">
        <v>0.88106868151052087</v>
      </c>
      <c r="W92" s="39" t="str">
        <f t="shared" si="14"/>
        <v>Piernas cortas</v>
      </c>
      <c r="X92" s="116">
        <v>2.4536041115797897</v>
      </c>
      <c r="Y92" s="91">
        <v>99.292837041905429</v>
      </c>
      <c r="Z92" s="39" t="str">
        <f t="shared" si="15"/>
        <v>Obesidad</v>
      </c>
    </row>
    <row r="93" spans="1:38" ht="15.75" x14ac:dyDescent="0.25">
      <c r="A93" s="33" t="s">
        <v>705</v>
      </c>
      <c r="B93" s="43">
        <v>90</v>
      </c>
      <c r="C93" s="44" t="s">
        <v>575</v>
      </c>
      <c r="D93" s="7">
        <v>2</v>
      </c>
      <c r="E93" s="7" t="s">
        <v>7</v>
      </c>
      <c r="F93" s="7">
        <v>2</v>
      </c>
      <c r="G93" s="2">
        <v>41897</v>
      </c>
      <c r="H93" s="51">
        <v>44462</v>
      </c>
      <c r="I93" s="47">
        <f t="shared" si="9"/>
        <v>7</v>
      </c>
      <c r="J93" s="47">
        <f t="shared" si="10"/>
        <v>84</v>
      </c>
      <c r="K93" s="1">
        <v>32.4</v>
      </c>
      <c r="L93" s="1">
        <v>1.32</v>
      </c>
      <c r="M93" s="43">
        <f t="shared" si="11"/>
        <v>132</v>
      </c>
      <c r="N93" s="1">
        <f>111.5-40</f>
        <v>71.5</v>
      </c>
      <c r="O93" s="48">
        <f t="shared" si="12"/>
        <v>45.833333333333329</v>
      </c>
      <c r="P93" s="49">
        <f t="shared" si="13"/>
        <v>18.595041322314046</v>
      </c>
      <c r="R93" s="91">
        <v>2.0468565890862207</v>
      </c>
      <c r="S93" s="91">
        <v>97.966391625281545</v>
      </c>
      <c r="T93" s="39" t="str">
        <f t="shared" si="16"/>
        <v>Alto</v>
      </c>
      <c r="U93" s="91">
        <v>-1.2083788178027466</v>
      </c>
      <c r="V93" s="91">
        <v>11.345079184732208</v>
      </c>
      <c r="W93" s="39" t="str">
        <f t="shared" si="14"/>
        <v>Normal</v>
      </c>
      <c r="X93" s="116">
        <v>1.5603653607096559</v>
      </c>
      <c r="Y93" s="91">
        <v>94.066321713710337</v>
      </c>
      <c r="Z93" s="39" t="str">
        <f t="shared" si="15"/>
        <v>Obesidad</v>
      </c>
    </row>
    <row r="94" spans="1:38" ht="15.75" x14ac:dyDescent="0.25">
      <c r="A94" s="33" t="s">
        <v>705</v>
      </c>
      <c r="B94" s="43">
        <v>91</v>
      </c>
      <c r="C94" s="44" t="s">
        <v>576</v>
      </c>
      <c r="D94" s="7">
        <v>2</v>
      </c>
      <c r="E94" s="7" t="s">
        <v>7</v>
      </c>
      <c r="F94" s="7">
        <v>2</v>
      </c>
      <c r="G94" s="46">
        <v>41934</v>
      </c>
      <c r="H94" s="51">
        <v>44462</v>
      </c>
      <c r="I94" s="47">
        <f t="shared" si="9"/>
        <v>6</v>
      </c>
      <c r="J94" s="47">
        <f t="shared" si="10"/>
        <v>83</v>
      </c>
      <c r="K94" s="1">
        <v>23.7</v>
      </c>
      <c r="L94" s="1">
        <v>1.24</v>
      </c>
      <c r="M94" s="43">
        <f t="shared" si="11"/>
        <v>124</v>
      </c>
      <c r="N94" s="1">
        <f>106-40</f>
        <v>66</v>
      </c>
      <c r="O94" s="48">
        <f t="shared" si="12"/>
        <v>46.774193548387096</v>
      </c>
      <c r="P94" s="49">
        <f t="shared" si="13"/>
        <v>15.413631633714878</v>
      </c>
      <c r="R94" s="91">
        <v>0.67336483463434915</v>
      </c>
      <c r="S94" s="91">
        <v>74.964239261456484</v>
      </c>
      <c r="T94" s="39" t="str">
        <f t="shared" si="16"/>
        <v>Normal</v>
      </c>
      <c r="U94" s="91">
        <v>-8.3948597728730701E-2</v>
      </c>
      <c r="V94" s="91">
        <v>46.654865024873736</v>
      </c>
      <c r="W94" s="39" t="str">
        <f t="shared" si="14"/>
        <v>Normal</v>
      </c>
      <c r="X94" s="116">
        <v>1.6083636545629599E-2</v>
      </c>
      <c r="Y94" s="91">
        <v>50.641616601356674</v>
      </c>
      <c r="Z94" s="39" t="str">
        <f t="shared" si="15"/>
        <v>Normal</v>
      </c>
    </row>
    <row r="95" spans="1:38" ht="15.75" x14ac:dyDescent="0.25">
      <c r="A95" s="33" t="s">
        <v>705</v>
      </c>
      <c r="B95" s="43">
        <v>92</v>
      </c>
      <c r="C95" s="50" t="s">
        <v>577</v>
      </c>
      <c r="D95" s="1">
        <v>2</v>
      </c>
      <c r="E95" s="1" t="s">
        <v>26</v>
      </c>
      <c r="F95" s="1">
        <v>2</v>
      </c>
      <c r="G95" s="46">
        <v>41823</v>
      </c>
      <c r="H95" s="51">
        <v>44462</v>
      </c>
      <c r="I95" s="47">
        <f t="shared" si="9"/>
        <v>7</v>
      </c>
      <c r="J95" s="47">
        <f t="shared" si="10"/>
        <v>86</v>
      </c>
      <c r="K95" s="1">
        <v>27.4</v>
      </c>
      <c r="L95" s="1">
        <v>1.33</v>
      </c>
      <c r="M95" s="43">
        <f t="shared" si="11"/>
        <v>133</v>
      </c>
      <c r="N95" s="1">
        <f>109-40</f>
        <v>69</v>
      </c>
      <c r="O95" s="48">
        <f t="shared" si="12"/>
        <v>48.120300751879697</v>
      </c>
      <c r="P95" s="49">
        <f t="shared" si="13"/>
        <v>15.48985245067556</v>
      </c>
      <c r="R95" s="91">
        <v>2.0353705655043459</v>
      </c>
      <c r="S95" s="91">
        <v>97.909319963934635</v>
      </c>
      <c r="T95" s="39" t="str">
        <f t="shared" si="16"/>
        <v>Alto</v>
      </c>
      <c r="U95" s="91">
        <v>0.36407348162629055</v>
      </c>
      <c r="V95" s="91">
        <v>64.209843074619485</v>
      </c>
      <c r="W95" s="39" t="str">
        <f t="shared" si="14"/>
        <v>Normal</v>
      </c>
      <c r="X95" s="116">
        <v>2.9863273406310602E-2</v>
      </c>
      <c r="Y95" s="91">
        <v>51.191195182357298</v>
      </c>
      <c r="Z95" s="39" t="str">
        <f t="shared" si="15"/>
        <v>Normal</v>
      </c>
    </row>
    <row r="96" spans="1:38" ht="15.75" x14ac:dyDescent="0.25">
      <c r="A96" s="33" t="s">
        <v>705</v>
      </c>
      <c r="B96" s="43">
        <v>93</v>
      </c>
      <c r="C96" s="50" t="s">
        <v>578</v>
      </c>
      <c r="D96" s="1">
        <v>2</v>
      </c>
      <c r="E96" s="1" t="s">
        <v>26</v>
      </c>
      <c r="F96" s="1">
        <v>1</v>
      </c>
      <c r="G96" s="6">
        <v>41786</v>
      </c>
      <c r="H96" s="51">
        <v>44462</v>
      </c>
      <c r="I96" s="47">
        <f t="shared" si="9"/>
        <v>7</v>
      </c>
      <c r="J96" s="47">
        <f t="shared" si="10"/>
        <v>87</v>
      </c>
      <c r="K96" s="1">
        <v>22</v>
      </c>
      <c r="L96" s="1">
        <v>1.17</v>
      </c>
      <c r="M96" s="43">
        <f t="shared" si="11"/>
        <v>117</v>
      </c>
      <c r="N96" s="1">
        <f>103-40</f>
        <v>63</v>
      </c>
      <c r="O96" s="48">
        <f t="shared" si="12"/>
        <v>46.153846153846153</v>
      </c>
      <c r="P96" s="49">
        <f t="shared" si="13"/>
        <v>16.071298122580178</v>
      </c>
      <c r="R96" s="91">
        <v>-1.1425634765452815</v>
      </c>
      <c r="S96" s="91">
        <v>12.660993851236407</v>
      </c>
      <c r="T96" s="39" t="str">
        <f t="shared" si="16"/>
        <v>Normal</v>
      </c>
      <c r="U96" s="91">
        <v>-0.77613743824663461</v>
      </c>
      <c r="V96" s="91">
        <v>21.88339202569292</v>
      </c>
      <c r="W96" s="39" t="str">
        <f t="shared" si="14"/>
        <v>Normal</v>
      </c>
      <c r="X96" s="116">
        <v>0.35798053615115666</v>
      </c>
      <c r="Y96" s="91">
        <v>63.98210602336313</v>
      </c>
      <c r="Z96" s="39" t="str">
        <f t="shared" si="15"/>
        <v>Normal</v>
      </c>
    </row>
    <row r="97" spans="1:26" ht="15.75" x14ac:dyDescent="0.25">
      <c r="A97" s="33" t="s">
        <v>705</v>
      </c>
      <c r="B97" s="43">
        <v>94</v>
      </c>
      <c r="C97" s="50" t="s">
        <v>579</v>
      </c>
      <c r="D97" s="1">
        <v>2</v>
      </c>
      <c r="E97" s="1" t="s">
        <v>26</v>
      </c>
      <c r="F97" s="1">
        <v>1</v>
      </c>
      <c r="G97" s="6">
        <v>41957</v>
      </c>
      <c r="H97" s="51">
        <v>44462</v>
      </c>
      <c r="I97" s="47">
        <f t="shared" si="9"/>
        <v>6</v>
      </c>
      <c r="J97" s="47">
        <f t="shared" si="10"/>
        <v>82</v>
      </c>
      <c r="K97" s="1">
        <v>24.9</v>
      </c>
      <c r="L97" s="1">
        <v>1.23</v>
      </c>
      <c r="M97" s="43">
        <f t="shared" si="11"/>
        <v>123</v>
      </c>
      <c r="N97" s="1">
        <f>107-40</f>
        <v>67</v>
      </c>
      <c r="O97" s="48">
        <f t="shared" si="12"/>
        <v>45.528455284552841</v>
      </c>
      <c r="P97" s="49">
        <f t="shared" si="13"/>
        <v>16.458457267499504</v>
      </c>
      <c r="R97" s="91">
        <v>0.42385206973847728</v>
      </c>
      <c r="S97" s="91">
        <v>66.416314939265675</v>
      </c>
      <c r="T97" s="39" t="str">
        <f t="shared" si="16"/>
        <v>Normal</v>
      </c>
      <c r="U97" s="91">
        <v>-0.77962024952508646</v>
      </c>
      <c r="V97" s="91">
        <v>21.780721661183492</v>
      </c>
      <c r="W97" s="39" t="str">
        <f t="shared" si="14"/>
        <v>Normal</v>
      </c>
      <c r="X97" s="116">
        <v>0.67839148383062808</v>
      </c>
      <c r="Y97" s="91">
        <v>75.123824634978135</v>
      </c>
      <c r="Z97" s="39" t="str">
        <f t="shared" si="15"/>
        <v>Normal</v>
      </c>
    </row>
    <row r="98" spans="1:26" ht="15.75" x14ac:dyDescent="0.25">
      <c r="A98" s="33" t="s">
        <v>705</v>
      </c>
      <c r="B98" s="43">
        <v>95</v>
      </c>
      <c r="C98" s="50" t="s">
        <v>580</v>
      </c>
      <c r="D98" s="1">
        <v>2</v>
      </c>
      <c r="E98" s="1" t="s">
        <v>26</v>
      </c>
      <c r="F98" s="1">
        <v>1</v>
      </c>
      <c r="G98" s="6">
        <v>41773</v>
      </c>
      <c r="H98" s="51">
        <v>44462</v>
      </c>
      <c r="I98" s="47">
        <f t="shared" si="9"/>
        <v>7</v>
      </c>
      <c r="J98" s="47">
        <f t="shared" si="10"/>
        <v>88</v>
      </c>
      <c r="K98" s="1">
        <v>20.399999999999999</v>
      </c>
      <c r="L98" s="1">
        <v>1.19</v>
      </c>
      <c r="M98" s="43">
        <f t="shared" si="11"/>
        <v>119</v>
      </c>
      <c r="N98" s="1">
        <f>101.6-40</f>
        <v>61.599999999999994</v>
      </c>
      <c r="O98" s="48">
        <f t="shared" si="12"/>
        <v>48.235294117647065</v>
      </c>
      <c r="P98" s="49">
        <f t="shared" si="13"/>
        <v>14.405762304921968</v>
      </c>
      <c r="R98" s="91">
        <v>-0.85250312339965584</v>
      </c>
      <c r="S98" s="91">
        <v>19.696745309378297</v>
      </c>
      <c r="T98" s="39" t="str">
        <f t="shared" si="16"/>
        <v>Normal</v>
      </c>
      <c r="U98" s="91">
        <v>0.56092598398245996</v>
      </c>
      <c r="V98" s="91">
        <v>71.257600217759887</v>
      </c>
      <c r="W98" s="39" t="str">
        <f t="shared" si="14"/>
        <v>Normal</v>
      </c>
      <c r="X98" s="116">
        <v>-0.88134459028451351</v>
      </c>
      <c r="Y98" s="91">
        <v>18.906566920502662</v>
      </c>
      <c r="Z98" s="39" t="str">
        <f t="shared" si="15"/>
        <v>Normal</v>
      </c>
    </row>
    <row r="99" spans="1:26" ht="15.75" x14ac:dyDescent="0.25">
      <c r="A99" s="33" t="s">
        <v>705</v>
      </c>
      <c r="B99" s="43">
        <v>96</v>
      </c>
      <c r="C99" s="50" t="s">
        <v>581</v>
      </c>
      <c r="D99" s="1">
        <v>2</v>
      </c>
      <c r="E99" s="1" t="s">
        <v>26</v>
      </c>
      <c r="F99" s="1">
        <v>1</v>
      </c>
      <c r="G99" s="46">
        <v>41809</v>
      </c>
      <c r="H99" s="51">
        <v>44462</v>
      </c>
      <c r="I99" s="47">
        <f t="shared" si="9"/>
        <v>7</v>
      </c>
      <c r="J99" s="47">
        <f t="shared" si="10"/>
        <v>87</v>
      </c>
      <c r="K99" s="1">
        <v>31.1</v>
      </c>
      <c r="L99" s="1">
        <v>1.27</v>
      </c>
      <c r="M99" s="43">
        <f t="shared" si="11"/>
        <v>127</v>
      </c>
      <c r="N99" s="1">
        <f>110-40</f>
        <v>70</v>
      </c>
      <c r="O99" s="48">
        <f t="shared" si="12"/>
        <v>44.881889763779526</v>
      </c>
      <c r="P99" s="49">
        <f t="shared" si="13"/>
        <v>19.28203856407713</v>
      </c>
      <c r="R99" s="91">
        <v>0.71741060173254012</v>
      </c>
      <c r="S99" s="91">
        <v>76.343961004076704</v>
      </c>
      <c r="T99" s="39" t="str">
        <f t="shared" si="16"/>
        <v>Normal</v>
      </c>
      <c r="U99" s="91">
        <v>-1.6256487054302686</v>
      </c>
      <c r="V99" s="91">
        <v>5.2012203881254448</v>
      </c>
      <c r="W99" s="39" t="str">
        <f t="shared" si="14"/>
        <v>Normal</v>
      </c>
      <c r="X99" s="116">
        <v>2.0491326953762692</v>
      </c>
      <c r="Y99" s="91">
        <v>97.977542941423152</v>
      </c>
      <c r="Z99" s="39" t="str">
        <f t="shared" si="15"/>
        <v>Obesidad</v>
      </c>
    </row>
    <row r="100" spans="1:26" ht="15.75" x14ac:dyDescent="0.25">
      <c r="A100" s="33" t="s">
        <v>705</v>
      </c>
      <c r="B100" s="43">
        <v>97</v>
      </c>
      <c r="C100" s="50" t="s">
        <v>582</v>
      </c>
      <c r="D100" s="1">
        <v>2</v>
      </c>
      <c r="E100" s="1" t="s">
        <v>26</v>
      </c>
      <c r="F100" s="1">
        <v>1</v>
      </c>
      <c r="G100" s="6">
        <v>41682</v>
      </c>
      <c r="H100" s="51">
        <v>44462</v>
      </c>
      <c r="I100" s="47">
        <f t="shared" ref="I100:I131" si="17">DATEDIF(G100,H100,"y")</f>
        <v>7</v>
      </c>
      <c r="J100" s="47">
        <f t="shared" si="10"/>
        <v>91</v>
      </c>
      <c r="K100" s="1">
        <v>22.1</v>
      </c>
      <c r="L100" s="1">
        <v>1.24</v>
      </c>
      <c r="M100" s="43">
        <f t="shared" si="11"/>
        <v>124</v>
      </c>
      <c r="N100" s="1">
        <f>108.3-40</f>
        <v>68.3</v>
      </c>
      <c r="O100" s="48">
        <f t="shared" si="12"/>
        <v>44.91935483870968</v>
      </c>
      <c r="P100" s="49">
        <f t="shared" si="13"/>
        <v>14.373048907388137</v>
      </c>
      <c r="R100" s="91">
        <v>-0.18125124095433801</v>
      </c>
      <c r="S100" s="91">
        <v>42.808518806493105</v>
      </c>
      <c r="T100" s="39" t="str">
        <f t="shared" si="16"/>
        <v>Normal</v>
      </c>
      <c r="U100" s="91">
        <v>-1.6002569752093097</v>
      </c>
      <c r="V100" s="91">
        <v>5.4770793654197512</v>
      </c>
      <c r="W100" s="39" t="str">
        <f t="shared" si="14"/>
        <v>Normal</v>
      </c>
      <c r="X100" s="116">
        <v>-0.94798076488538952</v>
      </c>
      <c r="Y100" s="91">
        <v>17.156962328403015</v>
      </c>
      <c r="Z100" s="39" t="str">
        <f t="shared" si="15"/>
        <v>Normal</v>
      </c>
    </row>
    <row r="101" spans="1:26" ht="15.75" x14ac:dyDescent="0.25">
      <c r="A101" s="33" t="s">
        <v>705</v>
      </c>
      <c r="B101" s="43">
        <v>98</v>
      </c>
      <c r="C101" s="50" t="s">
        <v>583</v>
      </c>
      <c r="D101" s="1">
        <v>2</v>
      </c>
      <c r="E101" s="1" t="s">
        <v>26</v>
      </c>
      <c r="F101" s="1">
        <v>1</v>
      </c>
      <c r="G101" s="46">
        <v>41655</v>
      </c>
      <c r="H101" s="51">
        <v>44462</v>
      </c>
      <c r="I101" s="47">
        <f t="shared" si="17"/>
        <v>7</v>
      </c>
      <c r="J101" s="47">
        <f t="shared" si="10"/>
        <v>92</v>
      </c>
      <c r="K101" s="1">
        <v>21.3</v>
      </c>
      <c r="L101" s="1">
        <v>1.19</v>
      </c>
      <c r="M101" s="43">
        <f t="shared" si="11"/>
        <v>119</v>
      </c>
      <c r="N101" s="1">
        <f>105.8-40</f>
        <v>65.8</v>
      </c>
      <c r="O101" s="48">
        <f t="shared" si="12"/>
        <v>44.705882352941181</v>
      </c>
      <c r="P101" s="49">
        <f t="shared" si="13"/>
        <v>15.041310641903822</v>
      </c>
      <c r="R101" s="91">
        <v>-1.1677015815795611</v>
      </c>
      <c r="S101" s="91">
        <v>12.146357931326019</v>
      </c>
      <c r="T101" s="39" t="str">
        <f t="shared" si="16"/>
        <v>Normal</v>
      </c>
      <c r="U101" s="91">
        <v>-1.7452436849849895</v>
      </c>
      <c r="V101" s="91">
        <v>4.0471229997195977</v>
      </c>
      <c r="W101" s="39" t="str">
        <f t="shared" si="14"/>
        <v>Piernas cortas</v>
      </c>
      <c r="X101" s="116">
        <v>-0.43225534373682856</v>
      </c>
      <c r="Y101" s="91">
        <v>33.27779197333944</v>
      </c>
      <c r="Z101" s="39" t="str">
        <f t="shared" si="15"/>
        <v>Normal</v>
      </c>
    </row>
    <row r="102" spans="1:26" ht="15.75" x14ac:dyDescent="0.25">
      <c r="A102" s="33" t="s">
        <v>705</v>
      </c>
      <c r="B102" s="43">
        <v>99</v>
      </c>
      <c r="C102" s="50" t="s">
        <v>584</v>
      </c>
      <c r="D102" s="1">
        <v>2</v>
      </c>
      <c r="E102" s="1" t="s">
        <v>26</v>
      </c>
      <c r="F102" s="1">
        <v>1</v>
      </c>
      <c r="G102" s="6">
        <v>42239</v>
      </c>
      <c r="H102" s="51">
        <v>44462</v>
      </c>
      <c r="I102" s="47">
        <f t="shared" si="17"/>
        <v>6</v>
      </c>
      <c r="J102" s="47">
        <f t="shared" si="10"/>
        <v>73</v>
      </c>
      <c r="K102" s="1">
        <v>23.5</v>
      </c>
      <c r="L102" s="1">
        <v>1.2</v>
      </c>
      <c r="M102" s="43">
        <f t="shared" si="11"/>
        <v>120</v>
      </c>
      <c r="N102" s="1">
        <f>106.2-40</f>
        <v>66.2</v>
      </c>
      <c r="O102" s="48">
        <f t="shared" si="12"/>
        <v>44.833333333333329</v>
      </c>
      <c r="P102" s="49">
        <f t="shared" si="13"/>
        <v>16.319444444444446</v>
      </c>
      <c r="R102" s="91">
        <v>0.71753264286939189</v>
      </c>
      <c r="S102" s="91">
        <v>76.347724889512008</v>
      </c>
      <c r="T102" s="39" t="str">
        <f t="shared" si="16"/>
        <v>Normal</v>
      </c>
      <c r="U102" s="91">
        <v>-1.2334782503873891</v>
      </c>
      <c r="V102" s="91">
        <v>10.869869319235935</v>
      </c>
      <c r="W102" s="39" t="str">
        <f t="shared" si="14"/>
        <v>Normal</v>
      </c>
      <c r="X102" s="116">
        <v>0.70491071517428372</v>
      </c>
      <c r="Y102" s="91">
        <v>75.956709926115522</v>
      </c>
      <c r="Z102" s="39" t="str">
        <f t="shared" si="15"/>
        <v>Normal</v>
      </c>
    </row>
    <row r="103" spans="1:26" ht="15.75" x14ac:dyDescent="0.25">
      <c r="A103" s="33" t="s">
        <v>705</v>
      </c>
      <c r="B103" s="43">
        <v>100</v>
      </c>
      <c r="C103" s="50" t="s">
        <v>585</v>
      </c>
      <c r="D103" s="1">
        <v>2</v>
      </c>
      <c r="E103" s="1" t="s">
        <v>26</v>
      </c>
      <c r="F103" s="1">
        <v>1</v>
      </c>
      <c r="G103" s="6">
        <v>41925</v>
      </c>
      <c r="H103" s="51">
        <v>44462</v>
      </c>
      <c r="I103" s="47">
        <f t="shared" si="17"/>
        <v>6</v>
      </c>
      <c r="J103" s="47">
        <f t="shared" si="10"/>
        <v>83</v>
      </c>
      <c r="K103" s="1">
        <v>22.6</v>
      </c>
      <c r="L103" s="1">
        <v>1.2</v>
      </c>
      <c r="M103" s="43">
        <f t="shared" si="11"/>
        <v>120</v>
      </c>
      <c r="N103" s="1">
        <f>104.5-40</f>
        <v>64.5</v>
      </c>
      <c r="O103" s="48">
        <f t="shared" si="12"/>
        <v>46.25</v>
      </c>
      <c r="P103" s="49">
        <f t="shared" si="13"/>
        <v>15.694444444444446</v>
      </c>
      <c r="R103" s="91">
        <v>-0.23982833424249264</v>
      </c>
      <c r="S103" s="91">
        <v>40.523167017248106</v>
      </c>
      <c r="T103" s="39" t="str">
        <f t="shared" si="16"/>
        <v>Normal</v>
      </c>
      <c r="U103" s="91">
        <v>-0.31640576377336022</v>
      </c>
      <c r="V103" s="91">
        <v>37.584727133249544</v>
      </c>
      <c r="W103" s="39" t="str">
        <f t="shared" si="14"/>
        <v>Normal</v>
      </c>
      <c r="X103" s="116">
        <v>0.16157661085412248</v>
      </c>
      <c r="Y103" s="91">
        <v>56.418036145160769</v>
      </c>
      <c r="Z103" s="39" t="str">
        <f t="shared" si="15"/>
        <v>Normal</v>
      </c>
    </row>
    <row r="104" spans="1:26" ht="15.75" x14ac:dyDescent="0.25">
      <c r="A104" s="33" t="s">
        <v>705</v>
      </c>
      <c r="B104" s="43">
        <v>101</v>
      </c>
      <c r="C104" s="50" t="s">
        <v>586</v>
      </c>
      <c r="D104" s="1">
        <v>2</v>
      </c>
      <c r="E104" s="1" t="s">
        <v>26</v>
      </c>
      <c r="F104" s="1">
        <v>1</v>
      </c>
      <c r="G104" s="6">
        <v>41834</v>
      </c>
      <c r="H104" s="51">
        <v>44462</v>
      </c>
      <c r="I104" s="47">
        <f t="shared" si="17"/>
        <v>7</v>
      </c>
      <c r="J104" s="47">
        <f t="shared" si="10"/>
        <v>86</v>
      </c>
      <c r="K104" s="1">
        <v>24.4</v>
      </c>
      <c r="L104" s="1">
        <v>1.22</v>
      </c>
      <c r="M104" s="43">
        <f t="shared" si="11"/>
        <v>122</v>
      </c>
      <c r="N104" s="1">
        <f>106.1-40</f>
        <v>66.099999999999994</v>
      </c>
      <c r="O104" s="48">
        <f t="shared" si="12"/>
        <v>45.819672131147541</v>
      </c>
      <c r="P104" s="49">
        <f t="shared" si="13"/>
        <v>16.393442622950818</v>
      </c>
      <c r="R104" s="91">
        <v>-0.12625845779689318</v>
      </c>
      <c r="S104" s="91">
        <v>44.976366945676958</v>
      </c>
      <c r="T104" s="39" t="str">
        <f t="shared" si="16"/>
        <v>Normal</v>
      </c>
      <c r="U104" s="91">
        <v>-0.99685437745038152</v>
      </c>
      <c r="V104" s="91">
        <v>15.941759963992505</v>
      </c>
      <c r="W104" s="39" t="str">
        <f t="shared" si="14"/>
        <v>Normal</v>
      </c>
      <c r="X104" s="116">
        <v>0.57785650411810219</v>
      </c>
      <c r="Y104" s="91">
        <v>71.831949838058435</v>
      </c>
      <c r="Z104" s="39" t="str">
        <f t="shared" si="15"/>
        <v>Normal</v>
      </c>
    </row>
    <row r="105" spans="1:26" ht="15.75" x14ac:dyDescent="0.25">
      <c r="A105" s="33" t="s">
        <v>705</v>
      </c>
      <c r="B105" s="43">
        <v>102</v>
      </c>
      <c r="C105" s="50" t="s">
        <v>587</v>
      </c>
      <c r="D105" s="1">
        <v>2</v>
      </c>
      <c r="E105" s="1" t="s">
        <v>26</v>
      </c>
      <c r="F105" s="1">
        <v>2</v>
      </c>
      <c r="G105" s="6">
        <v>41714</v>
      </c>
      <c r="H105" s="51">
        <v>44462</v>
      </c>
      <c r="I105" s="47">
        <f t="shared" si="17"/>
        <v>7</v>
      </c>
      <c r="J105" s="47">
        <f t="shared" si="10"/>
        <v>90</v>
      </c>
      <c r="K105" s="1">
        <v>21.4</v>
      </c>
      <c r="L105" s="1">
        <v>1.1299999999999999</v>
      </c>
      <c r="M105" s="43">
        <f t="shared" si="11"/>
        <v>112.99999999999999</v>
      </c>
      <c r="N105" s="1">
        <f>102.3-40</f>
        <v>62.3</v>
      </c>
      <c r="O105" s="48">
        <f t="shared" si="12"/>
        <v>44.867256637168133</v>
      </c>
      <c r="P105" s="49">
        <f t="shared" si="13"/>
        <v>16.759339024199235</v>
      </c>
      <c r="R105" s="91">
        <v>-1.8928467703625289</v>
      </c>
      <c r="S105" s="91">
        <v>2.9189124864264415</v>
      </c>
      <c r="T105" s="39" t="str">
        <f t="shared" si="16"/>
        <v>Desnutricion</v>
      </c>
      <c r="U105" s="91">
        <v>-1.89836580239955</v>
      </c>
      <c r="V105" s="91">
        <v>2.8823955619677371</v>
      </c>
      <c r="W105" s="39" t="str">
        <f t="shared" si="14"/>
        <v>Piernas cortas</v>
      </c>
      <c r="X105" s="116">
        <v>0.66063823105428854</v>
      </c>
      <c r="Y105" s="91">
        <v>74.557782743348511</v>
      </c>
      <c r="Z105" s="39" t="str">
        <f t="shared" si="15"/>
        <v>Normal</v>
      </c>
    </row>
    <row r="106" spans="1:26" ht="15.75" x14ac:dyDescent="0.25">
      <c r="A106" s="33" t="s">
        <v>705</v>
      </c>
      <c r="B106" s="43">
        <v>103</v>
      </c>
      <c r="C106" s="50" t="s">
        <v>588</v>
      </c>
      <c r="D106" s="1">
        <v>2</v>
      </c>
      <c r="E106" s="1" t="s">
        <v>26</v>
      </c>
      <c r="F106" s="1">
        <v>2</v>
      </c>
      <c r="G106" s="6">
        <v>41731</v>
      </c>
      <c r="H106" s="51">
        <v>44462</v>
      </c>
      <c r="I106" s="47">
        <f t="shared" si="17"/>
        <v>7</v>
      </c>
      <c r="J106" s="47">
        <f t="shared" si="10"/>
        <v>89</v>
      </c>
      <c r="K106" s="1">
        <v>16.600000000000001</v>
      </c>
      <c r="L106" s="1">
        <v>1.1499999999999999</v>
      </c>
      <c r="M106" s="43">
        <f t="shared" si="11"/>
        <v>114.99999999999999</v>
      </c>
      <c r="N106" s="1">
        <f>102-40</f>
        <v>62</v>
      </c>
      <c r="O106" s="48">
        <f t="shared" si="12"/>
        <v>46.086956521739125</v>
      </c>
      <c r="P106" s="49">
        <f t="shared" si="13"/>
        <v>12.551984877126657</v>
      </c>
      <c r="R106" s="91">
        <v>-1.4603036529601865</v>
      </c>
      <c r="S106" s="91">
        <v>7.2103319275707651</v>
      </c>
      <c r="T106" s="39" t="str">
        <f t="shared" si="16"/>
        <v>Normal</v>
      </c>
      <c r="U106" s="91">
        <v>-1.0298485283894496</v>
      </c>
      <c r="V106" s="91">
        <v>15.154055803356069</v>
      </c>
      <c r="W106" s="39" t="str">
        <f t="shared" si="14"/>
        <v>Normal</v>
      </c>
      <c r="X106" s="116">
        <v>-2.217184367531646</v>
      </c>
      <c r="Y106" s="91">
        <v>1.3305247691867137</v>
      </c>
      <c r="Z106" s="39" t="str">
        <f t="shared" si="15"/>
        <v>Desnutricion</v>
      </c>
    </row>
    <row r="107" spans="1:26" ht="15.75" x14ac:dyDescent="0.25">
      <c r="A107" s="33" t="s">
        <v>705</v>
      </c>
      <c r="B107" s="43">
        <v>104</v>
      </c>
      <c r="C107" s="50" t="s">
        <v>589</v>
      </c>
      <c r="D107" s="1">
        <v>2</v>
      </c>
      <c r="E107" s="1" t="s">
        <v>26</v>
      </c>
      <c r="F107" s="1">
        <v>2</v>
      </c>
      <c r="G107" s="46">
        <v>41940</v>
      </c>
      <c r="H107" s="51">
        <v>44462</v>
      </c>
      <c r="I107" s="47">
        <f t="shared" si="17"/>
        <v>6</v>
      </c>
      <c r="J107" s="47">
        <f t="shared" si="10"/>
        <v>82</v>
      </c>
      <c r="K107" s="1">
        <v>22.8</v>
      </c>
      <c r="L107" s="1">
        <v>1.18</v>
      </c>
      <c r="M107" s="43">
        <f t="shared" si="11"/>
        <v>118</v>
      </c>
      <c r="N107" s="1">
        <f>105.7-40</f>
        <v>65.7</v>
      </c>
      <c r="O107" s="48">
        <f t="shared" si="12"/>
        <v>44.322033898305079</v>
      </c>
      <c r="P107" s="49">
        <f t="shared" si="13"/>
        <v>16.374604998563633</v>
      </c>
      <c r="R107" s="91">
        <v>-0.34465060142624099</v>
      </c>
      <c r="S107" s="91">
        <v>36.517852972022347</v>
      </c>
      <c r="T107" s="39" t="str">
        <f t="shared" si="16"/>
        <v>Normal</v>
      </c>
      <c r="U107" s="91">
        <v>-1.7710487085968503</v>
      </c>
      <c r="V107" s="91">
        <v>3.8276301118862195</v>
      </c>
      <c r="W107" s="39" t="str">
        <f t="shared" si="14"/>
        <v>Piernas cortas</v>
      </c>
      <c r="X107" s="116">
        <v>0.57076774918265927</v>
      </c>
      <c r="Y107" s="91">
        <v>71.592145638118438</v>
      </c>
      <c r="Z107" s="39" t="str">
        <f t="shared" si="15"/>
        <v>Normal</v>
      </c>
    </row>
    <row r="108" spans="1:26" ht="15.75" x14ac:dyDescent="0.25">
      <c r="A108" s="33" t="s">
        <v>705</v>
      </c>
      <c r="B108" s="43">
        <v>105</v>
      </c>
      <c r="C108" s="50" t="s">
        <v>590</v>
      </c>
      <c r="D108" s="1">
        <v>2</v>
      </c>
      <c r="E108" s="1" t="s">
        <v>26</v>
      </c>
      <c r="F108" s="1">
        <v>2</v>
      </c>
      <c r="G108" s="2">
        <v>41902</v>
      </c>
      <c r="H108" s="51">
        <v>44462</v>
      </c>
      <c r="I108" s="47">
        <f t="shared" si="17"/>
        <v>7</v>
      </c>
      <c r="J108" s="47">
        <f t="shared" si="10"/>
        <v>84</v>
      </c>
      <c r="K108" s="1">
        <v>20.399999999999999</v>
      </c>
      <c r="L108" s="1">
        <v>1.23</v>
      </c>
      <c r="M108" s="43">
        <f t="shared" si="11"/>
        <v>123</v>
      </c>
      <c r="N108" s="1">
        <f>106.1-40</f>
        <v>66.099999999999994</v>
      </c>
      <c r="O108" s="48">
        <f t="shared" si="12"/>
        <v>46.260162601626021</v>
      </c>
      <c r="P108" s="49">
        <f t="shared" si="13"/>
        <v>13.484037279397183</v>
      </c>
      <c r="R108" s="91">
        <v>0.4005176729795133</v>
      </c>
      <c r="S108" s="91">
        <v>65.561236536577169</v>
      </c>
      <c r="T108" s="39" t="str">
        <f t="shared" si="16"/>
        <v>Normal</v>
      </c>
      <c r="U108" s="91">
        <v>-0.90853638241886403</v>
      </c>
      <c r="V108" s="91">
        <v>18.179745033655408</v>
      </c>
      <c r="W108" s="39" t="str">
        <f t="shared" si="14"/>
        <v>Normal</v>
      </c>
      <c r="X108" s="116">
        <v>-1.3481373171431046</v>
      </c>
      <c r="Y108" s="91">
        <v>8.8807110466918342</v>
      </c>
      <c r="Z108" s="39" t="str">
        <f t="shared" si="15"/>
        <v>Bajo Peso</v>
      </c>
    </row>
    <row r="109" spans="1:26" ht="15.75" x14ac:dyDescent="0.25">
      <c r="A109" s="33" t="s">
        <v>705</v>
      </c>
      <c r="B109" s="43">
        <v>106</v>
      </c>
      <c r="C109" s="50" t="s">
        <v>591</v>
      </c>
      <c r="D109" s="1">
        <v>2</v>
      </c>
      <c r="E109" s="1" t="s">
        <v>173</v>
      </c>
      <c r="F109" s="1">
        <v>2</v>
      </c>
      <c r="G109" s="46">
        <v>41913</v>
      </c>
      <c r="H109" s="51">
        <v>44462</v>
      </c>
      <c r="I109" s="47">
        <f t="shared" si="17"/>
        <v>6</v>
      </c>
      <c r="J109" s="47">
        <f t="shared" si="10"/>
        <v>83</v>
      </c>
      <c r="K109" s="1">
        <v>17.8</v>
      </c>
      <c r="L109" s="1">
        <v>1.1599999999999999</v>
      </c>
      <c r="M109" s="43">
        <f t="shared" si="11"/>
        <v>115.99999999999999</v>
      </c>
      <c r="N109" s="1">
        <f>100.8-40</f>
        <v>60.8</v>
      </c>
      <c r="O109" s="48">
        <f t="shared" si="12"/>
        <v>47.586206896551722</v>
      </c>
      <c r="P109" s="49">
        <f t="shared" si="13"/>
        <v>13.228299643281808</v>
      </c>
      <c r="R109" s="91">
        <v>-0.79742604536204686</v>
      </c>
      <c r="S109" s="91">
        <v>21.260181891250703</v>
      </c>
      <c r="T109" s="39" t="str">
        <f t="shared" si="16"/>
        <v>Normal</v>
      </c>
      <c r="U109" s="91">
        <v>0.45363106822109717</v>
      </c>
      <c r="V109" s="91">
        <v>67.495280589704151</v>
      </c>
      <c r="W109" s="39" t="str">
        <f t="shared" si="14"/>
        <v>Normal</v>
      </c>
      <c r="X109" s="116">
        <v>-1.5543074615602859</v>
      </c>
      <c r="Y109" s="91">
        <v>6.005554727347258</v>
      </c>
      <c r="Z109" s="39" t="str">
        <f t="shared" si="15"/>
        <v>Bajo Peso</v>
      </c>
    </row>
    <row r="110" spans="1:26" ht="15.75" x14ac:dyDescent="0.25">
      <c r="A110" s="33" t="s">
        <v>705</v>
      </c>
      <c r="B110" s="43">
        <v>107</v>
      </c>
      <c r="C110" s="50" t="s">
        <v>592</v>
      </c>
      <c r="D110" s="1">
        <v>2</v>
      </c>
      <c r="E110" s="1" t="s">
        <v>173</v>
      </c>
      <c r="F110" s="1">
        <v>2</v>
      </c>
      <c r="G110" s="2">
        <v>41913</v>
      </c>
      <c r="H110" s="51">
        <v>44462</v>
      </c>
      <c r="I110" s="47">
        <f t="shared" si="17"/>
        <v>6</v>
      </c>
      <c r="J110" s="47">
        <f t="shared" si="10"/>
        <v>83</v>
      </c>
      <c r="K110" s="1">
        <v>22.7</v>
      </c>
      <c r="L110" s="1">
        <v>1.21</v>
      </c>
      <c r="M110" s="43">
        <f t="shared" si="11"/>
        <v>121</v>
      </c>
      <c r="N110" s="1">
        <f>106.7-40</f>
        <v>66.7</v>
      </c>
      <c r="O110" s="48">
        <f t="shared" si="12"/>
        <v>44.876033057851238</v>
      </c>
      <c r="P110" s="49">
        <f t="shared" si="13"/>
        <v>15.504405436787104</v>
      </c>
      <c r="R110" s="91">
        <v>0.1218182546357016</v>
      </c>
      <c r="S110" s="91">
        <v>54.847852174308699</v>
      </c>
      <c r="T110" s="39" t="str">
        <f t="shared" si="16"/>
        <v>Normal</v>
      </c>
      <c r="U110" s="91">
        <v>-1.381177684977311</v>
      </c>
      <c r="V110" s="91">
        <v>8.3612167119447527</v>
      </c>
      <c r="W110" s="39" t="str">
        <f t="shared" si="14"/>
        <v>Normal</v>
      </c>
      <c r="X110" s="116">
        <v>7.0644535396096525E-2</v>
      </c>
      <c r="Y110" s="91">
        <v>52.815966759383628</v>
      </c>
      <c r="Z110" s="39" t="str">
        <f t="shared" si="15"/>
        <v>Normal</v>
      </c>
    </row>
    <row r="111" spans="1:26" ht="15.75" x14ac:dyDescent="0.25">
      <c r="A111" s="33" t="s">
        <v>705</v>
      </c>
      <c r="B111" s="43">
        <v>108</v>
      </c>
      <c r="C111" s="50" t="s">
        <v>593</v>
      </c>
      <c r="D111" s="1">
        <v>2</v>
      </c>
      <c r="E111" s="1" t="s">
        <v>173</v>
      </c>
      <c r="F111" s="1">
        <v>2</v>
      </c>
      <c r="G111" s="46">
        <v>41841</v>
      </c>
      <c r="H111" s="51">
        <v>44462</v>
      </c>
      <c r="I111" s="47">
        <f t="shared" si="17"/>
        <v>7</v>
      </c>
      <c r="J111" s="47">
        <f t="shared" si="10"/>
        <v>86</v>
      </c>
      <c r="K111" s="1">
        <v>26.2</v>
      </c>
      <c r="L111" s="1">
        <v>1.19</v>
      </c>
      <c r="M111" s="43">
        <f t="shared" si="11"/>
        <v>119</v>
      </c>
      <c r="N111" s="1">
        <f>106.5-40</f>
        <v>66.5</v>
      </c>
      <c r="O111" s="48">
        <f t="shared" si="12"/>
        <v>44.117647058823529</v>
      </c>
      <c r="P111" s="49">
        <f t="shared" si="13"/>
        <v>18.501518254360569</v>
      </c>
      <c r="R111" s="91">
        <v>-0.49949532341071279</v>
      </c>
      <c r="S111" s="91">
        <v>30.871524026627057</v>
      </c>
      <c r="T111" s="39" t="str">
        <f t="shared" si="16"/>
        <v>Normal</v>
      </c>
      <c r="U111" s="91">
        <v>-2.4449393038232463</v>
      </c>
      <c r="V111" s="91">
        <v>0.72438260645559827</v>
      </c>
      <c r="W111" s="39" t="str">
        <f t="shared" si="14"/>
        <v>Piernas cortas</v>
      </c>
      <c r="X111" s="116">
        <v>1.4899422384832786</v>
      </c>
      <c r="Y111" s="91">
        <v>93.188028789057938</v>
      </c>
      <c r="Z111" s="39" t="str">
        <f t="shared" si="15"/>
        <v>Obesidad</v>
      </c>
    </row>
    <row r="112" spans="1:26" ht="15.75" x14ac:dyDescent="0.25">
      <c r="A112" s="33" t="s">
        <v>705</v>
      </c>
      <c r="B112" s="43">
        <v>109</v>
      </c>
      <c r="C112" s="50" t="s">
        <v>594</v>
      </c>
      <c r="D112" s="1">
        <v>2</v>
      </c>
      <c r="E112" s="1" t="s">
        <v>173</v>
      </c>
      <c r="F112" s="1">
        <v>1</v>
      </c>
      <c r="G112" s="46">
        <v>41682</v>
      </c>
      <c r="H112" s="51">
        <v>44462</v>
      </c>
      <c r="I112" s="47">
        <f t="shared" si="17"/>
        <v>7</v>
      </c>
      <c r="J112" s="47">
        <f t="shared" si="10"/>
        <v>91</v>
      </c>
      <c r="K112" s="1">
        <v>23.6</v>
      </c>
      <c r="L112" s="1">
        <v>1.27</v>
      </c>
      <c r="M112" s="43">
        <f t="shared" si="11"/>
        <v>127</v>
      </c>
      <c r="N112" s="1">
        <f>108.8-40</f>
        <v>68.8</v>
      </c>
      <c r="O112" s="48">
        <f t="shared" si="12"/>
        <v>45.826771653543311</v>
      </c>
      <c r="P112" s="49">
        <f t="shared" si="13"/>
        <v>14.632029264058529</v>
      </c>
      <c r="R112" s="91">
        <v>0.36446706782026667</v>
      </c>
      <c r="S112" s="91">
        <v>64.224536939328985</v>
      </c>
      <c r="T112" s="39" t="str">
        <f t="shared" si="16"/>
        <v>Normal</v>
      </c>
      <c r="U112" s="91">
        <v>-0.99214720593328909</v>
      </c>
      <c r="V112" s="91">
        <v>16.05628608531562</v>
      </c>
      <c r="W112" s="39" t="str">
        <f t="shared" si="14"/>
        <v>Normal</v>
      </c>
      <c r="X112" s="116">
        <v>-0.73581343108121045</v>
      </c>
      <c r="Y112" s="91">
        <v>23.092212314161987</v>
      </c>
      <c r="Z112" s="39" t="str">
        <f t="shared" si="15"/>
        <v>Normal</v>
      </c>
    </row>
    <row r="113" spans="1:26" ht="15.75" x14ac:dyDescent="0.25">
      <c r="A113" s="33" t="s">
        <v>705</v>
      </c>
      <c r="B113" s="43">
        <v>110</v>
      </c>
      <c r="C113" s="50" t="s">
        <v>595</v>
      </c>
      <c r="D113" s="1">
        <v>2</v>
      </c>
      <c r="E113" s="1" t="s">
        <v>173</v>
      </c>
      <c r="F113" s="1">
        <v>1</v>
      </c>
      <c r="G113" s="46">
        <v>41857</v>
      </c>
      <c r="H113" s="51">
        <v>44462</v>
      </c>
      <c r="I113" s="47">
        <f t="shared" si="17"/>
        <v>7</v>
      </c>
      <c r="J113" s="47">
        <f t="shared" si="10"/>
        <v>85</v>
      </c>
      <c r="K113" s="1">
        <v>21.9</v>
      </c>
      <c r="L113" s="1">
        <v>1.21</v>
      </c>
      <c r="M113" s="43">
        <f t="shared" si="11"/>
        <v>121</v>
      </c>
      <c r="N113" s="1">
        <f>103.2-40</f>
        <v>63.2</v>
      </c>
      <c r="O113" s="48">
        <f t="shared" si="12"/>
        <v>47.768595041322307</v>
      </c>
      <c r="P113" s="49">
        <f t="shared" si="13"/>
        <v>14.957994672495047</v>
      </c>
      <c r="R113" s="91">
        <v>-0.2267335866530461</v>
      </c>
      <c r="S113" s="91">
        <v>41.031545439582182</v>
      </c>
      <c r="T113" s="39" t="str">
        <f t="shared" si="16"/>
        <v>Normal</v>
      </c>
      <c r="U113" s="91">
        <v>0.26662184885344892</v>
      </c>
      <c r="V113" s="91">
        <v>60.511983426667527</v>
      </c>
      <c r="W113" s="39" t="str">
        <f t="shared" si="14"/>
        <v>Normal</v>
      </c>
      <c r="X113" s="116">
        <v>-0.40136474366771846</v>
      </c>
      <c r="Y113" s="91">
        <v>34.407580136116898</v>
      </c>
      <c r="Z113" s="39" t="str">
        <f t="shared" si="15"/>
        <v>Normal</v>
      </c>
    </row>
    <row r="114" spans="1:26" ht="15.75" x14ac:dyDescent="0.25">
      <c r="A114" s="33" t="s">
        <v>705</v>
      </c>
      <c r="B114" s="43">
        <v>111</v>
      </c>
      <c r="C114" s="50" t="s">
        <v>766</v>
      </c>
      <c r="D114" s="1">
        <v>2</v>
      </c>
      <c r="E114" s="1" t="s">
        <v>173</v>
      </c>
      <c r="F114" s="1">
        <v>1</v>
      </c>
      <c r="G114" s="46">
        <v>41934</v>
      </c>
      <c r="H114" s="51">
        <v>44462</v>
      </c>
      <c r="I114" s="47">
        <f t="shared" si="17"/>
        <v>6</v>
      </c>
      <c r="J114" s="47">
        <f t="shared" si="10"/>
        <v>83</v>
      </c>
      <c r="K114" s="1">
        <v>21.8</v>
      </c>
      <c r="L114" s="1">
        <v>1.23</v>
      </c>
      <c r="M114" s="43">
        <f t="shared" si="11"/>
        <v>123</v>
      </c>
      <c r="N114" s="1">
        <f>106.6-40</f>
        <v>66.599999999999994</v>
      </c>
      <c r="O114" s="48">
        <f t="shared" si="12"/>
        <v>45.853658536585371</v>
      </c>
      <c r="P114" s="49">
        <f t="shared" si="13"/>
        <v>14.409412386806796</v>
      </c>
      <c r="R114" s="91">
        <v>0.33101029058095705</v>
      </c>
      <c r="S114" s="91">
        <v>62.968164372110472</v>
      </c>
      <c r="T114" s="39" t="str">
        <f t="shared" si="16"/>
        <v>Normal</v>
      </c>
      <c r="U114" s="91">
        <v>-0.56986739212235282</v>
      </c>
      <c r="V114" s="91">
        <v>28.438382130125095</v>
      </c>
      <c r="W114" s="39" t="str">
        <f t="shared" si="14"/>
        <v>Normal</v>
      </c>
      <c r="X114" s="116">
        <v>-0.81758435161156984</v>
      </c>
      <c r="Y114" s="91">
        <v>20.679728293415952</v>
      </c>
      <c r="Z114" s="39" t="str">
        <f t="shared" si="15"/>
        <v>Normal</v>
      </c>
    </row>
    <row r="115" spans="1:26" ht="15.75" x14ac:dyDescent="0.25">
      <c r="A115" s="33" t="s">
        <v>705</v>
      </c>
      <c r="B115" s="43">
        <v>112</v>
      </c>
      <c r="C115" s="50" t="s">
        <v>596</v>
      </c>
      <c r="D115" s="1">
        <v>2</v>
      </c>
      <c r="E115" s="1" t="s">
        <v>173</v>
      </c>
      <c r="F115" s="1">
        <v>1</v>
      </c>
      <c r="G115" s="46">
        <v>41736</v>
      </c>
      <c r="H115" s="51">
        <v>44462</v>
      </c>
      <c r="I115" s="47">
        <f t="shared" si="17"/>
        <v>7</v>
      </c>
      <c r="J115" s="47">
        <f t="shared" si="10"/>
        <v>89</v>
      </c>
      <c r="K115" s="1">
        <v>29.3</v>
      </c>
      <c r="L115" s="1">
        <v>1.2</v>
      </c>
      <c r="M115" s="43">
        <f t="shared" si="11"/>
        <v>120</v>
      </c>
      <c r="N115" s="1">
        <f>105.8-40</f>
        <v>65.8</v>
      </c>
      <c r="O115" s="48">
        <f t="shared" si="12"/>
        <v>45.166666666666671</v>
      </c>
      <c r="P115" s="49">
        <f t="shared" si="13"/>
        <v>20.347222222222225</v>
      </c>
      <c r="R115" s="91">
        <v>-0.74924978202010695</v>
      </c>
      <c r="S115" s="91">
        <v>22.685333464171674</v>
      </c>
      <c r="T115" s="39" t="str">
        <f t="shared" si="16"/>
        <v>Normal</v>
      </c>
      <c r="U115" s="91">
        <v>-1.4332142682597524</v>
      </c>
      <c r="V115" s="91">
        <v>7.5898306657461401</v>
      </c>
      <c r="W115" s="39" t="str">
        <f t="shared" si="14"/>
        <v>Normal</v>
      </c>
      <c r="X115" s="116">
        <v>2.4248706187671605</v>
      </c>
      <c r="Y115" s="91">
        <v>99.234307834860644</v>
      </c>
      <c r="Z115" s="39" t="str">
        <f t="shared" si="15"/>
        <v>Obesidad</v>
      </c>
    </row>
    <row r="116" spans="1:26" ht="15.75" x14ac:dyDescent="0.25">
      <c r="A116" s="33" t="s">
        <v>705</v>
      </c>
      <c r="B116" s="43">
        <f>112+1</f>
        <v>113</v>
      </c>
      <c r="C116" s="50" t="s">
        <v>597</v>
      </c>
      <c r="D116" s="1">
        <v>2</v>
      </c>
      <c r="E116" s="1" t="s">
        <v>173</v>
      </c>
      <c r="F116" s="1">
        <v>2</v>
      </c>
      <c r="G116" s="6">
        <v>41943</v>
      </c>
      <c r="H116" s="51">
        <v>44462</v>
      </c>
      <c r="I116" s="47">
        <f t="shared" si="17"/>
        <v>6</v>
      </c>
      <c r="J116" s="47">
        <f t="shared" si="10"/>
        <v>82</v>
      </c>
      <c r="K116" s="1">
        <v>21.2</v>
      </c>
      <c r="L116" s="1">
        <v>1.1599999999999999</v>
      </c>
      <c r="M116" s="43">
        <f t="shared" si="11"/>
        <v>115.99999999999999</v>
      </c>
      <c r="N116" s="1">
        <f>104.3-40</f>
        <v>64.3</v>
      </c>
      <c r="O116" s="48">
        <f t="shared" si="12"/>
        <v>44.568965517241374</v>
      </c>
      <c r="P116" s="49">
        <f t="shared" si="13"/>
        <v>15.755053507728896</v>
      </c>
      <c r="R116" s="91">
        <v>-0.71428874109402618</v>
      </c>
      <c r="S116" s="91">
        <v>23.752432639489314</v>
      </c>
      <c r="T116" s="39" t="str">
        <f t="shared" si="16"/>
        <v>Normal</v>
      </c>
      <c r="U116" s="91">
        <v>-1.5966231632149328</v>
      </c>
      <c r="V116" s="91">
        <v>5.5174866230992849</v>
      </c>
      <c r="W116" s="39" t="str">
        <f t="shared" si="14"/>
        <v>Normal</v>
      </c>
      <c r="X116" s="116">
        <v>0.22774208618163191</v>
      </c>
      <c r="Y116" s="91">
        <v>59.00766239961861</v>
      </c>
      <c r="Z116" s="39" t="str">
        <f t="shared" si="15"/>
        <v>Normal</v>
      </c>
    </row>
    <row r="117" spans="1:26" ht="15.75" x14ac:dyDescent="0.25">
      <c r="A117" s="33" t="s">
        <v>705</v>
      </c>
      <c r="B117" s="43">
        <v>114</v>
      </c>
      <c r="C117" s="50" t="s">
        <v>598</v>
      </c>
      <c r="D117" s="1">
        <v>2</v>
      </c>
      <c r="E117" s="1" t="s">
        <v>173</v>
      </c>
      <c r="F117" s="1">
        <v>2</v>
      </c>
      <c r="G117" s="2">
        <v>41911</v>
      </c>
      <c r="H117" s="51">
        <v>44462</v>
      </c>
      <c r="I117" s="47">
        <f t="shared" si="17"/>
        <v>6</v>
      </c>
      <c r="J117" s="47">
        <f t="shared" si="10"/>
        <v>83</v>
      </c>
      <c r="K117" s="1">
        <v>32</v>
      </c>
      <c r="L117" s="1">
        <v>1.1599999999999999</v>
      </c>
      <c r="M117" s="43">
        <f t="shared" si="11"/>
        <v>115.99999999999999</v>
      </c>
      <c r="N117" s="1">
        <f>105.6-40</f>
        <v>65.599999999999994</v>
      </c>
      <c r="O117" s="48">
        <f t="shared" si="12"/>
        <v>43.448275862068961</v>
      </c>
      <c r="P117" s="49">
        <f t="shared" si="13"/>
        <v>23.781212841854938</v>
      </c>
      <c r="R117" s="91">
        <v>-0.79742604536204686</v>
      </c>
      <c r="S117" s="91">
        <v>21.260181891250703</v>
      </c>
      <c r="T117" s="39" t="str">
        <f t="shared" si="16"/>
        <v>Normal</v>
      </c>
      <c r="U117" s="91">
        <v>-2.3968322140694061</v>
      </c>
      <c r="V117" s="91">
        <v>0.82687472393489725</v>
      </c>
      <c r="W117" s="39" t="str">
        <f t="shared" si="14"/>
        <v>Piernas cortas</v>
      </c>
      <c r="X117" s="116">
        <v>3.1421023334792504</v>
      </c>
      <c r="Y117" s="91">
        <v>99.916130300773148</v>
      </c>
      <c r="Z117" s="39" t="str">
        <f t="shared" si="15"/>
        <v>Obesidad</v>
      </c>
    </row>
    <row r="118" spans="1:26" ht="15.75" x14ac:dyDescent="0.25">
      <c r="A118" s="33" t="s">
        <v>705</v>
      </c>
      <c r="B118" s="43">
        <v>115</v>
      </c>
      <c r="C118" s="50" t="s">
        <v>599</v>
      </c>
      <c r="D118" s="1">
        <v>2</v>
      </c>
      <c r="E118" s="1" t="s">
        <v>173</v>
      </c>
      <c r="F118" s="1">
        <v>1</v>
      </c>
      <c r="G118" s="46">
        <v>41817</v>
      </c>
      <c r="H118" s="51">
        <v>44462</v>
      </c>
      <c r="I118" s="47">
        <f t="shared" si="17"/>
        <v>7</v>
      </c>
      <c r="J118" s="47">
        <f t="shared" si="10"/>
        <v>86</v>
      </c>
      <c r="K118" s="1">
        <v>23.6</v>
      </c>
      <c r="L118" s="1">
        <v>1.27</v>
      </c>
      <c r="M118" s="43">
        <f t="shared" si="11"/>
        <v>127</v>
      </c>
      <c r="N118" s="1">
        <f>109-40</f>
        <v>69</v>
      </c>
      <c r="O118" s="48">
        <f t="shared" si="12"/>
        <v>45.669291338582681</v>
      </c>
      <c r="P118" s="49">
        <f t="shared" si="13"/>
        <v>14.632029264058529</v>
      </c>
      <c r="R118" s="91">
        <v>0.80898937773565893</v>
      </c>
      <c r="S118" s="91">
        <v>79.07393718699754</v>
      </c>
      <c r="T118" s="39" t="str">
        <f t="shared" si="16"/>
        <v>Normal</v>
      </c>
      <c r="U118" s="91">
        <v>-1.0967461971309826</v>
      </c>
      <c r="V118" s="91">
        <v>13.637617779417353</v>
      </c>
      <c r="W118" s="39" t="str">
        <f t="shared" si="14"/>
        <v>Normal</v>
      </c>
      <c r="X118" s="116">
        <v>-0.67046186091667082</v>
      </c>
      <c r="Y118" s="91">
        <v>25.128170564841746</v>
      </c>
      <c r="Z118" s="39" t="str">
        <f t="shared" si="15"/>
        <v>Normal</v>
      </c>
    </row>
    <row r="119" spans="1:26" ht="15.75" x14ac:dyDescent="0.25">
      <c r="A119" s="33" t="s">
        <v>705</v>
      </c>
      <c r="B119" s="43">
        <v>116</v>
      </c>
      <c r="C119" s="50" t="s">
        <v>600</v>
      </c>
      <c r="D119" s="1">
        <v>2</v>
      </c>
      <c r="E119" s="1" t="s">
        <v>173</v>
      </c>
      <c r="F119" s="1">
        <v>2</v>
      </c>
      <c r="G119" s="46">
        <v>41943</v>
      </c>
      <c r="H119" s="51">
        <v>44462</v>
      </c>
      <c r="I119" s="47">
        <f t="shared" si="17"/>
        <v>6</v>
      </c>
      <c r="J119" s="47">
        <f t="shared" si="10"/>
        <v>82</v>
      </c>
      <c r="K119" s="1">
        <v>46.5</v>
      </c>
      <c r="L119" s="1">
        <v>1.29</v>
      </c>
      <c r="M119" s="43">
        <f t="shared" si="11"/>
        <v>129</v>
      </c>
      <c r="N119" s="1">
        <f>111.4-40</f>
        <v>71.400000000000006</v>
      </c>
      <c r="O119" s="48">
        <f t="shared" si="12"/>
        <v>44.651162790697668</v>
      </c>
      <c r="P119" s="49">
        <f t="shared" si="13"/>
        <v>27.94303226969533</v>
      </c>
      <c r="R119" s="91">
        <v>1.6883591667465629</v>
      </c>
      <c r="S119" s="91">
        <v>95.432884807435101</v>
      </c>
      <c r="T119" s="39" t="str">
        <f t="shared" si="16"/>
        <v>Alto</v>
      </c>
      <c r="U119" s="91">
        <v>-1.5387940636864426</v>
      </c>
      <c r="V119" s="91">
        <v>6.1927289786532187</v>
      </c>
      <c r="W119" s="39" t="str">
        <f t="shared" si="14"/>
        <v>Normal</v>
      </c>
      <c r="X119" s="116">
        <v>3.972463598179758</v>
      </c>
      <c r="Y119" s="91">
        <v>99.99644334454166</v>
      </c>
      <c r="Z119" s="39" t="str">
        <f t="shared" si="15"/>
        <v>Obesidad</v>
      </c>
    </row>
    <row r="120" spans="1:26" ht="15.75" x14ac:dyDescent="0.25">
      <c r="A120" s="33" t="s">
        <v>705</v>
      </c>
      <c r="B120" s="43">
        <v>117</v>
      </c>
      <c r="C120" s="50" t="s">
        <v>601</v>
      </c>
      <c r="D120" s="1">
        <v>2</v>
      </c>
      <c r="E120" s="1" t="s">
        <v>173</v>
      </c>
      <c r="F120" s="1">
        <v>1</v>
      </c>
      <c r="G120" s="2">
        <v>41926</v>
      </c>
      <c r="H120" s="51">
        <v>44462</v>
      </c>
      <c r="I120" s="47">
        <f t="shared" si="17"/>
        <v>6</v>
      </c>
      <c r="J120" s="47">
        <f t="shared" si="10"/>
        <v>83</v>
      </c>
      <c r="K120" s="1">
        <v>24</v>
      </c>
      <c r="L120" s="1">
        <v>1.19</v>
      </c>
      <c r="M120" s="43">
        <f t="shared" si="11"/>
        <v>119</v>
      </c>
      <c r="N120" s="1">
        <f>103.7-40</f>
        <v>63.7</v>
      </c>
      <c r="O120" s="48">
        <f t="shared" si="12"/>
        <v>46.470588235294116</v>
      </c>
      <c r="P120" s="49">
        <f t="shared" si="13"/>
        <v>16.947955652849377</v>
      </c>
      <c r="R120" s="91">
        <v>-0.43010787585030746</v>
      </c>
      <c r="S120" s="91">
        <v>33.355858559162158</v>
      </c>
      <c r="T120" s="39" t="str">
        <f t="shared" si="16"/>
        <v>Normal</v>
      </c>
      <c r="U120" s="91">
        <v>-0.1763591010728148</v>
      </c>
      <c r="V120" s="91">
        <v>43.000591680899511</v>
      </c>
      <c r="W120" s="39" t="str">
        <f t="shared" si="14"/>
        <v>Normal</v>
      </c>
      <c r="X120" s="116">
        <v>0.9588694544462355</v>
      </c>
      <c r="Y120" s="91">
        <v>83.118774276218957</v>
      </c>
      <c r="Z120" s="39" t="str">
        <f t="shared" si="15"/>
        <v>Normal</v>
      </c>
    </row>
    <row r="121" spans="1:26" ht="15.75" x14ac:dyDescent="0.25">
      <c r="A121" s="33" t="s">
        <v>705</v>
      </c>
      <c r="B121" s="43">
        <v>118</v>
      </c>
      <c r="C121" s="50" t="s">
        <v>602</v>
      </c>
      <c r="D121" s="1">
        <v>2</v>
      </c>
      <c r="E121" s="1" t="s">
        <v>173</v>
      </c>
      <c r="F121" s="1">
        <v>1</v>
      </c>
      <c r="G121" s="2">
        <v>41823</v>
      </c>
      <c r="H121" s="51">
        <v>44462</v>
      </c>
      <c r="I121" s="47">
        <f t="shared" si="17"/>
        <v>7</v>
      </c>
      <c r="J121" s="47">
        <f t="shared" si="10"/>
        <v>86</v>
      </c>
      <c r="K121" s="1">
        <v>21.7</v>
      </c>
      <c r="L121" s="1">
        <v>1.1499999999999999</v>
      </c>
      <c r="M121" s="43">
        <f t="shared" si="11"/>
        <v>114.99999999999999</v>
      </c>
      <c r="N121" s="1">
        <f>103.6-40</f>
        <v>63.599999999999994</v>
      </c>
      <c r="O121" s="48">
        <f t="shared" si="12"/>
        <v>44.695652173913039</v>
      </c>
      <c r="P121" s="49">
        <f t="shared" si="13"/>
        <v>16.408317580340267</v>
      </c>
      <c r="R121" s="91">
        <v>-1.4356054275424708</v>
      </c>
      <c r="S121" s="91">
        <v>7.5557324723698267</v>
      </c>
      <c r="T121" s="39" t="str">
        <f t="shared" si="16"/>
        <v>Normal</v>
      </c>
      <c r="U121" s="91">
        <v>-1.7522105940360444</v>
      </c>
      <c r="V121" s="91">
        <v>3.9868801328916623</v>
      </c>
      <c r="W121" s="39" t="str">
        <f t="shared" si="14"/>
        <v>Piernas cortas</v>
      </c>
      <c r="X121" s="116">
        <v>0.58710178108892142</v>
      </c>
      <c r="Y121" s="91">
        <v>72.143232427475596</v>
      </c>
      <c r="Z121" s="39" t="str">
        <f t="shared" si="15"/>
        <v>Normal</v>
      </c>
    </row>
    <row r="122" spans="1:26" ht="15.75" x14ac:dyDescent="0.25">
      <c r="A122" s="33" t="s">
        <v>705</v>
      </c>
      <c r="B122" s="43">
        <v>119</v>
      </c>
      <c r="C122" s="83" t="s">
        <v>603</v>
      </c>
      <c r="D122" s="1">
        <v>3</v>
      </c>
      <c r="E122" s="1" t="s">
        <v>7</v>
      </c>
      <c r="F122" s="1">
        <v>1</v>
      </c>
      <c r="G122" s="2">
        <v>41823</v>
      </c>
      <c r="H122" s="51">
        <v>44462</v>
      </c>
      <c r="I122" s="47">
        <f t="shared" si="17"/>
        <v>7</v>
      </c>
      <c r="J122" s="47">
        <f t="shared" si="10"/>
        <v>86</v>
      </c>
      <c r="K122" s="1">
        <v>36.1</v>
      </c>
      <c r="L122" s="1">
        <v>1.26</v>
      </c>
      <c r="M122" s="43">
        <f t="shared" si="11"/>
        <v>126</v>
      </c>
      <c r="N122" s="1">
        <f>108.8-40</f>
        <v>68.8</v>
      </c>
      <c r="O122" s="48">
        <f t="shared" si="12"/>
        <v>45.396825396825399</v>
      </c>
      <c r="P122" s="49">
        <f t="shared" si="13"/>
        <v>22.7387251196775</v>
      </c>
      <c r="R122" s="91">
        <v>0.62193981062914749</v>
      </c>
      <c r="S122" s="91">
        <v>73.300927684163568</v>
      </c>
      <c r="T122" s="39" t="str">
        <f t="shared" si="16"/>
        <v>Normal</v>
      </c>
      <c r="U122" s="91">
        <v>-1.2786419093095494</v>
      </c>
      <c r="V122" s="91">
        <v>10.05115923335743</v>
      </c>
      <c r="W122" s="39" t="str">
        <f t="shared" si="14"/>
        <v>Normal</v>
      </c>
      <c r="X122" s="116">
        <v>3.302349498123982</v>
      </c>
      <c r="Y122" s="91">
        <v>99.952060737731557</v>
      </c>
      <c r="Z122" s="39" t="str">
        <f t="shared" si="15"/>
        <v>Obesidad</v>
      </c>
    </row>
    <row r="123" spans="1:26" ht="15.75" x14ac:dyDescent="0.25">
      <c r="A123" s="33" t="s">
        <v>705</v>
      </c>
      <c r="B123" s="43">
        <v>120</v>
      </c>
      <c r="C123" s="83" t="s">
        <v>604</v>
      </c>
      <c r="D123" s="1">
        <v>3</v>
      </c>
      <c r="E123" s="1" t="s">
        <v>7</v>
      </c>
      <c r="F123" s="1">
        <v>1</v>
      </c>
      <c r="G123" s="2">
        <v>41823</v>
      </c>
      <c r="H123" s="51">
        <v>44462</v>
      </c>
      <c r="I123" s="47">
        <f t="shared" si="17"/>
        <v>7</v>
      </c>
      <c r="J123" s="47">
        <f t="shared" si="10"/>
        <v>86</v>
      </c>
      <c r="K123" s="1">
        <v>26.8</v>
      </c>
      <c r="L123" s="1">
        <v>1.26</v>
      </c>
      <c r="M123" s="43">
        <f t="shared" si="11"/>
        <v>126</v>
      </c>
      <c r="N123" s="1">
        <f>109-40</f>
        <v>69</v>
      </c>
      <c r="O123" s="48">
        <f t="shared" si="12"/>
        <v>45.238095238095241</v>
      </c>
      <c r="P123" s="49">
        <f t="shared" si="13"/>
        <v>16.880826404635929</v>
      </c>
      <c r="R123" s="91">
        <v>0.62193981062914749</v>
      </c>
      <c r="S123" s="91">
        <v>73.300927684163568</v>
      </c>
      <c r="T123" s="39" t="str">
        <f t="shared" si="16"/>
        <v>Normal</v>
      </c>
      <c r="U123" s="91">
        <v>-1.385152720115099</v>
      </c>
      <c r="V123" s="91">
        <v>8.3002887111040931</v>
      </c>
      <c r="W123" s="39" t="str">
        <f t="shared" si="14"/>
        <v>Normal</v>
      </c>
      <c r="X123" s="116">
        <v>0.87112091394190361</v>
      </c>
      <c r="Y123" s="91">
        <v>80.815593202977425</v>
      </c>
      <c r="Z123" s="39" t="str">
        <f t="shared" si="15"/>
        <v>Normal</v>
      </c>
    </row>
    <row r="124" spans="1:26" ht="15.75" x14ac:dyDescent="0.25">
      <c r="A124" s="33" t="s">
        <v>705</v>
      </c>
      <c r="B124" s="43">
        <v>121</v>
      </c>
      <c r="C124" s="50" t="s">
        <v>605</v>
      </c>
      <c r="D124" s="1">
        <v>3</v>
      </c>
      <c r="E124" s="1" t="s">
        <v>7</v>
      </c>
      <c r="F124" s="1">
        <v>2</v>
      </c>
      <c r="G124" s="2">
        <v>41593</v>
      </c>
      <c r="H124" s="51">
        <v>44462</v>
      </c>
      <c r="I124" s="47">
        <f t="shared" si="17"/>
        <v>7</v>
      </c>
      <c r="J124" s="47">
        <f t="shared" si="10"/>
        <v>94</v>
      </c>
      <c r="K124" s="1">
        <v>21.3</v>
      </c>
      <c r="L124" s="1">
        <v>1.19</v>
      </c>
      <c r="M124" s="43">
        <f t="shared" si="11"/>
        <v>119</v>
      </c>
      <c r="N124" s="1">
        <f>101.7-40</f>
        <v>61.7</v>
      </c>
      <c r="O124" s="48">
        <f t="shared" si="12"/>
        <v>48.151260504201673</v>
      </c>
      <c r="P124" s="49">
        <f t="shared" si="13"/>
        <v>15.041310641903822</v>
      </c>
      <c r="R124" s="91">
        <v>-1.1469263443865076</v>
      </c>
      <c r="S124" s="91">
        <v>12.570603181891752</v>
      </c>
      <c r="T124" s="39" t="str">
        <f t="shared" si="16"/>
        <v>Normal</v>
      </c>
      <c r="U124" s="91">
        <v>0.38480082906457097</v>
      </c>
      <c r="V124" s="91">
        <v>64.980750758373091</v>
      </c>
      <c r="W124" s="39" t="str">
        <f t="shared" si="14"/>
        <v>Normal</v>
      </c>
      <c r="X124" s="116">
        <v>-0.34867341906320665</v>
      </c>
      <c r="Y124" s="91">
        <v>36.36672509491595</v>
      </c>
      <c r="Z124" s="39" t="str">
        <f t="shared" si="15"/>
        <v>Normal</v>
      </c>
    </row>
    <row r="125" spans="1:26" ht="15.75" x14ac:dyDescent="0.25">
      <c r="A125" s="33" t="s">
        <v>705</v>
      </c>
      <c r="B125" s="43">
        <v>122</v>
      </c>
      <c r="C125" s="50" t="s">
        <v>606</v>
      </c>
      <c r="D125" s="1">
        <v>3</v>
      </c>
      <c r="E125" s="1" t="s">
        <v>7</v>
      </c>
      <c r="F125" s="1">
        <v>1</v>
      </c>
      <c r="G125" s="2">
        <v>41562</v>
      </c>
      <c r="H125" s="51">
        <v>44462</v>
      </c>
      <c r="I125" s="47">
        <f t="shared" si="17"/>
        <v>7</v>
      </c>
      <c r="J125" s="47">
        <f t="shared" si="10"/>
        <v>95</v>
      </c>
      <c r="K125" s="1">
        <v>20.5</v>
      </c>
      <c r="L125" s="1">
        <v>1.21</v>
      </c>
      <c r="M125" s="43">
        <f t="shared" si="11"/>
        <v>121</v>
      </c>
      <c r="N125" s="1">
        <f>104.5-40</f>
        <v>64.5</v>
      </c>
      <c r="O125" s="48">
        <f t="shared" si="12"/>
        <v>46.694214876033058</v>
      </c>
      <c r="P125" s="49">
        <f t="shared" si="13"/>
        <v>14.001775834983949</v>
      </c>
      <c r="R125" s="91">
        <v>-1.0351853586641016</v>
      </c>
      <c r="S125" s="91">
        <v>15.029117754276161</v>
      </c>
      <c r="T125" s="39" t="str">
        <f t="shared" si="16"/>
        <v>Normal</v>
      </c>
      <c r="U125" s="91">
        <v>-0.42285659037804618</v>
      </c>
      <c r="V125" s="91">
        <v>33.619994810214997</v>
      </c>
      <c r="W125" s="39" t="str">
        <f t="shared" si="14"/>
        <v>Normal</v>
      </c>
      <c r="X125" s="116">
        <v>-1.3229954074419426</v>
      </c>
      <c r="Y125" s="91">
        <v>9.2918452552575079</v>
      </c>
      <c r="Z125" s="39" t="str">
        <f t="shared" si="15"/>
        <v>Bajo Peso</v>
      </c>
    </row>
    <row r="126" spans="1:26" ht="15.75" x14ac:dyDescent="0.25">
      <c r="A126" s="33" t="s">
        <v>705</v>
      </c>
      <c r="B126" s="43">
        <v>123</v>
      </c>
      <c r="C126" s="50" t="s">
        <v>607</v>
      </c>
      <c r="D126" s="1">
        <v>3</v>
      </c>
      <c r="E126" s="1" t="s">
        <v>7</v>
      </c>
      <c r="F126" s="1">
        <v>2</v>
      </c>
      <c r="G126" s="2">
        <v>41624</v>
      </c>
      <c r="H126" s="51">
        <v>44462</v>
      </c>
      <c r="I126" s="47">
        <f t="shared" si="17"/>
        <v>7</v>
      </c>
      <c r="J126" s="47">
        <f t="shared" si="10"/>
        <v>93</v>
      </c>
      <c r="K126" s="1">
        <v>33.5</v>
      </c>
      <c r="L126" s="1">
        <v>1.26</v>
      </c>
      <c r="M126" s="43">
        <f t="shared" si="11"/>
        <v>126</v>
      </c>
      <c r="N126" s="1">
        <f>109.4-40</f>
        <v>69.400000000000006</v>
      </c>
      <c r="O126" s="48">
        <f t="shared" si="12"/>
        <v>44.920634920634917</v>
      </c>
      <c r="P126" s="49">
        <f t="shared" si="13"/>
        <v>21.10103300579491</v>
      </c>
      <c r="R126" s="91">
        <v>0.15666482597304815</v>
      </c>
      <c r="S126" s="91">
        <v>56.224549524384692</v>
      </c>
      <c r="T126" s="39" t="str">
        <f t="shared" si="16"/>
        <v>Normal</v>
      </c>
      <c r="U126" s="91">
        <v>-1.8598235547289328</v>
      </c>
      <c r="V126" s="91">
        <v>3.1455246837001973</v>
      </c>
      <c r="W126" s="39" t="str">
        <f t="shared" si="14"/>
        <v>Piernas cortas</v>
      </c>
      <c r="X126" s="116">
        <v>2.2211397512387685</v>
      </c>
      <c r="Y126" s="91">
        <v>98.68292513124311</v>
      </c>
      <c r="Z126" s="39" t="str">
        <f t="shared" si="15"/>
        <v>Obesidad</v>
      </c>
    </row>
    <row r="127" spans="1:26" ht="15.75" x14ac:dyDescent="0.25">
      <c r="A127" s="33" t="s">
        <v>705</v>
      </c>
      <c r="B127" s="43">
        <v>124</v>
      </c>
      <c r="C127" s="83" t="s">
        <v>608</v>
      </c>
      <c r="D127" s="1">
        <v>3</v>
      </c>
      <c r="E127" s="1" t="s">
        <v>7</v>
      </c>
      <c r="F127" s="1">
        <v>1</v>
      </c>
      <c r="G127" s="2">
        <v>41624</v>
      </c>
      <c r="H127" s="51">
        <v>44462</v>
      </c>
      <c r="I127" s="47">
        <f t="shared" si="17"/>
        <v>7</v>
      </c>
      <c r="J127" s="47">
        <f t="shared" si="10"/>
        <v>93</v>
      </c>
      <c r="K127" s="1">
        <v>25.7</v>
      </c>
      <c r="L127" s="1">
        <v>1.19</v>
      </c>
      <c r="M127" s="43">
        <f t="shared" si="11"/>
        <v>119</v>
      </c>
      <c r="N127" s="1">
        <f>103.8-40</f>
        <v>63.8</v>
      </c>
      <c r="O127" s="48">
        <f t="shared" si="12"/>
        <v>46.386554621848738</v>
      </c>
      <c r="P127" s="49">
        <f t="shared" si="13"/>
        <v>18.148435844926205</v>
      </c>
      <c r="R127" s="91">
        <v>-1.2433953940120481</v>
      </c>
      <c r="S127" s="91">
        <v>10.686108338135039</v>
      </c>
      <c r="T127" s="39" t="str">
        <f t="shared" si="16"/>
        <v>Normal</v>
      </c>
      <c r="U127" s="91">
        <v>-0.6234534338277079</v>
      </c>
      <c r="V127" s="91">
        <v>26.649329686498735</v>
      </c>
      <c r="W127" s="39" t="str">
        <f t="shared" si="14"/>
        <v>Normal</v>
      </c>
      <c r="X127" s="116">
        <v>1.4110953073650165</v>
      </c>
      <c r="Y127" s="91">
        <v>92.089174324866477</v>
      </c>
      <c r="Z127" s="39" t="str">
        <f t="shared" si="15"/>
        <v>Obesidad</v>
      </c>
    </row>
    <row r="128" spans="1:26" ht="15.75" x14ac:dyDescent="0.25">
      <c r="A128" s="33" t="s">
        <v>705</v>
      </c>
      <c r="B128" s="43">
        <v>125</v>
      </c>
      <c r="C128" s="50" t="s">
        <v>609</v>
      </c>
      <c r="D128" s="1">
        <v>3</v>
      </c>
      <c r="E128" s="1" t="s">
        <v>7</v>
      </c>
      <c r="F128" s="1">
        <v>1</v>
      </c>
      <c r="G128" s="2">
        <v>41281</v>
      </c>
      <c r="H128" s="51">
        <v>44462</v>
      </c>
      <c r="I128" s="47">
        <f t="shared" si="17"/>
        <v>8</v>
      </c>
      <c r="J128" s="47">
        <f t="shared" si="10"/>
        <v>104</v>
      </c>
      <c r="K128" s="1">
        <v>30.7</v>
      </c>
      <c r="L128" s="1">
        <v>1.31</v>
      </c>
      <c r="M128" s="43">
        <f t="shared" si="11"/>
        <v>131</v>
      </c>
      <c r="N128" s="1">
        <f>107.6-40</f>
        <v>67.599999999999994</v>
      </c>
      <c r="O128" s="48">
        <f t="shared" si="12"/>
        <v>48.396946564885504</v>
      </c>
      <c r="P128" s="49">
        <f t="shared" si="13"/>
        <v>17.889400384592971</v>
      </c>
      <c r="R128" s="91">
        <v>3.220501028983698E-2</v>
      </c>
      <c r="S128" s="91">
        <v>51.284571969014571</v>
      </c>
      <c r="T128" s="39" t="str">
        <f t="shared" si="16"/>
        <v>Normal</v>
      </c>
      <c r="U128" s="91">
        <v>0.36151941530740339</v>
      </c>
      <c r="V128" s="91">
        <v>64.114440314587</v>
      </c>
      <c r="W128" s="39" t="str">
        <f t="shared" si="14"/>
        <v>Normal</v>
      </c>
      <c r="X128" s="116">
        <v>1.0701602855654235</v>
      </c>
      <c r="Y128" s="91">
        <v>85.772641640963101</v>
      </c>
      <c r="Z128" s="39" t="str">
        <f t="shared" si="15"/>
        <v>Obesidad</v>
      </c>
    </row>
    <row r="129" spans="1:26" ht="15.75" x14ac:dyDescent="0.25">
      <c r="A129" s="33" t="s">
        <v>705</v>
      </c>
      <c r="B129" s="43">
        <v>126</v>
      </c>
      <c r="C129" s="83" t="s">
        <v>610</v>
      </c>
      <c r="D129" s="1">
        <v>3</v>
      </c>
      <c r="E129" s="1" t="s">
        <v>7</v>
      </c>
      <c r="F129" s="1">
        <v>1</v>
      </c>
      <c r="G129" s="2">
        <v>41281</v>
      </c>
      <c r="H129" s="51">
        <v>44462</v>
      </c>
      <c r="I129" s="47">
        <f t="shared" si="17"/>
        <v>8</v>
      </c>
      <c r="J129" s="47">
        <f t="shared" si="10"/>
        <v>104</v>
      </c>
      <c r="K129" s="1">
        <v>41.6</v>
      </c>
      <c r="L129" s="1">
        <v>1.35</v>
      </c>
      <c r="M129" s="43">
        <f t="shared" si="11"/>
        <v>135</v>
      </c>
      <c r="N129" s="1">
        <f>111-40</f>
        <v>71</v>
      </c>
      <c r="O129" s="48">
        <f t="shared" si="12"/>
        <v>47.407407407407412</v>
      </c>
      <c r="P129" s="49">
        <f t="shared" si="13"/>
        <v>22.825788751714676</v>
      </c>
      <c r="R129" s="91">
        <v>0.71127744655428016</v>
      </c>
      <c r="S129" s="91">
        <v>76.154383767694796</v>
      </c>
      <c r="T129" s="39" t="str">
        <f t="shared" si="16"/>
        <v>Normal</v>
      </c>
      <c r="U129" s="91">
        <v>-0.2839785073191427</v>
      </c>
      <c r="V129" s="91">
        <v>38.821342577926721</v>
      </c>
      <c r="W129" s="39" t="str">
        <f t="shared" si="14"/>
        <v>Normal</v>
      </c>
      <c r="X129" s="116">
        <v>2.7779086040166043</v>
      </c>
      <c r="Y129" s="91">
        <v>99.726449977126592</v>
      </c>
      <c r="Z129" s="39" t="str">
        <f t="shared" si="15"/>
        <v>Obesidad</v>
      </c>
    </row>
    <row r="130" spans="1:26" ht="15.75" x14ac:dyDescent="0.25">
      <c r="A130" s="33" t="s">
        <v>705</v>
      </c>
      <c r="B130" s="43">
        <v>127</v>
      </c>
      <c r="C130" s="83" t="s">
        <v>611</v>
      </c>
      <c r="D130" s="1">
        <v>3</v>
      </c>
      <c r="E130" s="1" t="s">
        <v>7</v>
      </c>
      <c r="F130" s="1">
        <v>2</v>
      </c>
      <c r="G130" s="2">
        <v>41281</v>
      </c>
      <c r="H130" s="51">
        <v>44462</v>
      </c>
      <c r="I130" s="47">
        <f t="shared" si="17"/>
        <v>8</v>
      </c>
      <c r="J130" s="47">
        <f t="shared" si="10"/>
        <v>104</v>
      </c>
      <c r="K130" s="1">
        <v>27.8</v>
      </c>
      <c r="L130" s="1">
        <v>1.27</v>
      </c>
      <c r="M130" s="43">
        <f t="shared" si="11"/>
        <v>127</v>
      </c>
      <c r="N130" s="1">
        <f>109-40</f>
        <v>69</v>
      </c>
      <c r="O130" s="48">
        <f t="shared" si="12"/>
        <v>45.669291338582681</v>
      </c>
      <c r="P130" s="49">
        <f t="shared" si="13"/>
        <v>17.236034472068944</v>
      </c>
      <c r="R130" s="91">
        <v>-0.58098018780060001</v>
      </c>
      <c r="S130" s="91">
        <v>28.062690321212703</v>
      </c>
      <c r="T130" s="39" t="str">
        <f t="shared" si="16"/>
        <v>Normal</v>
      </c>
      <c r="U130" s="91">
        <v>-1.6566929398120429</v>
      </c>
      <c r="V130" s="91">
        <v>4.8790785569900326</v>
      </c>
      <c r="W130" s="39" t="str">
        <f t="shared" si="14"/>
        <v>Piernas cortas</v>
      </c>
      <c r="X130" s="116">
        <v>0.63234087140535844</v>
      </c>
      <c r="Y130" s="91">
        <v>73.641791903099246</v>
      </c>
      <c r="Z130" s="39" t="str">
        <f t="shared" si="15"/>
        <v>Normal</v>
      </c>
    </row>
    <row r="131" spans="1:26" ht="15.75" x14ac:dyDescent="0.25">
      <c r="A131" s="33" t="s">
        <v>705</v>
      </c>
      <c r="B131" s="43">
        <v>128</v>
      </c>
      <c r="C131" s="50" t="s">
        <v>612</v>
      </c>
      <c r="D131" s="1">
        <v>3</v>
      </c>
      <c r="E131" s="1" t="s">
        <v>7</v>
      </c>
      <c r="F131" s="1">
        <v>1</v>
      </c>
      <c r="G131" s="2">
        <v>41444</v>
      </c>
      <c r="H131" s="51">
        <v>44462</v>
      </c>
      <c r="I131" s="47">
        <f t="shared" si="17"/>
        <v>8</v>
      </c>
      <c r="J131" s="47">
        <f t="shared" si="10"/>
        <v>99</v>
      </c>
      <c r="K131" s="1">
        <v>23.5</v>
      </c>
      <c r="L131" s="1">
        <v>1.22</v>
      </c>
      <c r="M131" s="43">
        <f t="shared" si="11"/>
        <v>122</v>
      </c>
      <c r="N131" s="1">
        <f>105.2-40</f>
        <v>65.2</v>
      </c>
      <c r="O131" s="48">
        <f t="shared" si="12"/>
        <v>46.557377049180324</v>
      </c>
      <c r="P131" s="49">
        <f t="shared" si="13"/>
        <v>15.788766460628864</v>
      </c>
      <c r="R131" s="91">
        <v>-1.1507622027809281</v>
      </c>
      <c r="S131" s="91">
        <v>12.491503922813383</v>
      </c>
      <c r="T131" s="39" t="str">
        <f t="shared" si="16"/>
        <v>Normal</v>
      </c>
      <c r="U131" s="91">
        <v>-0.85030378801783268</v>
      </c>
      <c r="V131" s="91">
        <v>19.757810554864257</v>
      </c>
      <c r="W131" s="39" t="str">
        <f t="shared" si="14"/>
        <v>Normal</v>
      </c>
      <c r="X131" s="116">
        <v>-1.354558965155594E-2</v>
      </c>
      <c r="Y131" s="91">
        <v>49.459625682469884</v>
      </c>
      <c r="Z131" s="39" t="str">
        <f t="shared" si="15"/>
        <v>Normal</v>
      </c>
    </row>
    <row r="132" spans="1:26" ht="15.75" x14ac:dyDescent="0.25">
      <c r="A132" s="33" t="s">
        <v>705</v>
      </c>
      <c r="B132" s="43">
        <v>129</v>
      </c>
      <c r="C132" s="83" t="s">
        <v>613</v>
      </c>
      <c r="D132" s="1">
        <v>3</v>
      </c>
      <c r="E132" s="1" t="s">
        <v>7</v>
      </c>
      <c r="F132" s="1">
        <v>1</v>
      </c>
      <c r="G132" s="2">
        <v>41444</v>
      </c>
      <c r="H132" s="51">
        <v>44462</v>
      </c>
      <c r="I132" s="47">
        <f t="shared" ref="I132:I163" si="18">DATEDIF(G132,H132,"y")</f>
        <v>8</v>
      </c>
      <c r="J132" s="47">
        <f t="shared" ref="J132:J195" si="19">DATEDIF(G132,H132,"m")</f>
        <v>99</v>
      </c>
      <c r="K132" s="1">
        <v>25.6</v>
      </c>
      <c r="L132" s="1">
        <v>1.28</v>
      </c>
      <c r="M132" s="43">
        <f t="shared" ref="M132:M204" si="20">L132*100</f>
        <v>128</v>
      </c>
      <c r="N132" s="1">
        <f>109.8-40</f>
        <v>69.8</v>
      </c>
      <c r="O132" s="48">
        <f t="shared" ref="O132:O204" si="21">((M132-N132)/M132)*100</f>
        <v>45.46875</v>
      </c>
      <c r="P132" s="49">
        <f t="shared" ref="P132:P195" si="22">K132/(L132*L132)</f>
        <v>15.625</v>
      </c>
      <c r="R132" s="91">
        <v>-0.10515339267014054</v>
      </c>
      <c r="S132" s="91">
        <v>45.812704643738513</v>
      </c>
      <c r="T132" s="39" t="str">
        <f t="shared" si="16"/>
        <v>Normal</v>
      </c>
      <c r="U132" s="91">
        <v>-1.5922706935501181</v>
      </c>
      <c r="V132" s="91">
        <v>5.5661947449578797</v>
      </c>
      <c r="W132" s="39" t="str">
        <f t="shared" ref="W132:W195" si="23">IF(U132&lt;-1.645,"Piernas cortas",IF(AND(U132&gt;=-1.645,U132&lt;=1.645),"Normal",IF(U132&gt;1.645,"Piernas largas")))</f>
        <v>Normal</v>
      </c>
      <c r="X132" s="116">
        <v>-0.12265106862445628</v>
      </c>
      <c r="Y132" s="91">
        <v>45.119170639214929</v>
      </c>
      <c r="Z132" s="39" t="str">
        <f t="shared" ref="Z132:Z195" si="24">IF(Y132&lt;5,"Desnutricion",IF(AND(Y132&gt;=5,Y132&lt;15),"Bajo Peso",IF(AND(Y132&gt;=15,Y132&lt;=85),"Normal",IF(Y132&gt;85,"Obesidad"))))</f>
        <v>Normal</v>
      </c>
    </row>
    <row r="133" spans="1:26" ht="15.75" x14ac:dyDescent="0.25">
      <c r="A133" s="33" t="s">
        <v>705</v>
      </c>
      <c r="B133" s="43">
        <v>130</v>
      </c>
      <c r="C133" s="83" t="s">
        <v>614</v>
      </c>
      <c r="D133" s="1">
        <v>3</v>
      </c>
      <c r="E133" s="1" t="s">
        <v>7</v>
      </c>
      <c r="F133" s="1">
        <v>1</v>
      </c>
      <c r="G133" s="2">
        <v>41444</v>
      </c>
      <c r="H133" s="51">
        <v>44462</v>
      </c>
      <c r="I133" s="47">
        <f t="shared" si="18"/>
        <v>8</v>
      </c>
      <c r="J133" s="47">
        <f t="shared" si="19"/>
        <v>99</v>
      </c>
      <c r="K133" s="1">
        <v>22.6</v>
      </c>
      <c r="L133" s="1">
        <v>1.22</v>
      </c>
      <c r="M133" s="43">
        <f t="shared" si="20"/>
        <v>122</v>
      </c>
      <c r="N133" s="1">
        <f>106.2-40</f>
        <v>66.2</v>
      </c>
      <c r="O133" s="48">
        <f t="shared" si="21"/>
        <v>45.737704918032783</v>
      </c>
      <c r="P133" s="49">
        <f t="shared" si="22"/>
        <v>15.184090298306907</v>
      </c>
      <c r="R133" s="91">
        <v>-1.1507622027809281</v>
      </c>
      <c r="S133" s="91">
        <v>12.491503922813383</v>
      </c>
      <c r="T133" s="39" t="str">
        <f t="shared" ref="T133:T196" si="25">IF(R133&lt;-1.645,"Desnutricion",IF(AND(R133&gt;=-1.645,R133&lt;=1.645),"Normal",IF(R133&gt;1.645,"Alto")))</f>
        <v>Normal</v>
      </c>
      <c r="U133" s="91">
        <v>-1.4071748733362246</v>
      </c>
      <c r="V133" s="91">
        <v>7.9687770214492426</v>
      </c>
      <c r="W133" s="39" t="str">
        <f t="shared" si="23"/>
        <v>Normal</v>
      </c>
      <c r="X133" s="116">
        <v>-0.43116348027614232</v>
      </c>
      <c r="Y133" s="91">
        <v>33.317475292918488</v>
      </c>
      <c r="Z133" s="39" t="str">
        <f t="shared" si="24"/>
        <v>Normal</v>
      </c>
    </row>
    <row r="134" spans="1:26" ht="15.75" x14ac:dyDescent="0.25">
      <c r="A134" s="33" t="s">
        <v>705</v>
      </c>
      <c r="B134" s="43">
        <v>131</v>
      </c>
      <c r="C134" s="50" t="s">
        <v>615</v>
      </c>
      <c r="D134" s="1">
        <v>3</v>
      </c>
      <c r="E134" s="1" t="s">
        <v>7</v>
      </c>
      <c r="F134" s="1">
        <v>1</v>
      </c>
      <c r="G134" s="2">
        <v>41401</v>
      </c>
      <c r="H134" s="51">
        <v>44462</v>
      </c>
      <c r="I134" s="47">
        <f t="shared" si="18"/>
        <v>8</v>
      </c>
      <c r="J134" s="47">
        <f t="shared" si="19"/>
        <v>100</v>
      </c>
      <c r="K134" s="1">
        <v>34.200000000000003</v>
      </c>
      <c r="L134" s="1">
        <v>1.29</v>
      </c>
      <c r="M134" s="43">
        <f t="shared" si="20"/>
        <v>129</v>
      </c>
      <c r="N134" s="1">
        <f>110-40</f>
        <v>70</v>
      </c>
      <c r="O134" s="48">
        <f t="shared" si="21"/>
        <v>45.736434108527128</v>
      </c>
      <c r="P134" s="49">
        <f t="shared" si="22"/>
        <v>20.55164954029205</v>
      </c>
      <c r="R134" s="91">
        <v>-8.0785204169758363E-3</v>
      </c>
      <c r="S134" s="91">
        <v>49.677717169758807</v>
      </c>
      <c r="T134" s="39" t="str">
        <f t="shared" si="25"/>
        <v>Normal</v>
      </c>
      <c r="U134" s="91">
        <v>-1.4080466585012346</v>
      </c>
      <c r="V134" s="91">
        <v>7.9558627192624689</v>
      </c>
      <c r="W134" s="39" t="str">
        <f t="shared" si="23"/>
        <v>Normal</v>
      </c>
      <c r="X134" s="116">
        <v>2.2195989819568474</v>
      </c>
      <c r="Y134" s="91">
        <v>98.677699927427412</v>
      </c>
      <c r="Z134" s="39" t="str">
        <f t="shared" si="24"/>
        <v>Obesidad</v>
      </c>
    </row>
    <row r="135" spans="1:26" ht="15.75" x14ac:dyDescent="0.25">
      <c r="A135" s="33" t="s">
        <v>705</v>
      </c>
      <c r="B135" s="43">
        <v>132</v>
      </c>
      <c r="C135" s="50" t="s">
        <v>616</v>
      </c>
      <c r="D135" s="1">
        <v>3</v>
      </c>
      <c r="E135" s="1" t="s">
        <v>26</v>
      </c>
      <c r="F135" s="1">
        <v>1</v>
      </c>
      <c r="G135" s="2">
        <v>41309</v>
      </c>
      <c r="H135" s="51">
        <v>44462</v>
      </c>
      <c r="I135" s="47">
        <f t="shared" si="18"/>
        <v>8</v>
      </c>
      <c r="J135" s="47">
        <f t="shared" si="19"/>
        <v>103</v>
      </c>
      <c r="K135" s="1">
        <v>24.1</v>
      </c>
      <c r="L135" s="1">
        <v>1.26</v>
      </c>
      <c r="M135" s="43">
        <f t="shared" si="20"/>
        <v>126</v>
      </c>
      <c r="N135" s="1">
        <f>108.5-40</f>
        <v>68.5</v>
      </c>
      <c r="O135" s="48">
        <f t="shared" si="21"/>
        <v>45.634920634920633</v>
      </c>
      <c r="P135" s="49">
        <f t="shared" si="22"/>
        <v>15.180146132527085</v>
      </c>
      <c r="R135" s="91">
        <v>-0.74579951630025032</v>
      </c>
      <c r="S135" s="91">
        <v>22.789426610046533</v>
      </c>
      <c r="T135" s="39" t="str">
        <f t="shared" si="25"/>
        <v>Normal</v>
      </c>
      <c r="U135" s="91">
        <v>-1.4777710734899836</v>
      </c>
      <c r="V135" s="91">
        <v>6.9734531674744709</v>
      </c>
      <c r="W135" s="39" t="str">
        <f t="shared" si="23"/>
        <v>Normal</v>
      </c>
      <c r="X135" s="116">
        <v>-0.4973007639227795</v>
      </c>
      <c r="Y135" s="91">
        <v>30.948848656700566</v>
      </c>
      <c r="Z135" s="39" t="str">
        <f t="shared" si="24"/>
        <v>Normal</v>
      </c>
    </row>
    <row r="136" spans="1:26" ht="15.75" x14ac:dyDescent="0.25">
      <c r="A136" s="33" t="s">
        <v>705</v>
      </c>
      <c r="B136" s="43">
        <v>133</v>
      </c>
      <c r="C136" s="50" t="s">
        <v>617</v>
      </c>
      <c r="D136" s="1">
        <v>3</v>
      </c>
      <c r="E136" s="1" t="s">
        <v>26</v>
      </c>
      <c r="F136" s="1">
        <v>2</v>
      </c>
      <c r="G136" s="2">
        <v>41630</v>
      </c>
      <c r="H136" s="51">
        <v>44462</v>
      </c>
      <c r="I136" s="47">
        <f t="shared" si="18"/>
        <v>7</v>
      </c>
      <c r="J136" s="47">
        <f t="shared" si="19"/>
        <v>93</v>
      </c>
      <c r="K136" s="1">
        <v>21.3</v>
      </c>
      <c r="L136" s="1">
        <v>1.2</v>
      </c>
      <c r="M136" s="43">
        <f t="shared" si="20"/>
        <v>120</v>
      </c>
      <c r="N136" s="1">
        <f>102.3-40</f>
        <v>62.3</v>
      </c>
      <c r="O136" s="48">
        <f t="shared" si="21"/>
        <v>48.083333333333336</v>
      </c>
      <c r="P136" s="49">
        <f t="shared" si="22"/>
        <v>14.791666666666668</v>
      </c>
      <c r="R136" s="91">
        <v>-0.89301575006078837</v>
      </c>
      <c r="S136" s="91">
        <v>18.59243691215368</v>
      </c>
      <c r="T136" s="39" t="str">
        <f t="shared" si="25"/>
        <v>Normal</v>
      </c>
      <c r="U136" s="91">
        <v>0.33930509652015151</v>
      </c>
      <c r="V136" s="91">
        <v>63.28100481601264</v>
      </c>
      <c r="W136" s="39" t="str">
        <f t="shared" si="23"/>
        <v>Normal</v>
      </c>
      <c r="X136" s="116">
        <v>-0.49331833530051966</v>
      </c>
      <c r="Y136" s="91">
        <v>31.089383748165851</v>
      </c>
      <c r="Z136" s="39" t="str">
        <f t="shared" si="24"/>
        <v>Normal</v>
      </c>
    </row>
    <row r="137" spans="1:26" ht="15.75" x14ac:dyDescent="0.25">
      <c r="A137" s="33" t="s">
        <v>705</v>
      </c>
      <c r="B137" s="43">
        <v>134</v>
      </c>
      <c r="C137" s="83" t="s">
        <v>618</v>
      </c>
      <c r="D137" s="1">
        <v>3</v>
      </c>
      <c r="E137" s="1" t="s">
        <v>26</v>
      </c>
      <c r="F137" s="1">
        <v>1</v>
      </c>
      <c r="G137" s="2">
        <v>41630</v>
      </c>
      <c r="H137" s="51">
        <v>44462</v>
      </c>
      <c r="I137" s="47">
        <f t="shared" si="18"/>
        <v>7</v>
      </c>
      <c r="J137" s="47">
        <f t="shared" si="19"/>
        <v>93</v>
      </c>
      <c r="K137" s="1">
        <v>27</v>
      </c>
      <c r="L137" s="1">
        <v>1.24</v>
      </c>
      <c r="M137" s="43">
        <f t="shared" si="20"/>
        <v>124</v>
      </c>
      <c r="N137" s="1">
        <f>105.4-40</f>
        <v>65.400000000000006</v>
      </c>
      <c r="O137" s="48">
        <f t="shared" si="21"/>
        <v>47.258064516129025</v>
      </c>
      <c r="P137" s="49">
        <f t="shared" si="22"/>
        <v>17.559833506763788</v>
      </c>
      <c r="R137" s="91">
        <v>-0.34374024090075989</v>
      </c>
      <c r="S137" s="91">
        <v>36.552082265171343</v>
      </c>
      <c r="T137" s="39" t="str">
        <f t="shared" si="25"/>
        <v>Normal</v>
      </c>
      <c r="U137" s="91">
        <v>-5.8898565479825263E-2</v>
      </c>
      <c r="V137" s="91">
        <v>47.65164503255798</v>
      </c>
      <c r="W137" s="39" t="str">
        <f t="shared" si="23"/>
        <v>Normal</v>
      </c>
      <c r="X137" s="116">
        <v>1.1195551912308359</v>
      </c>
      <c r="Y137" s="91">
        <v>86.854832032376393</v>
      </c>
      <c r="Z137" s="39" t="str">
        <f t="shared" si="24"/>
        <v>Obesidad</v>
      </c>
    </row>
    <row r="138" spans="1:26" ht="15.75" x14ac:dyDescent="0.25">
      <c r="A138" s="33" t="s">
        <v>705</v>
      </c>
      <c r="B138" s="43">
        <v>135</v>
      </c>
      <c r="C138" s="50" t="s">
        <v>619</v>
      </c>
      <c r="D138" s="1">
        <v>3</v>
      </c>
      <c r="E138" s="1" t="s">
        <v>26</v>
      </c>
      <c r="F138" s="1">
        <v>2</v>
      </c>
      <c r="G138" s="2">
        <v>41362</v>
      </c>
      <c r="H138" s="51">
        <v>44462</v>
      </c>
      <c r="I138" s="47">
        <f t="shared" si="18"/>
        <v>8</v>
      </c>
      <c r="J138" s="47">
        <f t="shared" si="19"/>
        <v>101</v>
      </c>
      <c r="K138" s="1">
        <v>24</v>
      </c>
      <c r="L138" s="1">
        <v>1.17</v>
      </c>
      <c r="M138" s="43">
        <f t="shared" si="20"/>
        <v>117</v>
      </c>
      <c r="N138" s="1">
        <f>102.7-40</f>
        <v>62.7</v>
      </c>
      <c r="O138" s="48">
        <f t="shared" si="21"/>
        <v>46.410256410256409</v>
      </c>
      <c r="P138" s="49">
        <f t="shared" si="22"/>
        <v>17.53232522463292</v>
      </c>
      <c r="R138" s="91">
        <v>-2.0240996963775419</v>
      </c>
      <c r="S138" s="91">
        <v>2.1479947431373159</v>
      </c>
      <c r="T138" s="39" t="str">
        <f t="shared" si="25"/>
        <v>Desnutricion</v>
      </c>
      <c r="U138" s="91">
        <v>-1.1353780200860497</v>
      </c>
      <c r="V138" s="91">
        <v>12.810848251304105</v>
      </c>
      <c r="W138" s="39" t="str">
        <f t="shared" si="23"/>
        <v>Normal</v>
      </c>
      <c r="X138" s="116">
        <v>0.82108393738040253</v>
      </c>
      <c r="Y138" s="91">
        <v>79.420077065119315</v>
      </c>
      <c r="Z138" s="39" t="str">
        <f t="shared" si="24"/>
        <v>Normal</v>
      </c>
    </row>
    <row r="139" spans="1:26" ht="15.75" x14ac:dyDescent="0.25">
      <c r="A139" s="33" t="s">
        <v>705</v>
      </c>
      <c r="B139" s="43">
        <v>136</v>
      </c>
      <c r="C139" s="50" t="s">
        <v>620</v>
      </c>
      <c r="D139" s="1">
        <v>3</v>
      </c>
      <c r="E139" s="1" t="s">
        <v>26</v>
      </c>
      <c r="F139" s="1">
        <v>1</v>
      </c>
      <c r="G139" s="2">
        <v>41514</v>
      </c>
      <c r="H139" s="51">
        <v>44462</v>
      </c>
      <c r="I139" s="47">
        <f t="shared" si="18"/>
        <v>8</v>
      </c>
      <c r="J139" s="47">
        <f t="shared" si="19"/>
        <v>96</v>
      </c>
      <c r="K139" s="1">
        <v>27.9</v>
      </c>
      <c r="L139" s="1">
        <v>1.31</v>
      </c>
      <c r="M139" s="43">
        <f t="shared" si="20"/>
        <v>131</v>
      </c>
      <c r="N139" s="1">
        <f>109.2-40</f>
        <v>69.2</v>
      </c>
      <c r="O139" s="48">
        <f t="shared" si="21"/>
        <v>47.175572519083971</v>
      </c>
      <c r="P139" s="49">
        <f t="shared" si="22"/>
        <v>16.257793834858106</v>
      </c>
      <c r="R139" s="91">
        <v>0.6612753854212744</v>
      </c>
      <c r="S139" s="91">
        <v>74.578213805017782</v>
      </c>
      <c r="T139" s="39" t="str">
        <f t="shared" si="25"/>
        <v>Normal</v>
      </c>
      <c r="U139" s="91">
        <v>-0.43733248626695914</v>
      </c>
      <c r="V139" s="91">
        <v>33.093511940776104</v>
      </c>
      <c r="W139" s="39" t="str">
        <f t="shared" si="23"/>
        <v>Normal</v>
      </c>
      <c r="X139" s="116">
        <v>0.33389381661542267</v>
      </c>
      <c r="Y139" s="91">
        <v>63.077015703983406</v>
      </c>
      <c r="Z139" s="39" t="str">
        <f t="shared" si="24"/>
        <v>Normal</v>
      </c>
    </row>
    <row r="140" spans="1:26" ht="15.75" x14ac:dyDescent="0.25">
      <c r="A140" s="33" t="s">
        <v>705</v>
      </c>
      <c r="B140" s="43">
        <v>137</v>
      </c>
      <c r="C140" s="50" t="s">
        <v>621</v>
      </c>
      <c r="D140" s="1">
        <v>3</v>
      </c>
      <c r="E140" s="1" t="s">
        <v>26</v>
      </c>
      <c r="F140" s="1">
        <v>2</v>
      </c>
      <c r="G140" s="2">
        <v>41483</v>
      </c>
      <c r="H140" s="51">
        <v>44462</v>
      </c>
      <c r="I140" s="47">
        <f t="shared" si="18"/>
        <v>8</v>
      </c>
      <c r="J140" s="47">
        <f t="shared" si="19"/>
        <v>97</v>
      </c>
      <c r="K140" s="1">
        <v>31.1</v>
      </c>
      <c r="L140" s="1">
        <v>1.26</v>
      </c>
      <c r="M140" s="43">
        <f t="shared" si="20"/>
        <v>126</v>
      </c>
      <c r="N140" s="1">
        <f>109.5-40</f>
        <v>69.5</v>
      </c>
      <c r="O140" s="48">
        <f t="shared" si="21"/>
        <v>44.841269841269842</v>
      </c>
      <c r="P140" s="49">
        <f t="shared" si="22"/>
        <v>19.589317208364825</v>
      </c>
      <c r="R140" s="91">
        <v>-0.17895604500987727</v>
      </c>
      <c r="S140" s="91">
        <v>42.898610772940835</v>
      </c>
      <c r="T140" s="39" t="str">
        <f t="shared" si="25"/>
        <v>Normal</v>
      </c>
      <c r="U140" s="91">
        <v>-2.2503322025326953</v>
      </c>
      <c r="V140" s="91">
        <v>1.221393260211395</v>
      </c>
      <c r="W140" s="39" t="str">
        <f t="shared" si="23"/>
        <v>Piernas cortas</v>
      </c>
      <c r="X140" s="116">
        <v>1.67521509936761</v>
      </c>
      <c r="Y140" s="91">
        <v>95.305398197232222</v>
      </c>
      <c r="Z140" s="39" t="str">
        <f t="shared" si="24"/>
        <v>Obesidad</v>
      </c>
    </row>
    <row r="141" spans="1:26" ht="15.75" x14ac:dyDescent="0.25">
      <c r="A141" s="33" t="s">
        <v>705</v>
      </c>
      <c r="B141" s="43">
        <v>138</v>
      </c>
      <c r="C141" s="50" t="s">
        <v>622</v>
      </c>
      <c r="D141" s="1">
        <v>3</v>
      </c>
      <c r="E141" s="1" t="s">
        <v>26</v>
      </c>
      <c r="F141" s="1">
        <v>1</v>
      </c>
      <c r="G141" s="2">
        <v>41468</v>
      </c>
      <c r="H141" s="51">
        <v>44462</v>
      </c>
      <c r="I141" s="47">
        <f t="shared" si="18"/>
        <v>8</v>
      </c>
      <c r="J141" s="47">
        <f t="shared" si="19"/>
        <v>98</v>
      </c>
      <c r="K141" s="1">
        <v>42.3</v>
      </c>
      <c r="L141" s="1">
        <v>1.34</v>
      </c>
      <c r="M141" s="43">
        <f t="shared" si="20"/>
        <v>134</v>
      </c>
      <c r="N141" s="1">
        <f>111-40</f>
        <v>71</v>
      </c>
      <c r="O141" s="48">
        <f t="shared" si="21"/>
        <v>47.014925373134332</v>
      </c>
      <c r="P141" s="49">
        <f t="shared" si="22"/>
        <v>23.55758520828692</v>
      </c>
      <c r="R141" s="91">
        <v>1.0232644435598164</v>
      </c>
      <c r="S141" s="91">
        <v>84.690858477926156</v>
      </c>
      <c r="T141" s="39" t="str">
        <f t="shared" si="25"/>
        <v>Normal</v>
      </c>
      <c r="U141" s="91">
        <v>-0.5440796369664278</v>
      </c>
      <c r="V141" s="91">
        <v>29.31933362271668</v>
      </c>
      <c r="W141" s="39" t="str">
        <f t="shared" si="23"/>
        <v>Normal</v>
      </c>
      <c r="X141" s="116">
        <v>3.1355992170285485</v>
      </c>
      <c r="Y141" s="91">
        <v>99.914248297702343</v>
      </c>
      <c r="Z141" s="39" t="str">
        <f t="shared" si="24"/>
        <v>Obesidad</v>
      </c>
    </row>
    <row r="142" spans="1:26" ht="15.75" x14ac:dyDescent="0.25">
      <c r="A142" s="33" t="s">
        <v>705</v>
      </c>
      <c r="B142" s="43">
        <v>139</v>
      </c>
      <c r="C142" s="83" t="s">
        <v>623</v>
      </c>
      <c r="D142" s="1">
        <v>3</v>
      </c>
      <c r="E142" s="1" t="s">
        <v>173</v>
      </c>
      <c r="F142" s="1">
        <v>2</v>
      </c>
      <c r="G142" s="2">
        <v>41468</v>
      </c>
      <c r="H142" s="51">
        <v>44462</v>
      </c>
      <c r="I142" s="47">
        <f t="shared" si="18"/>
        <v>8</v>
      </c>
      <c r="J142" s="47">
        <f t="shared" si="19"/>
        <v>98</v>
      </c>
      <c r="K142" s="1">
        <v>26.4</v>
      </c>
      <c r="L142" s="1">
        <v>1.27</v>
      </c>
      <c r="M142" s="43">
        <f t="shared" si="20"/>
        <v>127</v>
      </c>
      <c r="N142" s="1">
        <f>108-40</f>
        <v>68</v>
      </c>
      <c r="O142" s="48">
        <f t="shared" si="21"/>
        <v>46.45669291338583</v>
      </c>
      <c r="P142" s="49">
        <f t="shared" si="22"/>
        <v>16.368032736065473</v>
      </c>
      <c r="R142" s="91">
        <v>-9.0649702744721908E-2</v>
      </c>
      <c r="S142" s="91">
        <v>46.388546869803029</v>
      </c>
      <c r="T142" s="39" t="str">
        <f t="shared" si="25"/>
        <v>Normal</v>
      </c>
      <c r="U142" s="91">
        <v>-1.10301115143285</v>
      </c>
      <c r="V142" s="91">
        <v>13.501116124179614</v>
      </c>
      <c r="W142" s="39" t="str">
        <f t="shared" si="23"/>
        <v>Normal</v>
      </c>
      <c r="X142" s="116">
        <v>0.33373514059284837</v>
      </c>
      <c r="Y142" s="91">
        <v>63.071028498042068</v>
      </c>
      <c r="Z142" s="39" t="str">
        <f t="shared" si="24"/>
        <v>Normal</v>
      </c>
    </row>
    <row r="143" spans="1:26" ht="15.75" x14ac:dyDescent="0.25">
      <c r="A143" s="33" t="s">
        <v>705</v>
      </c>
      <c r="B143" s="43">
        <v>140</v>
      </c>
      <c r="C143" s="50" t="s">
        <v>624</v>
      </c>
      <c r="D143" s="1">
        <v>3</v>
      </c>
      <c r="E143" s="1" t="s">
        <v>173</v>
      </c>
      <c r="F143" s="1">
        <v>2</v>
      </c>
      <c r="G143" s="2">
        <v>41449</v>
      </c>
      <c r="H143" s="51">
        <v>44462</v>
      </c>
      <c r="I143" s="47">
        <f t="shared" si="18"/>
        <v>8</v>
      </c>
      <c r="J143" s="47">
        <f t="shared" si="19"/>
        <v>98</v>
      </c>
      <c r="K143" s="1">
        <v>37.1</v>
      </c>
      <c r="L143" s="1">
        <v>1.35</v>
      </c>
      <c r="M143" s="43">
        <f t="shared" si="20"/>
        <v>135</v>
      </c>
      <c r="N143" s="1">
        <f>111.3-40</f>
        <v>71.3</v>
      </c>
      <c r="O143" s="48">
        <f t="shared" si="21"/>
        <v>47.185185185185183</v>
      </c>
      <c r="P143" s="49">
        <f t="shared" si="22"/>
        <v>20.356652949245539</v>
      </c>
      <c r="R143" s="91">
        <v>1.276615798683959</v>
      </c>
      <c r="S143" s="91">
        <v>89.913103928984398</v>
      </c>
      <c r="T143" s="39" t="str">
        <f t="shared" si="25"/>
        <v>Normal</v>
      </c>
      <c r="U143" s="91">
        <v>-0.59983138383362089</v>
      </c>
      <c r="V143" s="91">
        <v>27.430930764719974</v>
      </c>
      <c r="W143" s="39" t="str">
        <f t="shared" si="23"/>
        <v>Normal</v>
      </c>
      <c r="X143" s="116">
        <v>1.896292044823163</v>
      </c>
      <c r="Y143" s="91">
        <v>97.103928118821585</v>
      </c>
      <c r="Z143" s="39" t="str">
        <f t="shared" si="24"/>
        <v>Obesidad</v>
      </c>
    </row>
    <row r="144" spans="1:26" ht="15.75" x14ac:dyDescent="0.25">
      <c r="A144" s="33" t="s">
        <v>705</v>
      </c>
      <c r="B144" s="43">
        <v>141</v>
      </c>
      <c r="C144" s="83" t="s">
        <v>625</v>
      </c>
      <c r="D144" s="1">
        <v>3</v>
      </c>
      <c r="E144" s="1" t="s">
        <v>173</v>
      </c>
      <c r="F144" s="1">
        <v>2</v>
      </c>
      <c r="G144" s="2">
        <v>41449</v>
      </c>
      <c r="H144" s="51">
        <v>44462</v>
      </c>
      <c r="I144" s="47">
        <f t="shared" si="18"/>
        <v>8</v>
      </c>
      <c r="J144" s="47">
        <f t="shared" si="19"/>
        <v>98</v>
      </c>
      <c r="K144" s="1">
        <v>24.2</v>
      </c>
      <c r="L144" s="1">
        <v>1.22</v>
      </c>
      <c r="M144" s="43">
        <f t="shared" si="20"/>
        <v>122</v>
      </c>
      <c r="N144" s="1">
        <f>105.3-40</f>
        <v>65.3</v>
      </c>
      <c r="O144" s="48">
        <f t="shared" si="21"/>
        <v>46.47540983606558</v>
      </c>
      <c r="P144" s="49">
        <f t="shared" si="22"/>
        <v>16.25907014243483</v>
      </c>
      <c r="R144" s="91">
        <v>-0.94519064113764739</v>
      </c>
      <c r="S144" s="91">
        <v>17.228077828794184</v>
      </c>
      <c r="T144" s="39" t="str">
        <f t="shared" si="25"/>
        <v>Normal</v>
      </c>
      <c r="U144" s="91">
        <v>-1.0899752229645032</v>
      </c>
      <c r="V144" s="91">
        <v>13.786202926679058</v>
      </c>
      <c r="W144" s="39" t="str">
        <f t="shared" si="23"/>
        <v>Normal</v>
      </c>
      <c r="X144" s="116">
        <v>0.27791164376650451</v>
      </c>
      <c r="Y144" s="91">
        <v>60.94599072818361</v>
      </c>
      <c r="Z144" s="39" t="str">
        <f t="shared" si="24"/>
        <v>Normal</v>
      </c>
    </row>
    <row r="145" spans="1:26" ht="15.75" x14ac:dyDescent="0.25">
      <c r="A145" s="33" t="s">
        <v>705</v>
      </c>
      <c r="B145" s="43">
        <v>142</v>
      </c>
      <c r="C145" s="50" t="s">
        <v>626</v>
      </c>
      <c r="D145" s="1">
        <v>3</v>
      </c>
      <c r="E145" s="1" t="s">
        <v>173</v>
      </c>
      <c r="F145" s="1">
        <v>1</v>
      </c>
      <c r="G145" s="2">
        <v>41501</v>
      </c>
      <c r="H145" s="51">
        <v>44462</v>
      </c>
      <c r="I145" s="47">
        <f t="shared" si="18"/>
        <v>8</v>
      </c>
      <c r="J145" s="47">
        <f t="shared" si="19"/>
        <v>97</v>
      </c>
      <c r="K145" s="1">
        <v>25</v>
      </c>
      <c r="L145" s="1">
        <v>1.24</v>
      </c>
      <c r="M145" s="43">
        <f t="shared" si="20"/>
        <v>124</v>
      </c>
      <c r="N145" s="1">
        <f>106.3-40</f>
        <v>66.3</v>
      </c>
      <c r="O145" s="48">
        <f t="shared" si="21"/>
        <v>46.532258064516128</v>
      </c>
      <c r="P145" s="49">
        <f t="shared" si="22"/>
        <v>16.259105098855358</v>
      </c>
      <c r="R145" s="91">
        <v>-0.65389652214146177</v>
      </c>
      <c r="S145" s="91">
        <v>25.658923737614899</v>
      </c>
      <c r="T145" s="39" t="str">
        <f t="shared" si="25"/>
        <v>Normal</v>
      </c>
      <c r="U145" s="91">
        <v>-0.86721005143803109</v>
      </c>
      <c r="V145" s="91">
        <v>19.291346496324902</v>
      </c>
      <c r="W145" s="39" t="str">
        <f t="shared" si="23"/>
        <v>Normal</v>
      </c>
      <c r="X145" s="116">
        <v>0.31811127049229276</v>
      </c>
      <c r="Y145" s="91">
        <v>62.479973262804123</v>
      </c>
      <c r="Z145" s="39" t="str">
        <f t="shared" si="24"/>
        <v>Normal</v>
      </c>
    </row>
    <row r="146" spans="1:26" ht="15.75" x14ac:dyDescent="0.25">
      <c r="A146" s="33" t="s">
        <v>705</v>
      </c>
      <c r="B146" s="43">
        <v>143</v>
      </c>
      <c r="C146" s="83" t="s">
        <v>627</v>
      </c>
      <c r="D146" s="1">
        <v>3</v>
      </c>
      <c r="E146" s="1" t="s">
        <v>173</v>
      </c>
      <c r="F146" s="1">
        <v>2</v>
      </c>
      <c r="G146" s="2">
        <v>41501</v>
      </c>
      <c r="H146" s="51">
        <v>44462</v>
      </c>
      <c r="I146" s="47">
        <f t="shared" si="18"/>
        <v>8</v>
      </c>
      <c r="J146" s="47">
        <f t="shared" si="19"/>
        <v>97</v>
      </c>
      <c r="K146" s="1">
        <v>44.1</v>
      </c>
      <c r="L146" s="1">
        <v>1.39</v>
      </c>
      <c r="M146" s="43">
        <f t="shared" si="20"/>
        <v>139</v>
      </c>
      <c r="N146" s="1">
        <f>114.4-40</f>
        <v>74.400000000000006</v>
      </c>
      <c r="O146" s="48">
        <f t="shared" si="21"/>
        <v>46.474820143884884</v>
      </c>
      <c r="P146" s="49">
        <f t="shared" si="22"/>
        <v>22.824905543191349</v>
      </c>
      <c r="R146" s="91">
        <v>2.0528442093343191</v>
      </c>
      <c r="S146" s="91">
        <v>97.995615533590254</v>
      </c>
      <c r="T146" s="39" t="str">
        <f t="shared" si="25"/>
        <v>Alto</v>
      </c>
      <c r="U146" s="91">
        <v>-1.0903858429707807</v>
      </c>
      <c r="V146" s="91">
        <v>13.777160769193941</v>
      </c>
      <c r="W146" s="39" t="str">
        <f t="shared" si="23"/>
        <v>Normal</v>
      </c>
      <c r="X146" s="116">
        <v>2.567558275914767</v>
      </c>
      <c r="Y146" s="91">
        <v>99.487912136393916</v>
      </c>
      <c r="Z146" s="39" t="str">
        <f t="shared" si="24"/>
        <v>Obesidad</v>
      </c>
    </row>
    <row r="147" spans="1:26" ht="15.75" x14ac:dyDescent="0.25">
      <c r="A147" s="33" t="s">
        <v>705</v>
      </c>
      <c r="B147" s="43">
        <v>144</v>
      </c>
      <c r="C147" s="83" t="s">
        <v>628</v>
      </c>
      <c r="D147" s="1">
        <v>3</v>
      </c>
      <c r="E147" s="1" t="s">
        <v>173</v>
      </c>
      <c r="F147" s="1">
        <v>1</v>
      </c>
      <c r="G147" s="2">
        <v>41501</v>
      </c>
      <c r="H147" s="51">
        <v>44462</v>
      </c>
      <c r="I147" s="47">
        <f t="shared" si="18"/>
        <v>8</v>
      </c>
      <c r="J147" s="47">
        <f t="shared" si="19"/>
        <v>97</v>
      </c>
      <c r="K147" s="1">
        <v>21.7</v>
      </c>
      <c r="L147" s="1">
        <v>1.24</v>
      </c>
      <c r="M147" s="43">
        <f t="shared" si="20"/>
        <v>124</v>
      </c>
      <c r="N147" s="1">
        <f>104.6-40</f>
        <v>64.599999999999994</v>
      </c>
      <c r="O147" s="48">
        <f t="shared" si="21"/>
        <v>47.903225806451616</v>
      </c>
      <c r="P147" s="49">
        <f t="shared" si="22"/>
        <v>14.11290322580645</v>
      </c>
      <c r="R147" s="91">
        <v>-0.65389652214146177</v>
      </c>
      <c r="S147" s="91">
        <v>25.658923737614899</v>
      </c>
      <c r="T147" s="39" t="str">
        <f t="shared" si="25"/>
        <v>Normal</v>
      </c>
      <c r="U147" s="91">
        <v>4.127059534698501E-2</v>
      </c>
      <c r="V147" s="91">
        <v>51.645991269791857</v>
      </c>
      <c r="W147" s="39" t="str">
        <f t="shared" si="23"/>
        <v>Normal</v>
      </c>
      <c r="X147" s="116">
        <v>-1.2538125939934819</v>
      </c>
      <c r="Y147" s="91">
        <v>10.495506526157428</v>
      </c>
      <c r="Z147" s="39" t="str">
        <f t="shared" si="24"/>
        <v>Bajo Peso</v>
      </c>
    </row>
    <row r="148" spans="1:26" ht="15.75" x14ac:dyDescent="0.25">
      <c r="A148" s="33" t="s">
        <v>705</v>
      </c>
      <c r="B148" s="43">
        <v>145</v>
      </c>
      <c r="C148" s="50" t="s">
        <v>629</v>
      </c>
      <c r="D148" s="1">
        <v>3</v>
      </c>
      <c r="E148" s="1" t="s">
        <v>173</v>
      </c>
      <c r="F148" s="1">
        <v>2</v>
      </c>
      <c r="G148" s="2">
        <v>41447</v>
      </c>
      <c r="H148" s="51">
        <v>44462</v>
      </c>
      <c r="I148" s="47">
        <f t="shared" si="18"/>
        <v>8</v>
      </c>
      <c r="J148" s="47">
        <f t="shared" si="19"/>
        <v>99</v>
      </c>
      <c r="K148" s="1">
        <v>33.5</v>
      </c>
      <c r="L148" s="1">
        <v>1.33</v>
      </c>
      <c r="M148" s="43">
        <f t="shared" si="20"/>
        <v>133</v>
      </c>
      <c r="N148" s="1">
        <f>110.6-40</f>
        <v>70.599999999999994</v>
      </c>
      <c r="O148" s="48">
        <f t="shared" si="21"/>
        <v>46.917293233082717</v>
      </c>
      <c r="P148" s="49">
        <f t="shared" si="22"/>
        <v>18.938323251738368</v>
      </c>
      <c r="R148" s="91">
        <v>0.84733137361670063</v>
      </c>
      <c r="S148" s="91">
        <v>80.159477795412869</v>
      </c>
      <c r="T148" s="39" t="str">
        <f t="shared" si="25"/>
        <v>Normal</v>
      </c>
      <c r="U148" s="91">
        <v>-0.78387260022447136</v>
      </c>
      <c r="V148" s="91">
        <v>21.655743431555575</v>
      </c>
      <c r="W148" s="39" t="str">
        <f t="shared" si="23"/>
        <v>Normal</v>
      </c>
      <c r="X148" s="116">
        <v>1.4107560533944519</v>
      </c>
      <c r="Y148" s="91">
        <v>92.084172165245533</v>
      </c>
      <c r="Z148" s="39" t="str">
        <f t="shared" si="24"/>
        <v>Obesidad</v>
      </c>
    </row>
    <row r="149" spans="1:26" ht="15.75" x14ac:dyDescent="0.25">
      <c r="A149" s="33" t="s">
        <v>705</v>
      </c>
      <c r="B149" s="43">
        <v>146</v>
      </c>
      <c r="C149" s="83" t="s">
        <v>630</v>
      </c>
      <c r="D149" s="1">
        <v>3</v>
      </c>
      <c r="E149" s="1" t="s">
        <v>173</v>
      </c>
      <c r="F149" s="1">
        <v>2</v>
      </c>
      <c r="G149" s="2">
        <v>41447</v>
      </c>
      <c r="H149" s="51">
        <v>44462</v>
      </c>
      <c r="I149" s="47">
        <f t="shared" si="18"/>
        <v>8</v>
      </c>
      <c r="J149" s="47">
        <f t="shared" si="19"/>
        <v>99</v>
      </c>
      <c r="K149" s="1">
        <v>28.4</v>
      </c>
      <c r="L149" s="1">
        <v>1.27</v>
      </c>
      <c r="M149" s="43">
        <f t="shared" si="20"/>
        <v>127</v>
      </c>
      <c r="N149" s="1">
        <f>109-40</f>
        <v>69</v>
      </c>
      <c r="O149" s="48">
        <f t="shared" si="21"/>
        <v>45.669291338582681</v>
      </c>
      <c r="P149" s="49">
        <f t="shared" si="22"/>
        <v>17.60803521607043</v>
      </c>
      <c r="R149" s="91">
        <v>-0.17352930020515261</v>
      </c>
      <c r="S149" s="91">
        <v>43.11176994956687</v>
      </c>
      <c r="T149" s="39" t="str">
        <f t="shared" si="25"/>
        <v>Normal</v>
      </c>
      <c r="U149" s="91">
        <v>-1.6566929398120429</v>
      </c>
      <c r="V149" s="91">
        <v>4.8790785569900326</v>
      </c>
      <c r="W149" s="39" t="str">
        <f t="shared" si="23"/>
        <v>Piernas cortas</v>
      </c>
      <c r="X149" s="116">
        <v>0.892131889082319</v>
      </c>
      <c r="Y149" s="91">
        <v>81.383887791847442</v>
      </c>
      <c r="Z149" s="39" t="str">
        <f t="shared" si="24"/>
        <v>Normal</v>
      </c>
    </row>
    <row r="150" spans="1:26" ht="15.75" x14ac:dyDescent="0.25">
      <c r="A150" s="33" t="s">
        <v>705</v>
      </c>
      <c r="B150" s="43">
        <v>147</v>
      </c>
      <c r="C150" s="83" t="s">
        <v>631</v>
      </c>
      <c r="D150" s="1">
        <v>3</v>
      </c>
      <c r="E150" s="1" t="s">
        <v>173</v>
      </c>
      <c r="F150" s="1">
        <v>1</v>
      </c>
      <c r="G150" s="2">
        <v>41447</v>
      </c>
      <c r="H150" s="51">
        <v>44462</v>
      </c>
      <c r="I150" s="47">
        <f t="shared" si="18"/>
        <v>8</v>
      </c>
      <c r="J150" s="47">
        <f t="shared" si="19"/>
        <v>99</v>
      </c>
      <c r="K150" s="1">
        <v>24.8</v>
      </c>
      <c r="L150" s="1">
        <v>1.22</v>
      </c>
      <c r="M150" s="43">
        <f t="shared" si="20"/>
        <v>122</v>
      </c>
      <c r="N150" s="1">
        <f>107.3-40</f>
        <v>67.3</v>
      </c>
      <c r="O150" s="48">
        <f t="shared" si="21"/>
        <v>44.836065573770497</v>
      </c>
      <c r="P150" s="49">
        <f t="shared" si="22"/>
        <v>16.662187583982803</v>
      </c>
      <c r="R150" s="91">
        <v>-1.1507622027809281</v>
      </c>
      <c r="S150" s="91">
        <v>12.491503922813383</v>
      </c>
      <c r="T150" s="39" t="str">
        <f t="shared" si="25"/>
        <v>Normal</v>
      </c>
      <c r="U150" s="91">
        <v>-2.0324318947511872</v>
      </c>
      <c r="V150" s="91">
        <v>2.1054975970270706</v>
      </c>
      <c r="W150" s="39" t="str">
        <f t="shared" si="23"/>
        <v>Piernas cortas</v>
      </c>
      <c r="X150" s="116">
        <v>0.52333658827332286</v>
      </c>
      <c r="Y150" s="91">
        <v>69.962997818962663</v>
      </c>
      <c r="Z150" s="39" t="str">
        <f t="shared" si="24"/>
        <v>Normal</v>
      </c>
    </row>
    <row r="151" spans="1:26" ht="15.75" x14ac:dyDescent="0.25">
      <c r="A151" s="33" t="s">
        <v>705</v>
      </c>
      <c r="B151" s="43">
        <v>148</v>
      </c>
      <c r="C151" s="50" t="s">
        <v>632</v>
      </c>
      <c r="D151" s="1">
        <v>3</v>
      </c>
      <c r="E151" s="1" t="s">
        <v>173</v>
      </c>
      <c r="F151" s="1">
        <v>1</v>
      </c>
      <c r="G151" s="2">
        <v>41542</v>
      </c>
      <c r="H151" s="51">
        <v>44462</v>
      </c>
      <c r="I151" s="47">
        <f t="shared" si="18"/>
        <v>7</v>
      </c>
      <c r="J151" s="47">
        <f t="shared" si="19"/>
        <v>95</v>
      </c>
      <c r="K151" s="1">
        <v>33.6</v>
      </c>
      <c r="L151" s="1">
        <v>1.28</v>
      </c>
      <c r="M151" s="43">
        <f t="shared" si="20"/>
        <v>128</v>
      </c>
      <c r="N151" s="1">
        <f>109.2-40</f>
        <v>69.2</v>
      </c>
      <c r="O151" s="48">
        <f t="shared" si="21"/>
        <v>45.9375</v>
      </c>
      <c r="P151" s="49">
        <f t="shared" si="22"/>
        <v>20.5078125</v>
      </c>
      <c r="R151" s="91">
        <v>0.21082494305002958</v>
      </c>
      <c r="S151" s="91">
        <v>58.34880628872461</v>
      </c>
      <c r="T151" s="39" t="str">
        <f t="shared" si="25"/>
        <v>Normal</v>
      </c>
      <c r="U151" s="91">
        <v>-0.91883308691979271</v>
      </c>
      <c r="V151" s="91">
        <v>17.909144166967998</v>
      </c>
      <c r="W151" s="39" t="str">
        <f t="shared" si="23"/>
        <v>Normal</v>
      </c>
      <c r="X151" s="116">
        <v>2.3298466150231993</v>
      </c>
      <c r="Y151" s="91">
        <v>99.009287029057958</v>
      </c>
      <c r="Z151" s="39" t="str">
        <f t="shared" si="24"/>
        <v>Obesidad</v>
      </c>
    </row>
    <row r="152" spans="1:26" ht="15.75" x14ac:dyDescent="0.25">
      <c r="A152" s="33" t="s">
        <v>705</v>
      </c>
      <c r="B152" s="43">
        <v>149</v>
      </c>
      <c r="C152" s="50" t="s">
        <v>633</v>
      </c>
      <c r="D152" s="1">
        <v>3</v>
      </c>
      <c r="E152" s="1" t="s">
        <v>173</v>
      </c>
      <c r="F152" s="1">
        <v>2</v>
      </c>
      <c r="G152" s="2">
        <v>41483</v>
      </c>
      <c r="H152" s="51">
        <v>44462</v>
      </c>
      <c r="I152" s="47">
        <f t="shared" si="18"/>
        <v>8</v>
      </c>
      <c r="J152" s="47">
        <f t="shared" si="19"/>
        <v>97</v>
      </c>
      <c r="K152" s="1">
        <v>39.1</v>
      </c>
      <c r="L152" s="1">
        <v>1.27</v>
      </c>
      <c r="M152" s="43">
        <f t="shared" si="20"/>
        <v>127</v>
      </c>
      <c r="N152" s="1">
        <f>110.1-40</f>
        <v>70.099999999999994</v>
      </c>
      <c r="O152" s="48">
        <f t="shared" si="21"/>
        <v>44.803149606299222</v>
      </c>
      <c r="P152" s="49">
        <f t="shared" si="22"/>
        <v>24.242048484096969</v>
      </c>
      <c r="R152" s="91">
        <v>-7.2791023680143282E-3</v>
      </c>
      <c r="S152" s="91">
        <v>49.709608394621057</v>
      </c>
      <c r="T152" s="39" t="str">
        <f t="shared" si="25"/>
        <v>Normal</v>
      </c>
      <c r="U152" s="91">
        <v>-2.2779504927103944</v>
      </c>
      <c r="V152" s="91">
        <v>1.136476370749812</v>
      </c>
      <c r="W152" s="39" t="str">
        <f t="shared" si="23"/>
        <v>Piernas cortas</v>
      </c>
      <c r="X152" s="116">
        <v>2.8700756476445966</v>
      </c>
      <c r="Y152" s="91">
        <v>99.794813195614367</v>
      </c>
      <c r="Z152" s="39" t="str">
        <f t="shared" si="24"/>
        <v>Obesidad</v>
      </c>
    </row>
    <row r="153" spans="1:26" ht="15.75" x14ac:dyDescent="0.25">
      <c r="A153" s="33" t="s">
        <v>705</v>
      </c>
      <c r="B153" s="43">
        <v>150</v>
      </c>
      <c r="C153" s="83" t="s">
        <v>634</v>
      </c>
      <c r="D153" s="1">
        <v>3</v>
      </c>
      <c r="E153" s="1" t="s">
        <v>173</v>
      </c>
      <c r="F153" s="1">
        <v>2</v>
      </c>
      <c r="G153" s="2">
        <v>41483</v>
      </c>
      <c r="H153" s="51">
        <v>44462</v>
      </c>
      <c r="I153" s="47">
        <f t="shared" si="18"/>
        <v>8</v>
      </c>
      <c r="J153" s="47">
        <f t="shared" si="19"/>
        <v>97</v>
      </c>
      <c r="K153" s="1">
        <v>22.5</v>
      </c>
      <c r="L153" s="1">
        <v>1.24</v>
      </c>
      <c r="M153" s="43">
        <f t="shared" si="20"/>
        <v>124</v>
      </c>
      <c r="N153" s="1">
        <f>107.1-40</f>
        <v>67.099999999999994</v>
      </c>
      <c r="O153" s="48">
        <f t="shared" si="21"/>
        <v>45.887096774193552</v>
      </c>
      <c r="P153" s="49">
        <f t="shared" si="22"/>
        <v>14.633194588969822</v>
      </c>
      <c r="R153" s="91">
        <v>-0.52230993029359829</v>
      </c>
      <c r="S153" s="91">
        <v>30.072727812082334</v>
      </c>
      <c r="T153" s="39" t="str">
        <f t="shared" si="25"/>
        <v>Normal</v>
      </c>
      <c r="U153" s="91">
        <v>-1.5024974281613379</v>
      </c>
      <c r="V153" s="91">
        <v>6.6484345822764066</v>
      </c>
      <c r="W153" s="39" t="str">
        <f t="shared" si="23"/>
        <v>Normal</v>
      </c>
      <c r="X153" s="116">
        <v>-0.65896814821346561</v>
      </c>
      <c r="Y153" s="91">
        <v>25.495811126504226</v>
      </c>
      <c r="Z153" s="39" t="str">
        <f t="shared" si="24"/>
        <v>Normal</v>
      </c>
    </row>
    <row r="154" spans="1:26" ht="15.75" x14ac:dyDescent="0.25">
      <c r="A154" s="33" t="s">
        <v>705</v>
      </c>
      <c r="B154" s="43">
        <v>151</v>
      </c>
      <c r="C154" s="83" t="s">
        <v>635</v>
      </c>
      <c r="D154" s="1">
        <v>3</v>
      </c>
      <c r="E154" s="1" t="s">
        <v>173</v>
      </c>
      <c r="F154" s="1">
        <v>1</v>
      </c>
      <c r="G154" s="2">
        <v>41483</v>
      </c>
      <c r="H154" s="51">
        <v>44462</v>
      </c>
      <c r="I154" s="47">
        <f t="shared" si="18"/>
        <v>8</v>
      </c>
      <c r="J154" s="47">
        <f t="shared" si="19"/>
        <v>97</v>
      </c>
      <c r="K154" s="1">
        <v>28.2</v>
      </c>
      <c r="L154" s="1">
        <v>1.35</v>
      </c>
      <c r="M154" s="43">
        <f t="shared" si="20"/>
        <v>135</v>
      </c>
      <c r="N154" s="1">
        <f>109.8-40</f>
        <v>69.8</v>
      </c>
      <c r="O154" s="48">
        <f t="shared" si="21"/>
        <v>48.296296296296298</v>
      </c>
      <c r="P154" s="49">
        <f t="shared" si="22"/>
        <v>15.473251028806581</v>
      </c>
      <c r="R154" s="91">
        <v>1.2833659259600396</v>
      </c>
      <c r="S154" s="91">
        <v>90.031804714749512</v>
      </c>
      <c r="T154" s="39" t="str">
        <f t="shared" si="25"/>
        <v>Normal</v>
      </c>
      <c r="U154" s="91">
        <v>0.29652297974256903</v>
      </c>
      <c r="V154" s="91">
        <v>61.65846398342898</v>
      </c>
      <c r="W154" s="39" t="str">
        <f t="shared" si="23"/>
        <v>Normal</v>
      </c>
      <c r="X154" s="116">
        <v>-0.19497254598793337</v>
      </c>
      <c r="Y154" s="91">
        <v>42.270722013698879</v>
      </c>
      <c r="Z154" s="39" t="str">
        <f t="shared" si="24"/>
        <v>Normal</v>
      </c>
    </row>
    <row r="155" spans="1:26" ht="15.75" x14ac:dyDescent="0.25">
      <c r="A155" s="33" t="s">
        <v>705</v>
      </c>
      <c r="B155" s="43">
        <v>152</v>
      </c>
      <c r="C155" s="50" t="s">
        <v>636</v>
      </c>
      <c r="D155" s="1">
        <v>3</v>
      </c>
      <c r="E155" s="1" t="s">
        <v>173</v>
      </c>
      <c r="F155" s="1">
        <v>1</v>
      </c>
      <c r="G155" s="2">
        <v>41537</v>
      </c>
      <c r="H155" s="51">
        <v>44462</v>
      </c>
      <c r="I155" s="47">
        <f t="shared" si="18"/>
        <v>8</v>
      </c>
      <c r="J155" s="47">
        <f t="shared" si="19"/>
        <v>96</v>
      </c>
      <c r="K155" s="1">
        <v>26.5</v>
      </c>
      <c r="L155" s="1">
        <v>1.28</v>
      </c>
      <c r="M155" s="43">
        <f t="shared" si="20"/>
        <v>128</v>
      </c>
      <c r="N155" s="1">
        <f>107.8-40</f>
        <v>67.8</v>
      </c>
      <c r="O155" s="48">
        <f t="shared" si="21"/>
        <v>47.03125</v>
      </c>
      <c r="P155" s="49">
        <f t="shared" si="22"/>
        <v>16.17431640625</v>
      </c>
      <c r="R155" s="91">
        <v>0.13011627640528184</v>
      </c>
      <c r="S155" s="91">
        <v>55.176278355753048</v>
      </c>
      <c r="T155" s="39" t="str">
        <f t="shared" si="25"/>
        <v>Normal</v>
      </c>
      <c r="U155" s="91">
        <v>-0.53321408922011848</v>
      </c>
      <c r="V155" s="91">
        <v>29.694269480555636</v>
      </c>
      <c r="W155" s="39" t="str">
        <f t="shared" si="23"/>
        <v>Normal</v>
      </c>
      <c r="X155" s="116">
        <v>0.2821739314675174</v>
      </c>
      <c r="Y155" s="91">
        <v>61.109492693229171</v>
      </c>
      <c r="Z155" s="39" t="str">
        <f t="shared" si="24"/>
        <v>Normal</v>
      </c>
    </row>
    <row r="156" spans="1:26" ht="15.75" x14ac:dyDescent="0.25">
      <c r="A156" s="33" t="s">
        <v>705</v>
      </c>
      <c r="B156" s="43">
        <v>153</v>
      </c>
      <c r="C156" s="83" t="s">
        <v>637</v>
      </c>
      <c r="D156" s="1">
        <v>3</v>
      </c>
      <c r="E156" s="1" t="s">
        <v>173</v>
      </c>
      <c r="F156" s="1">
        <v>1</v>
      </c>
      <c r="G156" s="2">
        <v>41537</v>
      </c>
      <c r="H156" s="51">
        <v>44462</v>
      </c>
      <c r="I156" s="47">
        <f t="shared" si="18"/>
        <v>8</v>
      </c>
      <c r="J156" s="47">
        <f t="shared" si="19"/>
        <v>96</v>
      </c>
      <c r="K156" s="1">
        <v>31.1</v>
      </c>
      <c r="L156" s="1">
        <v>1.21</v>
      </c>
      <c r="M156" s="43">
        <f t="shared" si="20"/>
        <v>121</v>
      </c>
      <c r="N156" s="1">
        <f>106.2</f>
        <v>106.2</v>
      </c>
      <c r="O156" s="48">
        <f t="shared" si="21"/>
        <v>12.231404958677683</v>
      </c>
      <c r="P156" s="49">
        <f t="shared" si="22"/>
        <v>21.241718461853701</v>
      </c>
      <c r="R156" s="91">
        <v>-1.1092549779653615</v>
      </c>
      <c r="S156" s="91">
        <v>13.36601006976657</v>
      </c>
      <c r="T156" s="39" t="str">
        <f t="shared" si="25"/>
        <v>Normal</v>
      </c>
      <c r="U156" s="91">
        <v>-45.330926481621709</v>
      </c>
      <c r="V156" s="91">
        <v>0</v>
      </c>
      <c r="W156" s="39" t="str">
        <f t="shared" si="23"/>
        <v>Piernas cortas</v>
      </c>
      <c r="X156" s="116">
        <v>2.5488887155601132</v>
      </c>
      <c r="Y156" s="91">
        <v>99.459666108139871</v>
      </c>
      <c r="Z156" s="39" t="str">
        <f t="shared" si="24"/>
        <v>Obesidad</v>
      </c>
    </row>
    <row r="157" spans="1:26" ht="15.75" x14ac:dyDescent="0.25">
      <c r="A157" s="33" t="s">
        <v>705</v>
      </c>
      <c r="B157" s="43">
        <v>154</v>
      </c>
      <c r="C157" s="50" t="s">
        <v>638</v>
      </c>
      <c r="D157" s="1">
        <v>4</v>
      </c>
      <c r="E157" s="1" t="s">
        <v>7</v>
      </c>
      <c r="F157" s="1">
        <v>2</v>
      </c>
      <c r="G157" s="2">
        <v>41036</v>
      </c>
      <c r="H157" s="51">
        <v>44462</v>
      </c>
      <c r="I157" s="47">
        <f t="shared" si="18"/>
        <v>9</v>
      </c>
      <c r="J157" s="47">
        <f t="shared" si="19"/>
        <v>112</v>
      </c>
      <c r="K157" s="1">
        <v>38.5</v>
      </c>
      <c r="L157" s="1">
        <v>1.33</v>
      </c>
      <c r="M157" s="43">
        <f t="shared" si="20"/>
        <v>133</v>
      </c>
      <c r="N157" s="1">
        <f>110.5-40</f>
        <v>70.5</v>
      </c>
      <c r="O157" s="48">
        <f t="shared" si="21"/>
        <v>46.992481203007522</v>
      </c>
      <c r="P157" s="49">
        <f t="shared" si="22"/>
        <v>21.764938662445587</v>
      </c>
      <c r="R157" s="91">
        <v>-0.24482029883436127</v>
      </c>
      <c r="S157" s="91">
        <v>40.329778796247354</v>
      </c>
      <c r="T157" s="39" t="str">
        <f t="shared" si="25"/>
        <v>Normal</v>
      </c>
      <c r="U157" s="91">
        <v>-0.93995573349505623</v>
      </c>
      <c r="V157" s="91">
        <v>17.36201336626506</v>
      </c>
      <c r="W157" s="39" t="str">
        <f t="shared" si="23"/>
        <v>Normal</v>
      </c>
      <c r="X157" s="116">
        <v>1.9772229452215917</v>
      </c>
      <c r="Y157" s="91">
        <v>97.599178245648602</v>
      </c>
      <c r="Z157" s="39" t="str">
        <f t="shared" si="24"/>
        <v>Obesidad</v>
      </c>
    </row>
    <row r="158" spans="1:26" ht="15.75" x14ac:dyDescent="0.25">
      <c r="A158" s="33" t="s">
        <v>705</v>
      </c>
      <c r="B158" s="43">
        <v>155</v>
      </c>
      <c r="C158" s="50" t="s">
        <v>639</v>
      </c>
      <c r="D158" s="1">
        <v>4</v>
      </c>
      <c r="E158" s="1" t="s">
        <v>7</v>
      </c>
      <c r="F158" s="1">
        <v>2</v>
      </c>
      <c r="G158" s="2">
        <v>41051</v>
      </c>
      <c r="H158" s="51">
        <v>44462</v>
      </c>
      <c r="I158" s="47">
        <f t="shared" si="18"/>
        <v>9</v>
      </c>
      <c r="J158" s="47">
        <f t="shared" si="19"/>
        <v>112</v>
      </c>
      <c r="K158" s="1">
        <v>29.9</v>
      </c>
      <c r="L158" s="1">
        <v>1.33</v>
      </c>
      <c r="M158" s="43">
        <f t="shared" si="20"/>
        <v>133</v>
      </c>
      <c r="N158" s="1">
        <f>110.3-40</f>
        <v>70.3</v>
      </c>
      <c r="O158" s="48">
        <f t="shared" si="21"/>
        <v>47.142857142857146</v>
      </c>
      <c r="P158" s="49">
        <f t="shared" si="22"/>
        <v>16.90316015602917</v>
      </c>
      <c r="R158" s="91">
        <v>-0.24482029883436127</v>
      </c>
      <c r="S158" s="91">
        <v>40.329778796247354</v>
      </c>
      <c r="T158" s="39" t="str">
        <f t="shared" si="25"/>
        <v>Normal</v>
      </c>
      <c r="U158" s="91">
        <v>-0.83662861015338752</v>
      </c>
      <c r="V158" s="91">
        <v>20.140067932244047</v>
      </c>
      <c r="W158" s="39" t="str">
        <f t="shared" si="23"/>
        <v>Normal</v>
      </c>
      <c r="X158" s="116">
        <v>0.31554024906494055</v>
      </c>
      <c r="Y158" s="91">
        <v>62.382425182627223</v>
      </c>
      <c r="Z158" s="39" t="str">
        <f t="shared" si="24"/>
        <v>Normal</v>
      </c>
    </row>
    <row r="159" spans="1:26" ht="15.75" x14ac:dyDescent="0.25">
      <c r="A159" s="33" t="s">
        <v>705</v>
      </c>
      <c r="B159" s="43">
        <v>156</v>
      </c>
      <c r="C159" s="83" t="s">
        <v>640</v>
      </c>
      <c r="D159" s="1">
        <v>4</v>
      </c>
      <c r="E159" s="1" t="s">
        <v>7</v>
      </c>
      <c r="F159" s="1">
        <v>2</v>
      </c>
      <c r="G159" s="2">
        <v>41051</v>
      </c>
      <c r="H159" s="51">
        <v>44462</v>
      </c>
      <c r="I159" s="47">
        <f t="shared" si="18"/>
        <v>9</v>
      </c>
      <c r="J159" s="47">
        <f t="shared" si="19"/>
        <v>112</v>
      </c>
      <c r="K159" s="1">
        <v>24.9</v>
      </c>
      <c r="L159" s="1">
        <v>1.27</v>
      </c>
      <c r="M159" s="43">
        <f t="shared" si="20"/>
        <v>127</v>
      </c>
      <c r="N159" s="1">
        <f>109.8-40</f>
        <v>69.8</v>
      </c>
      <c r="O159" s="48">
        <f t="shared" si="21"/>
        <v>45.039370078740163</v>
      </c>
      <c r="P159" s="49">
        <f t="shared" si="22"/>
        <v>15.438030876061751</v>
      </c>
      <c r="R159" s="91">
        <v>-1.2110890746573957</v>
      </c>
      <c r="S159" s="91">
        <v>11.293063406764576</v>
      </c>
      <c r="T159" s="39" t="str">
        <f t="shared" si="25"/>
        <v>Normal</v>
      </c>
      <c r="U159" s="91">
        <v>-2.3158087916841823</v>
      </c>
      <c r="V159" s="91">
        <v>1.0284355499245028</v>
      </c>
      <c r="W159" s="39" t="str">
        <f t="shared" si="23"/>
        <v>Piernas cortas</v>
      </c>
      <c r="X159" s="116">
        <v>-0.44874180621830045</v>
      </c>
      <c r="Y159" s="91">
        <v>32.680896138960641</v>
      </c>
      <c r="Z159" s="39" t="str">
        <f t="shared" si="24"/>
        <v>Normal</v>
      </c>
    </row>
    <row r="160" spans="1:26" ht="15.75" x14ac:dyDescent="0.25">
      <c r="A160" s="33" t="s">
        <v>705</v>
      </c>
      <c r="B160" s="43">
        <v>157</v>
      </c>
      <c r="C160" s="50" t="s">
        <v>641</v>
      </c>
      <c r="D160" s="1">
        <v>4</v>
      </c>
      <c r="E160" s="1" t="s">
        <v>7</v>
      </c>
      <c r="F160" s="1">
        <v>2</v>
      </c>
      <c r="G160" s="2">
        <v>41082</v>
      </c>
      <c r="H160" s="51">
        <v>44462</v>
      </c>
      <c r="I160" s="47">
        <f t="shared" si="18"/>
        <v>9</v>
      </c>
      <c r="J160" s="47">
        <f t="shared" si="19"/>
        <v>111</v>
      </c>
      <c r="K160" s="1">
        <v>31.1</v>
      </c>
      <c r="L160" s="1">
        <v>1.36</v>
      </c>
      <c r="M160" s="43">
        <f t="shared" si="20"/>
        <v>136</v>
      </c>
      <c r="N160" s="1">
        <f>112.2-40</f>
        <v>72.2</v>
      </c>
      <c r="O160" s="48">
        <f t="shared" si="21"/>
        <v>46.911764705882355</v>
      </c>
      <c r="P160" s="49">
        <f t="shared" si="22"/>
        <v>16.814446366782004</v>
      </c>
      <c r="R160" s="91">
        <v>0.32147360733456298</v>
      </c>
      <c r="S160" s="91">
        <v>62.607424501381089</v>
      </c>
      <c r="T160" s="39" t="str">
        <f t="shared" si="25"/>
        <v>Normal</v>
      </c>
      <c r="U160" s="91">
        <v>-0.99556735357076798</v>
      </c>
      <c r="V160" s="91">
        <v>15.973020175495495</v>
      </c>
      <c r="W160" s="39" t="str">
        <f t="shared" si="23"/>
        <v>Normal</v>
      </c>
      <c r="X160" s="116">
        <v>0.29517867329723757</v>
      </c>
      <c r="Y160" s="91">
        <v>61.607130360544858</v>
      </c>
      <c r="Z160" s="39" t="str">
        <f t="shared" si="24"/>
        <v>Normal</v>
      </c>
    </row>
    <row r="161" spans="1:26" ht="15.75" x14ac:dyDescent="0.25">
      <c r="A161" s="33" t="s">
        <v>705</v>
      </c>
      <c r="B161" s="43">
        <v>158</v>
      </c>
      <c r="C161" s="50" t="s">
        <v>642</v>
      </c>
      <c r="D161" s="1">
        <v>4</v>
      </c>
      <c r="E161" s="1" t="s">
        <v>7</v>
      </c>
      <c r="F161" s="1">
        <v>2</v>
      </c>
      <c r="G161" s="2">
        <v>41155</v>
      </c>
      <c r="H161" s="51">
        <v>44462</v>
      </c>
      <c r="I161" s="47">
        <f t="shared" si="18"/>
        <v>9</v>
      </c>
      <c r="J161" s="47">
        <f t="shared" si="19"/>
        <v>108</v>
      </c>
      <c r="K161" s="1">
        <v>31.8</v>
      </c>
      <c r="L161" s="1">
        <v>1.36</v>
      </c>
      <c r="M161" s="43">
        <f t="shared" si="20"/>
        <v>136</v>
      </c>
      <c r="N161" s="1">
        <f>114.5-40</f>
        <v>74.5</v>
      </c>
      <c r="O161" s="48">
        <f t="shared" si="21"/>
        <v>45.220588235294116</v>
      </c>
      <c r="P161" s="49">
        <f t="shared" si="22"/>
        <v>17.19290657439446</v>
      </c>
      <c r="R161" s="91">
        <v>0.57368770025196025</v>
      </c>
      <c r="S161" s="91">
        <v>71.691042349729301</v>
      </c>
      <c r="T161" s="39" t="str">
        <f t="shared" si="25"/>
        <v>Normal</v>
      </c>
      <c r="U161" s="91">
        <v>-2.1854298165739392</v>
      </c>
      <c r="V161" s="91">
        <v>1.4428673333492772</v>
      </c>
      <c r="W161" s="39" t="str">
        <f t="shared" si="23"/>
        <v>Piernas cortas</v>
      </c>
      <c r="X161" s="116">
        <v>0.5316517493893973</v>
      </c>
      <c r="Y161" s="91">
        <v>70.251639197669661</v>
      </c>
      <c r="Z161" s="39" t="str">
        <f t="shared" si="24"/>
        <v>Normal</v>
      </c>
    </row>
    <row r="162" spans="1:26" ht="15.75" x14ac:dyDescent="0.25">
      <c r="A162" s="33" t="s">
        <v>705</v>
      </c>
      <c r="B162" s="43">
        <v>159</v>
      </c>
      <c r="C162" s="50" t="s">
        <v>643</v>
      </c>
      <c r="D162" s="1">
        <v>4</v>
      </c>
      <c r="E162" s="1" t="s">
        <v>7</v>
      </c>
      <c r="F162" s="1">
        <v>2</v>
      </c>
      <c r="G162" s="2">
        <v>41090</v>
      </c>
      <c r="H162" s="51">
        <v>44462</v>
      </c>
      <c r="I162" s="47">
        <f t="shared" si="18"/>
        <v>9</v>
      </c>
      <c r="J162" s="47">
        <f t="shared" si="19"/>
        <v>110</v>
      </c>
      <c r="K162" s="1">
        <v>26.7</v>
      </c>
      <c r="L162" s="1">
        <v>1.37</v>
      </c>
      <c r="M162" s="43">
        <f t="shared" si="20"/>
        <v>137</v>
      </c>
      <c r="N162" s="1">
        <f>111.3-40</f>
        <v>71.3</v>
      </c>
      <c r="O162" s="48">
        <f t="shared" si="21"/>
        <v>47.956204379562045</v>
      </c>
      <c r="P162" s="49">
        <f t="shared" si="22"/>
        <v>14.225584740795991</v>
      </c>
      <c r="R162" s="91">
        <v>0.56744406997767871</v>
      </c>
      <c r="S162" s="91">
        <v>71.479374218247457</v>
      </c>
      <c r="T162" s="39" t="str">
        <f t="shared" si="25"/>
        <v>Normal</v>
      </c>
      <c r="U162" s="91">
        <v>-0.28393387205448645</v>
      </c>
      <c r="V162" s="91">
        <v>38.823052905728098</v>
      </c>
      <c r="W162" s="39" t="str">
        <f t="shared" si="23"/>
        <v>Normal</v>
      </c>
      <c r="X162" s="116">
        <v>-1.1884383311841045</v>
      </c>
      <c r="Y162" s="91">
        <v>11.733038117893486</v>
      </c>
      <c r="Z162" s="39" t="str">
        <f t="shared" si="24"/>
        <v>Bajo Peso</v>
      </c>
    </row>
    <row r="163" spans="1:26" ht="15.75" x14ac:dyDescent="0.25">
      <c r="A163" s="33" t="s">
        <v>705</v>
      </c>
      <c r="B163" s="43">
        <v>160</v>
      </c>
      <c r="C163" s="50" t="s">
        <v>644</v>
      </c>
      <c r="D163" s="1">
        <v>4</v>
      </c>
      <c r="E163" s="1" t="s">
        <v>7</v>
      </c>
      <c r="F163" s="1">
        <v>2</v>
      </c>
      <c r="G163" s="2">
        <v>41250</v>
      </c>
      <c r="H163" s="51">
        <v>44462</v>
      </c>
      <c r="I163" s="47">
        <f t="shared" si="18"/>
        <v>8</v>
      </c>
      <c r="J163" s="47">
        <f t="shared" si="19"/>
        <v>105</v>
      </c>
      <c r="K163" s="1">
        <v>33.200000000000003</v>
      </c>
      <c r="L163" s="1">
        <v>1.26</v>
      </c>
      <c r="M163" s="43">
        <f t="shared" si="20"/>
        <v>126</v>
      </c>
      <c r="N163" s="1">
        <f>107.9-40</f>
        <v>67.900000000000006</v>
      </c>
      <c r="O163" s="48">
        <f t="shared" si="21"/>
        <v>46.111111111111107</v>
      </c>
      <c r="P163" s="49">
        <f t="shared" si="22"/>
        <v>20.912068531116152</v>
      </c>
      <c r="R163" s="91">
        <v>-0.82673978663923176</v>
      </c>
      <c r="S163" s="91">
        <v>20.419228261921191</v>
      </c>
      <c r="T163" s="39" t="str">
        <f t="shared" si="25"/>
        <v>Normal</v>
      </c>
      <c r="U163" s="91">
        <v>-1.3447403486905045</v>
      </c>
      <c r="V163" s="91">
        <v>8.9354549868501802</v>
      </c>
      <c r="W163" s="39" t="str">
        <f t="shared" si="23"/>
        <v>Normal</v>
      </c>
      <c r="X163" s="116">
        <v>1.9047561541174676</v>
      </c>
      <c r="Y163" s="91">
        <v>97.159411210017723</v>
      </c>
      <c r="Z163" s="39" t="str">
        <f t="shared" si="24"/>
        <v>Obesidad</v>
      </c>
    </row>
    <row r="164" spans="1:26" ht="15.75" x14ac:dyDescent="0.25">
      <c r="A164" s="33" t="s">
        <v>705</v>
      </c>
      <c r="B164" s="43">
        <v>161</v>
      </c>
      <c r="C164" s="50" t="s">
        <v>645</v>
      </c>
      <c r="D164" s="1">
        <v>4</v>
      </c>
      <c r="E164" s="1" t="s">
        <v>7</v>
      </c>
      <c r="F164" s="1">
        <v>2</v>
      </c>
      <c r="G164" s="2">
        <v>40986</v>
      </c>
      <c r="H164" s="51">
        <v>44462</v>
      </c>
      <c r="I164" s="47">
        <f t="shared" ref="I164:I175" si="26">DATEDIF(G164,H164,"y")</f>
        <v>9</v>
      </c>
      <c r="J164" s="47">
        <f t="shared" si="19"/>
        <v>114</v>
      </c>
      <c r="K164" s="1">
        <v>25.2</v>
      </c>
      <c r="L164" s="1">
        <v>1.29</v>
      </c>
      <c r="M164" s="43">
        <f t="shared" si="20"/>
        <v>129</v>
      </c>
      <c r="N164" s="1">
        <f>108-40</f>
        <v>68</v>
      </c>
      <c r="O164" s="48">
        <f t="shared" si="21"/>
        <v>47.286821705426355</v>
      </c>
      <c r="P164" s="49">
        <f t="shared" si="22"/>
        <v>15.143320713899403</v>
      </c>
      <c r="R164" s="91">
        <v>-1.0452341464070878</v>
      </c>
      <c r="S164" s="91">
        <v>14.795738265013586</v>
      </c>
      <c r="T164" s="39" t="str">
        <f t="shared" si="25"/>
        <v>Normal</v>
      </c>
      <c r="U164" s="91">
        <v>-0.73804412250142259</v>
      </c>
      <c r="V164" s="91">
        <v>23.024381868966586</v>
      </c>
      <c r="W164" s="39" t="str">
        <f t="shared" si="23"/>
        <v>Normal</v>
      </c>
      <c r="X164" s="116">
        <v>-0.6686070032665189</v>
      </c>
      <c r="Y164" s="91">
        <v>25.187310200306364</v>
      </c>
      <c r="Z164" s="39" t="str">
        <f t="shared" si="24"/>
        <v>Normal</v>
      </c>
    </row>
    <row r="165" spans="1:26" ht="15.75" x14ac:dyDescent="0.25">
      <c r="A165" s="33" t="s">
        <v>705</v>
      </c>
      <c r="B165" s="43">
        <v>162</v>
      </c>
      <c r="C165" s="50" t="s">
        <v>646</v>
      </c>
      <c r="D165" s="1">
        <v>4</v>
      </c>
      <c r="E165" s="1" t="s">
        <v>7</v>
      </c>
      <c r="F165" s="1">
        <v>1</v>
      </c>
      <c r="G165" s="2">
        <v>41270</v>
      </c>
      <c r="H165" s="51">
        <v>44462</v>
      </c>
      <c r="I165" s="47">
        <f t="shared" si="26"/>
        <v>8</v>
      </c>
      <c r="J165" s="47">
        <f t="shared" si="19"/>
        <v>104</v>
      </c>
      <c r="K165" s="1">
        <v>34.9</v>
      </c>
      <c r="L165" s="1">
        <v>1.34</v>
      </c>
      <c r="M165" s="43">
        <f t="shared" si="20"/>
        <v>134</v>
      </c>
      <c r="N165" s="1">
        <f>110.3-40</f>
        <v>70.3</v>
      </c>
      <c r="O165" s="48">
        <f t="shared" si="21"/>
        <v>47.537313432835823</v>
      </c>
      <c r="P165" s="49">
        <f t="shared" si="22"/>
        <v>19.436400089106701</v>
      </c>
      <c r="R165" s="91">
        <v>0.54150933748817309</v>
      </c>
      <c r="S165" s="91">
        <v>70.592171828755937</v>
      </c>
      <c r="T165" s="39" t="str">
        <f t="shared" si="25"/>
        <v>Normal</v>
      </c>
      <c r="U165" s="91">
        <v>-0.19840513211189742</v>
      </c>
      <c r="V165" s="91">
        <v>42.136405120827725</v>
      </c>
      <c r="W165" s="39" t="str">
        <f t="shared" si="23"/>
        <v>Normal</v>
      </c>
      <c r="X165" s="116">
        <v>1.7266001426992903</v>
      </c>
      <c r="Y165" s="91">
        <v>95.788024985052743</v>
      </c>
      <c r="Z165" s="39" t="str">
        <f t="shared" si="24"/>
        <v>Obesidad</v>
      </c>
    </row>
    <row r="166" spans="1:26" ht="15.75" x14ac:dyDescent="0.25">
      <c r="A166" s="33" t="s">
        <v>705</v>
      </c>
      <c r="B166" s="43">
        <v>163</v>
      </c>
      <c r="C166" s="50" t="s">
        <v>647</v>
      </c>
      <c r="D166" s="1">
        <v>4</v>
      </c>
      <c r="E166" s="1" t="s">
        <v>7</v>
      </c>
      <c r="F166" s="1">
        <v>2</v>
      </c>
      <c r="G166" s="2">
        <v>41160</v>
      </c>
      <c r="H166" s="51">
        <v>44462</v>
      </c>
      <c r="I166" s="47">
        <f t="shared" si="26"/>
        <v>9</v>
      </c>
      <c r="J166" s="47">
        <f t="shared" si="19"/>
        <v>108</v>
      </c>
      <c r="K166" s="1">
        <v>34.6</v>
      </c>
      <c r="L166" s="1">
        <v>1.36</v>
      </c>
      <c r="M166" s="43">
        <f t="shared" si="20"/>
        <v>136</v>
      </c>
      <c r="N166" s="1">
        <f>113-40</f>
        <v>73</v>
      </c>
      <c r="O166" s="48">
        <f t="shared" si="21"/>
        <v>46.32352941176471</v>
      </c>
      <c r="P166" s="49">
        <f t="shared" si="22"/>
        <v>18.706747404844286</v>
      </c>
      <c r="R166" s="91">
        <v>0.57368770025196025</v>
      </c>
      <c r="S166" s="91">
        <v>71.691042349729301</v>
      </c>
      <c r="T166" s="39" t="str">
        <f t="shared" si="25"/>
        <v>Normal</v>
      </c>
      <c r="U166" s="91">
        <v>-1.4040342201443687</v>
      </c>
      <c r="V166" s="91">
        <v>8.0154329863485163</v>
      </c>
      <c r="W166" s="39" t="str">
        <f t="shared" si="23"/>
        <v>Normal</v>
      </c>
      <c r="X166" s="116">
        <v>1.1416226811507122</v>
      </c>
      <c r="Y166" s="91">
        <v>87.319455396462715</v>
      </c>
      <c r="Z166" s="39" t="str">
        <f t="shared" si="24"/>
        <v>Obesidad</v>
      </c>
    </row>
    <row r="167" spans="1:26" ht="15.75" x14ac:dyDescent="0.25">
      <c r="A167" s="33" t="s">
        <v>705</v>
      </c>
      <c r="B167" s="43">
        <v>164</v>
      </c>
      <c r="C167" s="50" t="s">
        <v>648</v>
      </c>
      <c r="D167" s="1">
        <v>4</v>
      </c>
      <c r="E167" s="1" t="s">
        <v>7</v>
      </c>
      <c r="F167" s="1">
        <v>2</v>
      </c>
      <c r="G167" s="2">
        <v>41118</v>
      </c>
      <c r="H167" s="51">
        <v>44462</v>
      </c>
      <c r="I167" s="47">
        <f t="shared" si="26"/>
        <v>9</v>
      </c>
      <c r="J167" s="47">
        <f t="shared" si="19"/>
        <v>109</v>
      </c>
      <c r="K167" s="1">
        <v>29.4</v>
      </c>
      <c r="L167" s="1">
        <v>1.32</v>
      </c>
      <c r="M167" s="43">
        <f t="shared" si="20"/>
        <v>132</v>
      </c>
      <c r="N167" s="1">
        <f>108.5-40</f>
        <v>68.5</v>
      </c>
      <c r="O167" s="48">
        <f t="shared" si="21"/>
        <v>48.106060606060609</v>
      </c>
      <c r="P167" s="49">
        <f t="shared" si="22"/>
        <v>16.873278236914597</v>
      </c>
      <c r="R167" s="91">
        <v>-0.16281353638495782</v>
      </c>
      <c r="S167" s="91">
        <v>43.533262499507117</v>
      </c>
      <c r="T167" s="39" t="str">
        <f t="shared" si="25"/>
        <v>Normal</v>
      </c>
      <c r="U167" s="91">
        <v>-0.18322090111831629</v>
      </c>
      <c r="V167" s="91">
        <v>42.731234761854999</v>
      </c>
      <c r="W167" s="39" t="str">
        <f t="shared" si="23"/>
        <v>Normal</v>
      </c>
      <c r="X167" s="116">
        <v>0.36474893912751022</v>
      </c>
      <c r="Y167" s="91">
        <v>64.235058825471114</v>
      </c>
      <c r="Z167" s="39" t="str">
        <f t="shared" si="24"/>
        <v>Normal</v>
      </c>
    </row>
    <row r="168" spans="1:26" ht="15.75" x14ac:dyDescent="0.25">
      <c r="A168" s="33" t="s">
        <v>705</v>
      </c>
      <c r="B168" s="43">
        <v>165</v>
      </c>
      <c r="C168" s="50" t="s">
        <v>649</v>
      </c>
      <c r="D168" s="1">
        <v>4</v>
      </c>
      <c r="E168" s="1" t="s">
        <v>7</v>
      </c>
      <c r="F168" s="1">
        <v>2</v>
      </c>
      <c r="G168" s="2">
        <v>41179</v>
      </c>
      <c r="H168" s="51">
        <v>44462</v>
      </c>
      <c r="I168" s="47">
        <f t="shared" si="26"/>
        <v>8</v>
      </c>
      <c r="J168" s="47">
        <f t="shared" si="19"/>
        <v>107</v>
      </c>
      <c r="K168" s="1">
        <v>26.1</v>
      </c>
      <c r="L168" s="1">
        <v>1.36</v>
      </c>
      <c r="M168" s="43">
        <f t="shared" si="20"/>
        <v>136</v>
      </c>
      <c r="N168" s="1">
        <f>110.6-40</f>
        <v>70.599999999999994</v>
      </c>
      <c r="O168" s="48">
        <f t="shared" si="21"/>
        <v>48.088235294117652</v>
      </c>
      <c r="P168" s="49">
        <f t="shared" si="22"/>
        <v>14.111159169550172</v>
      </c>
      <c r="R168" s="91">
        <v>0.65882259763876827</v>
      </c>
      <c r="S168" s="91">
        <v>74.499515279183285</v>
      </c>
      <c r="T168" s="39" t="str">
        <f t="shared" si="25"/>
        <v>Normal</v>
      </c>
      <c r="U168" s="91">
        <v>1.2234514609591334E-2</v>
      </c>
      <c r="V168" s="91">
        <v>50.488074339664934</v>
      </c>
      <c r="W168" s="39" t="str">
        <f t="shared" si="23"/>
        <v>Normal</v>
      </c>
      <c r="X168" s="116">
        <v>-1.2078156533322197</v>
      </c>
      <c r="Y168" s="91">
        <v>11.355908952663169</v>
      </c>
      <c r="Z168" s="39" t="str">
        <f t="shared" si="24"/>
        <v>Bajo Peso</v>
      </c>
    </row>
    <row r="169" spans="1:26" ht="15.75" x14ac:dyDescent="0.25">
      <c r="A169" s="33" t="s">
        <v>705</v>
      </c>
      <c r="B169" s="43">
        <v>166</v>
      </c>
      <c r="C169" s="50" t="s">
        <v>650</v>
      </c>
      <c r="D169" s="1">
        <v>4</v>
      </c>
      <c r="E169" s="1" t="s">
        <v>7</v>
      </c>
      <c r="F169" s="1">
        <v>2</v>
      </c>
      <c r="G169" s="2">
        <v>41192</v>
      </c>
      <c r="H169" s="51">
        <v>44462</v>
      </c>
      <c r="I169" s="47">
        <f t="shared" si="26"/>
        <v>8</v>
      </c>
      <c r="J169" s="47">
        <f t="shared" si="19"/>
        <v>107</v>
      </c>
      <c r="K169" s="1">
        <v>28.3</v>
      </c>
      <c r="L169" s="1">
        <v>1.28</v>
      </c>
      <c r="M169" s="43">
        <f t="shared" si="20"/>
        <v>128</v>
      </c>
      <c r="N169" s="1">
        <f>108.5-40</f>
        <v>68.5</v>
      </c>
      <c r="O169" s="48">
        <f t="shared" si="21"/>
        <v>46.484375</v>
      </c>
      <c r="P169" s="49">
        <f t="shared" si="22"/>
        <v>17.27294921875</v>
      </c>
      <c r="R169" s="91">
        <v>-0.65593014161240959</v>
      </c>
      <c r="S169" s="91">
        <v>25.593453672680756</v>
      </c>
      <c r="T169" s="39" t="str">
        <f t="shared" si="25"/>
        <v>Normal</v>
      </c>
      <c r="U169" s="91">
        <v>-1.0837332184790498</v>
      </c>
      <c r="V169" s="91">
        <v>13.924155128414577</v>
      </c>
      <c r="W169" s="39" t="str">
        <f t="shared" si="23"/>
        <v>Normal</v>
      </c>
      <c r="X169" s="116">
        <v>0.5878357989761902</v>
      </c>
      <c r="Y169" s="91">
        <v>72.167874369891251</v>
      </c>
      <c r="Z169" s="39" t="str">
        <f t="shared" si="24"/>
        <v>Normal</v>
      </c>
    </row>
    <row r="170" spans="1:26" ht="15.75" x14ac:dyDescent="0.25">
      <c r="A170" s="33" t="s">
        <v>705</v>
      </c>
      <c r="B170" s="43">
        <v>167</v>
      </c>
      <c r="C170" s="50" t="s">
        <v>651</v>
      </c>
      <c r="D170" s="1">
        <v>4</v>
      </c>
      <c r="E170" s="1" t="s">
        <v>7</v>
      </c>
      <c r="F170" s="1">
        <v>2</v>
      </c>
      <c r="G170" s="2">
        <v>41026</v>
      </c>
      <c r="H170" s="51">
        <v>44462</v>
      </c>
      <c r="I170" s="47">
        <f t="shared" si="26"/>
        <v>9</v>
      </c>
      <c r="J170" s="47">
        <f t="shared" si="19"/>
        <v>112</v>
      </c>
      <c r="K170" s="1">
        <v>36.299999999999997</v>
      </c>
      <c r="L170" s="1">
        <v>1.36</v>
      </c>
      <c r="M170" s="43">
        <f t="shared" si="20"/>
        <v>136</v>
      </c>
      <c r="N170" s="1">
        <f>112.6-40</f>
        <v>72.599999999999994</v>
      </c>
      <c r="O170" s="48">
        <f t="shared" si="21"/>
        <v>46.617647058823536</v>
      </c>
      <c r="P170" s="49">
        <f t="shared" si="22"/>
        <v>19.625865051903109</v>
      </c>
      <c r="R170" s="91">
        <v>0.23831408907715468</v>
      </c>
      <c r="S170" s="91">
        <v>59.418125269778663</v>
      </c>
      <c r="T170" s="39" t="str">
        <f t="shared" si="25"/>
        <v>Normal</v>
      </c>
      <c r="U170" s="91">
        <v>-1.1990960978322018</v>
      </c>
      <c r="V170" s="91">
        <v>11.524529062283356</v>
      </c>
      <c r="W170" s="39" t="str">
        <f t="shared" si="23"/>
        <v>Normal</v>
      </c>
      <c r="X170" s="116">
        <v>1.3712156523633725</v>
      </c>
      <c r="Y170" s="91">
        <v>91.484612987029365</v>
      </c>
      <c r="Z170" s="39" t="str">
        <f t="shared" si="24"/>
        <v>Obesidad</v>
      </c>
    </row>
    <row r="171" spans="1:26" ht="15.75" x14ac:dyDescent="0.25">
      <c r="A171" s="33" t="s">
        <v>705</v>
      </c>
      <c r="B171" s="43">
        <v>168</v>
      </c>
      <c r="C171" s="50" t="s">
        <v>652</v>
      </c>
      <c r="D171" s="1">
        <v>4</v>
      </c>
      <c r="E171" s="1" t="s">
        <v>26</v>
      </c>
      <c r="F171" s="1">
        <v>2</v>
      </c>
      <c r="G171" s="2">
        <v>40963</v>
      </c>
      <c r="H171" s="51">
        <v>44462</v>
      </c>
      <c r="I171" s="47">
        <f t="shared" si="26"/>
        <v>9</v>
      </c>
      <c r="J171" s="47">
        <f t="shared" si="19"/>
        <v>114</v>
      </c>
      <c r="K171" s="1">
        <v>33.4</v>
      </c>
      <c r="L171" s="1">
        <v>1.37</v>
      </c>
      <c r="M171" s="43">
        <f t="shared" si="20"/>
        <v>137</v>
      </c>
      <c r="N171" s="1">
        <f>111-40</f>
        <v>71</v>
      </c>
      <c r="O171" s="48">
        <f t="shared" si="21"/>
        <v>48.175182481751825</v>
      </c>
      <c r="P171" s="49">
        <f t="shared" si="22"/>
        <v>17.795300761894609</v>
      </c>
      <c r="R171" s="91">
        <v>0.23314426228526869</v>
      </c>
      <c r="S171" s="91">
        <v>59.217530728271562</v>
      </c>
      <c r="T171" s="39" t="str">
        <f t="shared" si="25"/>
        <v>Normal</v>
      </c>
      <c r="U171" s="91">
        <v>-0.13688216160100475</v>
      </c>
      <c r="V171" s="91">
        <v>44.556196954271307</v>
      </c>
      <c r="W171" s="39" t="str">
        <f t="shared" si="23"/>
        <v>Normal</v>
      </c>
      <c r="X171" s="116">
        <v>0.66303910206639349</v>
      </c>
      <c r="Y171" s="91">
        <v>74.634724436311473</v>
      </c>
      <c r="Z171" s="39" t="str">
        <f t="shared" si="24"/>
        <v>Normal</v>
      </c>
    </row>
    <row r="172" spans="1:26" ht="15.75" x14ac:dyDescent="0.25">
      <c r="A172" s="33" t="s">
        <v>705</v>
      </c>
      <c r="B172" s="43">
        <v>169</v>
      </c>
      <c r="C172" s="50" t="s">
        <v>653</v>
      </c>
      <c r="D172" s="1">
        <v>4</v>
      </c>
      <c r="E172" s="1" t="s">
        <v>26</v>
      </c>
      <c r="F172" s="1">
        <v>1</v>
      </c>
      <c r="G172" s="2">
        <v>40956</v>
      </c>
      <c r="H172" s="51">
        <v>44462</v>
      </c>
      <c r="I172" s="47">
        <f t="shared" si="26"/>
        <v>9</v>
      </c>
      <c r="J172" s="47">
        <f t="shared" si="19"/>
        <v>115</v>
      </c>
      <c r="K172" s="1">
        <v>34.6</v>
      </c>
      <c r="L172" s="1">
        <v>1.35</v>
      </c>
      <c r="M172" s="43">
        <f t="shared" si="20"/>
        <v>135</v>
      </c>
      <c r="N172" s="1">
        <f>114-40</f>
        <v>74</v>
      </c>
      <c r="O172" s="48">
        <f t="shared" si="21"/>
        <v>45.185185185185183</v>
      </c>
      <c r="P172" s="49">
        <f t="shared" si="22"/>
        <v>18.984910836762687</v>
      </c>
      <c r="R172" s="91">
        <v>-9.9108936235136405E-2</v>
      </c>
      <c r="S172" s="91">
        <v>46.052588846696537</v>
      </c>
      <c r="T172" s="39" t="str">
        <f t="shared" si="25"/>
        <v>Normal</v>
      </c>
      <c r="U172" s="91">
        <v>-2.0637321293971045</v>
      </c>
      <c r="V172" s="91">
        <v>1.9521560632430217</v>
      </c>
      <c r="W172" s="39" t="str">
        <f t="shared" si="23"/>
        <v>Piernas cortas</v>
      </c>
      <c r="X172" s="116">
        <v>1.3131534520801931</v>
      </c>
      <c r="Y172" s="91">
        <v>90.543437730822561</v>
      </c>
      <c r="Z172" s="39" t="str">
        <f t="shared" si="24"/>
        <v>Obesidad</v>
      </c>
    </row>
    <row r="173" spans="1:26" ht="15.75" x14ac:dyDescent="0.25">
      <c r="A173" s="33" t="s">
        <v>705</v>
      </c>
      <c r="B173" s="43">
        <v>170</v>
      </c>
      <c r="C173" s="50" t="s">
        <v>654</v>
      </c>
      <c r="D173" s="1">
        <v>4</v>
      </c>
      <c r="E173" s="1" t="s">
        <v>26</v>
      </c>
      <c r="F173" s="1">
        <v>2</v>
      </c>
      <c r="G173" s="2">
        <v>40933</v>
      </c>
      <c r="H173" s="51">
        <v>44462</v>
      </c>
      <c r="I173" s="47">
        <f t="shared" si="26"/>
        <v>9</v>
      </c>
      <c r="J173" s="47">
        <f t="shared" si="19"/>
        <v>115</v>
      </c>
      <c r="K173" s="1">
        <v>32.299999999999997</v>
      </c>
      <c r="L173" s="1">
        <v>1.37</v>
      </c>
      <c r="M173" s="43">
        <f t="shared" si="20"/>
        <v>137</v>
      </c>
      <c r="N173" s="1">
        <f>110.2-40</f>
        <v>70.2</v>
      </c>
      <c r="O173" s="48">
        <f t="shared" si="21"/>
        <v>48.759124087591239</v>
      </c>
      <c r="P173" s="49">
        <f t="shared" si="22"/>
        <v>17.209227982311255</v>
      </c>
      <c r="R173" s="91">
        <v>0.15071046937844887</v>
      </c>
      <c r="S173" s="91">
        <v>55.98979428982345</v>
      </c>
      <c r="T173" s="39" t="str">
        <f t="shared" si="25"/>
        <v>Normal</v>
      </c>
      <c r="U173" s="91">
        <v>0.25170901203479568</v>
      </c>
      <c r="V173" s="91">
        <v>59.936700467777285</v>
      </c>
      <c r="W173" s="39" t="str">
        <f t="shared" si="23"/>
        <v>Normal</v>
      </c>
      <c r="X173" s="116">
        <v>0.39056483374507517</v>
      </c>
      <c r="Y173" s="91">
        <v>65.194053819745378</v>
      </c>
      <c r="Z173" s="39" t="str">
        <f t="shared" si="24"/>
        <v>Normal</v>
      </c>
    </row>
    <row r="174" spans="1:26" ht="15.75" x14ac:dyDescent="0.25">
      <c r="A174" s="33" t="s">
        <v>705</v>
      </c>
      <c r="B174" s="43">
        <v>171</v>
      </c>
      <c r="C174" s="50" t="s">
        <v>655</v>
      </c>
      <c r="D174" s="1">
        <v>4</v>
      </c>
      <c r="E174" s="1" t="s">
        <v>26</v>
      </c>
      <c r="F174" s="1">
        <v>1</v>
      </c>
      <c r="G174" s="2">
        <v>41549</v>
      </c>
      <c r="H174" s="51">
        <v>44462</v>
      </c>
      <c r="I174" s="47">
        <f t="shared" si="26"/>
        <v>7</v>
      </c>
      <c r="J174" s="47">
        <f t="shared" si="19"/>
        <v>95</v>
      </c>
      <c r="K174" s="1">
        <v>33.9</v>
      </c>
      <c r="L174" s="1">
        <v>1.27</v>
      </c>
      <c r="M174" s="43">
        <f t="shared" si="20"/>
        <v>127</v>
      </c>
      <c r="N174" s="1">
        <f>108-40</f>
        <v>68</v>
      </c>
      <c r="O174" s="48">
        <f t="shared" si="21"/>
        <v>46.45669291338583</v>
      </c>
      <c r="P174" s="49">
        <f t="shared" si="22"/>
        <v>21.018042036084072</v>
      </c>
      <c r="R174" s="91">
        <v>3.2823471376583348E-2</v>
      </c>
      <c r="S174" s="91">
        <v>51.309231957832303</v>
      </c>
      <c r="T174" s="39" t="str">
        <f t="shared" si="25"/>
        <v>Normal</v>
      </c>
      <c r="U174" s="91">
        <v>-0.57759661039999144</v>
      </c>
      <c r="V174" s="91">
        <v>28.176824796786676</v>
      </c>
      <c r="W174" s="39" t="str">
        <f t="shared" si="23"/>
        <v>Normal</v>
      </c>
      <c r="X174" s="116">
        <v>2.5030039918891509</v>
      </c>
      <c r="Y174" s="91">
        <v>99.384279224350308</v>
      </c>
      <c r="Z174" s="39" t="str">
        <f t="shared" si="24"/>
        <v>Obesidad</v>
      </c>
    </row>
    <row r="175" spans="1:26" ht="15.75" x14ac:dyDescent="0.25">
      <c r="A175" s="33" t="s">
        <v>705</v>
      </c>
      <c r="B175" s="43">
        <v>172</v>
      </c>
      <c r="C175" s="50" t="s">
        <v>656</v>
      </c>
      <c r="D175" s="1">
        <v>4</v>
      </c>
      <c r="E175" s="1" t="s">
        <v>26</v>
      </c>
      <c r="F175" s="1">
        <v>1</v>
      </c>
      <c r="G175" s="2">
        <v>40967</v>
      </c>
      <c r="H175" s="51">
        <v>44462</v>
      </c>
      <c r="I175" s="47">
        <f t="shared" si="26"/>
        <v>9</v>
      </c>
      <c r="J175" s="47">
        <f t="shared" si="19"/>
        <v>114</v>
      </c>
      <c r="K175" s="1">
        <v>36.700000000000003</v>
      </c>
      <c r="L175" s="1">
        <v>1.34</v>
      </c>
      <c r="M175" s="43">
        <f t="shared" si="20"/>
        <v>134</v>
      </c>
      <c r="N175" s="1">
        <f>112.5-40</f>
        <v>72.5</v>
      </c>
      <c r="O175" s="48">
        <f t="shared" si="21"/>
        <v>45.895522388059703</v>
      </c>
      <c r="P175" s="49">
        <f t="shared" si="22"/>
        <v>20.438850523501891</v>
      </c>
      <c r="R175" s="91">
        <v>-0.19097265594165122</v>
      </c>
      <c r="S175" s="91">
        <v>42.427350813109207</v>
      </c>
      <c r="T175" s="39" t="str">
        <f t="shared" si="25"/>
        <v>Normal</v>
      </c>
      <c r="U175" s="91">
        <v>-1.5735993118265394</v>
      </c>
      <c r="V175" s="91">
        <v>5.7790056229727975</v>
      </c>
      <c r="W175" s="39" t="str">
        <f t="shared" si="23"/>
        <v>Normal</v>
      </c>
      <c r="X175" s="116">
        <v>1.8512250211134862</v>
      </c>
      <c r="Y175" s="91">
        <v>96.793140621534903</v>
      </c>
      <c r="Z175" s="39" t="str">
        <f t="shared" si="24"/>
        <v>Obesidad</v>
      </c>
    </row>
    <row r="176" spans="1:26" ht="15.75" x14ac:dyDescent="0.25">
      <c r="A176" s="33" t="s">
        <v>705</v>
      </c>
      <c r="B176" s="43">
        <v>173</v>
      </c>
      <c r="C176" s="50" t="s">
        <v>657</v>
      </c>
      <c r="D176" s="1">
        <v>4</v>
      </c>
      <c r="E176" s="1" t="s">
        <v>26</v>
      </c>
      <c r="F176" s="1">
        <v>1</v>
      </c>
      <c r="G176" s="2">
        <v>41051</v>
      </c>
      <c r="H176" s="51">
        <v>44462</v>
      </c>
      <c r="I176" s="47">
        <f t="shared" ref="I176:I239" si="27">DATEDIF(G176,H176,"y")</f>
        <v>9</v>
      </c>
      <c r="J176" s="47">
        <f t="shared" si="19"/>
        <v>112</v>
      </c>
      <c r="K176" s="1">
        <v>45</v>
      </c>
      <c r="L176" s="1">
        <v>1.38</v>
      </c>
      <c r="M176" s="43">
        <f t="shared" si="20"/>
        <v>138</v>
      </c>
      <c r="N176" s="1">
        <f>115-40</f>
        <v>75</v>
      </c>
      <c r="O176" s="48">
        <f t="shared" si="21"/>
        <v>45.652173913043477</v>
      </c>
      <c r="P176" s="49">
        <f t="shared" si="22"/>
        <v>23.629489603024577</v>
      </c>
      <c r="R176" s="91">
        <v>0.60120028928447222</v>
      </c>
      <c r="S176" s="91">
        <v>72.61467040862388</v>
      </c>
      <c r="T176" s="39" t="str">
        <f t="shared" si="25"/>
        <v>Normal</v>
      </c>
      <c r="U176" s="91">
        <v>-1.7405689779939355</v>
      </c>
      <c r="V176" s="91">
        <v>4.0879579668998876</v>
      </c>
      <c r="W176" s="39" t="str">
        <f t="shared" si="23"/>
        <v>Piernas cortas</v>
      </c>
      <c r="X176" s="116">
        <v>2.7488845763842966</v>
      </c>
      <c r="Y176" s="91">
        <v>99.701007802010764</v>
      </c>
      <c r="Z176" s="39" t="str">
        <f t="shared" si="24"/>
        <v>Obesidad</v>
      </c>
    </row>
    <row r="177" spans="1:26" ht="15.75" x14ac:dyDescent="0.25">
      <c r="A177" s="33" t="s">
        <v>705</v>
      </c>
      <c r="B177" s="43">
        <v>174</v>
      </c>
      <c r="C177" s="83" t="s">
        <v>658</v>
      </c>
      <c r="D177" s="1">
        <v>4</v>
      </c>
      <c r="E177" s="1" t="s">
        <v>26</v>
      </c>
      <c r="F177" s="1">
        <v>2</v>
      </c>
      <c r="G177" s="2">
        <v>41051</v>
      </c>
      <c r="H177" s="51">
        <v>44462</v>
      </c>
      <c r="I177" s="47">
        <f t="shared" si="27"/>
        <v>9</v>
      </c>
      <c r="J177" s="47">
        <f t="shared" si="19"/>
        <v>112</v>
      </c>
      <c r="K177" s="1">
        <v>22.8</v>
      </c>
      <c r="L177" s="1">
        <v>1.22</v>
      </c>
      <c r="M177" s="43">
        <f t="shared" si="20"/>
        <v>122</v>
      </c>
      <c r="N177" s="1">
        <f>106.9-40</f>
        <v>66.900000000000006</v>
      </c>
      <c r="O177" s="48">
        <f t="shared" si="21"/>
        <v>45.163934426229503</v>
      </c>
      <c r="P177" s="49">
        <f t="shared" si="22"/>
        <v>15.318462778822898</v>
      </c>
      <c r="R177" s="91">
        <v>-2.0163130545099222</v>
      </c>
      <c r="S177" s="91">
        <v>2.1883625344283537</v>
      </c>
      <c r="T177" s="39" t="str">
        <f t="shared" si="25"/>
        <v>Desnutricion</v>
      </c>
      <c r="U177" s="91">
        <v>-2.2261283970245822</v>
      </c>
      <c r="V177" s="91">
        <v>1.3002791170046404</v>
      </c>
      <c r="W177" s="39" t="str">
        <f t="shared" si="23"/>
        <v>Piernas cortas</v>
      </c>
      <c r="X177" s="116">
        <v>-0.51917685052796758</v>
      </c>
      <c r="Y177" s="91">
        <v>30.181871034496265</v>
      </c>
      <c r="Z177" s="39" t="str">
        <f t="shared" si="24"/>
        <v>Normal</v>
      </c>
    </row>
    <row r="178" spans="1:26" ht="15.75" x14ac:dyDescent="0.25">
      <c r="A178" s="33" t="s">
        <v>705</v>
      </c>
      <c r="B178" s="43">
        <v>175</v>
      </c>
      <c r="C178" s="50" t="s">
        <v>659</v>
      </c>
      <c r="D178" s="1">
        <v>4</v>
      </c>
      <c r="E178" s="1" t="s">
        <v>173</v>
      </c>
      <c r="F178" s="1">
        <v>2</v>
      </c>
      <c r="G178" s="2">
        <v>41003</v>
      </c>
      <c r="H178" s="51">
        <v>44462</v>
      </c>
      <c r="I178" s="47">
        <f t="shared" si="27"/>
        <v>9</v>
      </c>
      <c r="J178" s="47">
        <f t="shared" si="19"/>
        <v>113</v>
      </c>
      <c r="K178" s="1">
        <v>47.9</v>
      </c>
      <c r="L178" s="1">
        <v>1.37</v>
      </c>
      <c r="M178" s="43">
        <f t="shared" si="20"/>
        <v>137</v>
      </c>
      <c r="N178" s="1">
        <f>114-40</f>
        <v>74</v>
      </c>
      <c r="O178" s="48">
        <f t="shared" si="21"/>
        <v>45.985401459854018</v>
      </c>
      <c r="P178" s="49">
        <f t="shared" si="22"/>
        <v>25.520805583675205</v>
      </c>
      <c r="R178" s="91">
        <v>0.31607673084814658</v>
      </c>
      <c r="S178" s="91">
        <v>62.402786593151149</v>
      </c>
      <c r="T178" s="39" t="str">
        <f t="shared" si="25"/>
        <v>Normal</v>
      </c>
      <c r="U178" s="91">
        <v>-1.6414041696236255</v>
      </c>
      <c r="V178" s="91">
        <v>5.0356772463965411</v>
      </c>
      <c r="W178" s="39" t="str">
        <f t="shared" si="23"/>
        <v>Normal</v>
      </c>
      <c r="X178" s="116">
        <v>2.7246367573117114</v>
      </c>
      <c r="Y178" s="91">
        <v>99.678138674967428</v>
      </c>
      <c r="Z178" s="39" t="str">
        <f t="shared" si="24"/>
        <v>Obesidad</v>
      </c>
    </row>
    <row r="179" spans="1:26" ht="15.75" x14ac:dyDescent="0.25">
      <c r="A179" s="33" t="s">
        <v>705</v>
      </c>
      <c r="B179" s="43">
        <v>176</v>
      </c>
      <c r="C179" s="50" t="s">
        <v>660</v>
      </c>
      <c r="D179" s="1">
        <v>4</v>
      </c>
      <c r="E179" s="1" t="s">
        <v>173</v>
      </c>
      <c r="F179" s="1">
        <v>2</v>
      </c>
      <c r="G179" s="2">
        <v>41080</v>
      </c>
      <c r="H179" s="51">
        <v>44462</v>
      </c>
      <c r="I179" s="47">
        <f t="shared" si="27"/>
        <v>9</v>
      </c>
      <c r="J179" s="47">
        <f t="shared" si="19"/>
        <v>111</v>
      </c>
      <c r="K179" s="1">
        <v>25.4</v>
      </c>
      <c r="L179" s="1">
        <v>1.29</v>
      </c>
      <c r="M179" s="43">
        <f t="shared" si="20"/>
        <v>129</v>
      </c>
      <c r="N179" s="1">
        <f>109-40</f>
        <v>69</v>
      </c>
      <c r="O179" s="48">
        <f t="shared" si="21"/>
        <v>46.511627906976742</v>
      </c>
      <c r="P179" s="49">
        <f t="shared" si="22"/>
        <v>15.263505798930352</v>
      </c>
      <c r="R179" s="91">
        <v>-0.81036184752004081</v>
      </c>
      <c r="S179" s="91">
        <v>20.886611938829958</v>
      </c>
      <c r="T179" s="39" t="str">
        <f t="shared" si="25"/>
        <v>Normal</v>
      </c>
      <c r="U179" s="91">
        <v>-1.2728057150542316</v>
      </c>
      <c r="V179" s="91">
        <v>10.15434963450805</v>
      </c>
      <c r="W179" s="39" t="str">
        <f t="shared" si="23"/>
        <v>Normal</v>
      </c>
      <c r="X179" s="116">
        <v>-0.53051504294208862</v>
      </c>
      <c r="Y179" s="91">
        <v>29.787744100690176</v>
      </c>
      <c r="Z179" s="39" t="str">
        <f t="shared" si="24"/>
        <v>Normal</v>
      </c>
    </row>
    <row r="180" spans="1:26" ht="15.75" x14ac:dyDescent="0.25">
      <c r="A180" s="33" t="s">
        <v>705</v>
      </c>
      <c r="B180" s="43">
        <v>177</v>
      </c>
      <c r="C180" s="50" t="s">
        <v>661</v>
      </c>
      <c r="D180" s="1">
        <v>4</v>
      </c>
      <c r="E180" s="1" t="s">
        <v>173</v>
      </c>
      <c r="F180" s="1">
        <v>1</v>
      </c>
      <c r="G180" s="2">
        <v>41057</v>
      </c>
      <c r="H180" s="51">
        <v>44462</v>
      </c>
      <c r="I180" s="47">
        <f t="shared" si="27"/>
        <v>9</v>
      </c>
      <c r="J180" s="47">
        <f t="shared" si="19"/>
        <v>111</v>
      </c>
      <c r="K180" s="1">
        <v>22.3</v>
      </c>
      <c r="L180" s="1">
        <v>1.21</v>
      </c>
      <c r="M180" s="43">
        <f t="shared" si="20"/>
        <v>121</v>
      </c>
      <c r="N180" s="1">
        <f>104.6-40</f>
        <v>64.599999999999994</v>
      </c>
      <c r="O180" s="48">
        <f t="shared" si="21"/>
        <v>46.611570247933884</v>
      </c>
      <c r="P180" s="49">
        <f t="shared" si="22"/>
        <v>15.231200054641077</v>
      </c>
      <c r="R180" s="91">
        <v>-2.1097895244839338</v>
      </c>
      <c r="S180" s="91">
        <v>1.7438244587711795</v>
      </c>
      <c r="T180" s="39" t="str">
        <f t="shared" si="25"/>
        <v>Desnutricion</v>
      </c>
      <c r="U180" s="91">
        <v>-1.0878598246858566</v>
      </c>
      <c r="V180" s="91">
        <v>13.832849716311443</v>
      </c>
      <c r="W180" s="39" t="str">
        <f t="shared" si="23"/>
        <v>Normal</v>
      </c>
      <c r="X180" s="116">
        <v>-0.59698671865809605</v>
      </c>
      <c r="Y180" s="91">
        <v>27.525812394459624</v>
      </c>
      <c r="Z180" s="39" t="str">
        <f t="shared" si="24"/>
        <v>Normal</v>
      </c>
    </row>
    <row r="181" spans="1:26" ht="15.75" x14ac:dyDescent="0.25">
      <c r="A181" s="33" t="s">
        <v>705</v>
      </c>
      <c r="B181" s="43">
        <v>178</v>
      </c>
      <c r="C181" s="50" t="s">
        <v>662</v>
      </c>
      <c r="D181" s="1">
        <v>4</v>
      </c>
      <c r="E181" s="1" t="s">
        <v>173</v>
      </c>
      <c r="F181" s="1">
        <v>2</v>
      </c>
      <c r="G181" s="2">
        <v>41223</v>
      </c>
      <c r="H181" s="51">
        <v>44462</v>
      </c>
      <c r="I181" s="47">
        <f t="shared" si="27"/>
        <v>8</v>
      </c>
      <c r="J181" s="47">
        <f t="shared" si="19"/>
        <v>106</v>
      </c>
      <c r="K181" s="1">
        <v>24.1</v>
      </c>
      <c r="L181" s="1">
        <v>1.24</v>
      </c>
      <c r="M181" s="43">
        <f t="shared" si="20"/>
        <v>124</v>
      </c>
      <c r="N181" s="1">
        <f>106-40</f>
        <v>66</v>
      </c>
      <c r="O181" s="48">
        <f t="shared" si="21"/>
        <v>46.774193548387096</v>
      </c>
      <c r="P181" s="49">
        <f t="shared" si="22"/>
        <v>15.673777315296567</v>
      </c>
      <c r="R181" s="91">
        <v>-1.2360876882438003</v>
      </c>
      <c r="S181" s="91">
        <v>10.821298538608563</v>
      </c>
      <c r="T181" s="39" t="str">
        <f t="shared" si="25"/>
        <v>Normal</v>
      </c>
      <c r="U181" s="91">
        <v>-0.88265402572048923</v>
      </c>
      <c r="V181" s="91">
        <v>18.871161450548712</v>
      </c>
      <c r="W181" s="39" t="str">
        <f t="shared" si="23"/>
        <v>Normal</v>
      </c>
      <c r="X181" s="116">
        <v>-0.18891367489805144</v>
      </c>
      <c r="Y181" s="91">
        <v>42.508023777134255</v>
      </c>
      <c r="Z181" s="39" t="str">
        <f t="shared" si="24"/>
        <v>Normal</v>
      </c>
    </row>
    <row r="182" spans="1:26" ht="15.75" x14ac:dyDescent="0.25">
      <c r="A182" s="33" t="s">
        <v>705</v>
      </c>
      <c r="B182" s="43">
        <v>179</v>
      </c>
      <c r="C182" s="50" t="s">
        <v>663</v>
      </c>
      <c r="D182" s="1">
        <v>4</v>
      </c>
      <c r="E182" s="1" t="s">
        <v>173</v>
      </c>
      <c r="F182" s="1">
        <v>1</v>
      </c>
      <c r="G182" s="2">
        <v>41215</v>
      </c>
      <c r="H182" s="51">
        <v>44462</v>
      </c>
      <c r="I182" s="47">
        <f t="shared" si="27"/>
        <v>8</v>
      </c>
      <c r="J182" s="47">
        <f t="shared" si="19"/>
        <v>106</v>
      </c>
      <c r="K182" s="1">
        <v>29.5</v>
      </c>
      <c r="L182" s="1">
        <v>1.36</v>
      </c>
      <c r="M182" s="43">
        <f t="shared" si="20"/>
        <v>136</v>
      </c>
      <c r="N182" s="1">
        <f>112.3-40</f>
        <v>72.3</v>
      </c>
      <c r="O182" s="48">
        <f t="shared" si="21"/>
        <v>46.838235294117645</v>
      </c>
      <c r="P182" s="49">
        <f t="shared" si="22"/>
        <v>15.949394463667817</v>
      </c>
      <c r="R182" s="91">
        <v>0.72451703450151561</v>
      </c>
      <c r="S182" s="91">
        <v>76.562581345907532</v>
      </c>
      <c r="T182" s="39" t="str">
        <f t="shared" si="25"/>
        <v>Normal</v>
      </c>
      <c r="U182" s="91">
        <v>-0.66194689969106779</v>
      </c>
      <c r="V182" s="91">
        <v>25.400262660197075</v>
      </c>
      <c r="W182" s="39" t="str">
        <f t="shared" si="23"/>
        <v>Normal</v>
      </c>
      <c r="X182" s="116">
        <v>-2.7181814147920581E-2</v>
      </c>
      <c r="Y182" s="91">
        <v>48.915736027738951</v>
      </c>
      <c r="Z182" s="39" t="str">
        <f t="shared" si="24"/>
        <v>Normal</v>
      </c>
    </row>
    <row r="183" spans="1:26" ht="15.75" x14ac:dyDescent="0.25">
      <c r="A183" s="33" t="s">
        <v>705</v>
      </c>
      <c r="B183" s="43">
        <v>180</v>
      </c>
      <c r="C183" s="50" t="s">
        <v>664</v>
      </c>
      <c r="D183" s="1">
        <v>4</v>
      </c>
      <c r="E183" s="1" t="s">
        <v>173</v>
      </c>
      <c r="F183" s="1">
        <v>1</v>
      </c>
      <c r="G183" s="2">
        <v>40928</v>
      </c>
      <c r="H183" s="51">
        <v>44462</v>
      </c>
      <c r="I183" s="47">
        <f t="shared" si="27"/>
        <v>9</v>
      </c>
      <c r="J183" s="47">
        <f t="shared" si="19"/>
        <v>116</v>
      </c>
      <c r="K183" s="1">
        <v>25.2</v>
      </c>
      <c r="L183" s="1">
        <v>1.28</v>
      </c>
      <c r="M183" s="43">
        <f t="shared" si="20"/>
        <v>128</v>
      </c>
      <c r="N183" s="1">
        <f>107.2-40</f>
        <v>67.2</v>
      </c>
      <c r="O183" s="48">
        <f t="shared" si="21"/>
        <v>47.5</v>
      </c>
      <c r="P183" s="49">
        <f t="shared" si="22"/>
        <v>15.380859374999998</v>
      </c>
      <c r="R183" s="91">
        <v>-1.2871462810243259</v>
      </c>
      <c r="S183" s="91">
        <v>9.9021653401519565</v>
      </c>
      <c r="T183" s="39" t="str">
        <f t="shared" si="25"/>
        <v>Normal</v>
      </c>
      <c r="U183" s="91">
        <v>-0.4964151630108935</v>
      </c>
      <c r="V183" s="91">
        <v>30.980076460404383</v>
      </c>
      <c r="W183" s="39" t="str">
        <f t="shared" si="23"/>
        <v>Normal</v>
      </c>
      <c r="X183" s="116">
        <v>-0.58752064516572566</v>
      </c>
      <c r="Y183" s="91">
        <v>27.842704454790585</v>
      </c>
      <c r="Z183" s="39" t="str">
        <f t="shared" si="24"/>
        <v>Normal</v>
      </c>
    </row>
    <row r="184" spans="1:26" ht="15.75" x14ac:dyDescent="0.25">
      <c r="A184" s="33" t="s">
        <v>705</v>
      </c>
      <c r="B184" s="43">
        <v>181</v>
      </c>
      <c r="C184" s="50" t="s">
        <v>665</v>
      </c>
      <c r="D184" s="1">
        <v>4</v>
      </c>
      <c r="E184" s="1" t="s">
        <v>173</v>
      </c>
      <c r="F184" s="1">
        <v>1</v>
      </c>
      <c r="G184" s="2">
        <v>41108</v>
      </c>
      <c r="H184" s="51">
        <v>44462</v>
      </c>
      <c r="I184" s="47">
        <f t="shared" si="27"/>
        <v>9</v>
      </c>
      <c r="J184" s="47">
        <f t="shared" si="19"/>
        <v>110</v>
      </c>
      <c r="K184" s="1">
        <v>36.4</v>
      </c>
      <c r="L184" s="1">
        <v>1.29</v>
      </c>
      <c r="M184" s="43">
        <f t="shared" si="20"/>
        <v>129</v>
      </c>
      <c r="N184" s="1">
        <f>110-40</f>
        <v>70</v>
      </c>
      <c r="O184" s="48">
        <f t="shared" si="21"/>
        <v>45.736434108527128</v>
      </c>
      <c r="P184" s="49">
        <f t="shared" si="22"/>
        <v>21.87368547563247</v>
      </c>
      <c r="R184" s="91">
        <v>-0.73118609421763059</v>
      </c>
      <c r="S184" s="91">
        <v>23.23327463731157</v>
      </c>
      <c r="T184" s="39" t="str">
        <f t="shared" si="25"/>
        <v>Normal</v>
      </c>
      <c r="U184" s="91">
        <v>-1.6826451482406846</v>
      </c>
      <c r="V184" s="91">
        <v>4.6221903052231417</v>
      </c>
      <c r="W184" s="39" t="str">
        <f t="shared" si="23"/>
        <v>Piernas cortas</v>
      </c>
      <c r="X184" s="116">
        <v>2.3711566126941075</v>
      </c>
      <c r="Y184" s="91">
        <v>99.113374224700195</v>
      </c>
      <c r="Z184" s="39" t="str">
        <f t="shared" si="24"/>
        <v>Obesidad</v>
      </c>
    </row>
    <row r="185" spans="1:26" ht="15.75" x14ac:dyDescent="0.25">
      <c r="A185" s="33" t="s">
        <v>705</v>
      </c>
      <c r="B185" s="43">
        <v>182</v>
      </c>
      <c r="C185" s="50" t="s">
        <v>666</v>
      </c>
      <c r="D185" s="1">
        <v>4</v>
      </c>
      <c r="E185" s="1" t="s">
        <v>173</v>
      </c>
      <c r="F185" s="1">
        <v>2</v>
      </c>
      <c r="G185" s="2">
        <v>41227</v>
      </c>
      <c r="H185" s="51">
        <v>44462</v>
      </c>
      <c r="I185" s="47">
        <f t="shared" si="27"/>
        <v>8</v>
      </c>
      <c r="J185" s="47">
        <f t="shared" si="19"/>
        <v>106</v>
      </c>
      <c r="K185" s="1">
        <v>40.700000000000003</v>
      </c>
      <c r="L185" s="1">
        <v>1.3</v>
      </c>
      <c r="M185" s="43">
        <f t="shared" si="20"/>
        <v>130</v>
      </c>
      <c r="N185" s="1">
        <f>111.8-40</f>
        <v>71.8</v>
      </c>
      <c r="O185" s="48">
        <f t="shared" si="21"/>
        <v>44.769230769230774</v>
      </c>
      <c r="P185" s="49">
        <f t="shared" si="22"/>
        <v>24.082840236686391</v>
      </c>
      <c r="R185" s="91">
        <v>-0.24583117853516676</v>
      </c>
      <c r="S185" s="91">
        <v>40.290646027303865</v>
      </c>
      <c r="T185" s="39" t="str">
        <f t="shared" si="25"/>
        <v>Normal</v>
      </c>
      <c r="U185" s="91">
        <v>-2.302546498881759</v>
      </c>
      <c r="V185" s="91">
        <v>1.0652186162327328</v>
      </c>
      <c r="W185" s="39" t="str">
        <f t="shared" si="23"/>
        <v>Piernas cortas</v>
      </c>
      <c r="X185" s="116">
        <v>2.6209198728662932</v>
      </c>
      <c r="Y185" s="91">
        <v>99.561535648804551</v>
      </c>
      <c r="Z185" s="39" t="str">
        <f t="shared" si="24"/>
        <v>Obesidad</v>
      </c>
    </row>
    <row r="186" spans="1:26" ht="15.75" x14ac:dyDescent="0.25">
      <c r="A186" s="33" t="s">
        <v>705</v>
      </c>
      <c r="B186" s="43">
        <v>183</v>
      </c>
      <c r="C186" s="83" t="s">
        <v>667</v>
      </c>
      <c r="D186" s="1">
        <v>4</v>
      </c>
      <c r="E186" s="1" t="s">
        <v>173</v>
      </c>
      <c r="F186" s="1">
        <v>2</v>
      </c>
      <c r="G186" s="2">
        <v>41227</v>
      </c>
      <c r="H186" s="51">
        <v>44462</v>
      </c>
      <c r="I186" s="47">
        <f t="shared" si="27"/>
        <v>8</v>
      </c>
      <c r="J186" s="47">
        <f t="shared" si="19"/>
        <v>106</v>
      </c>
      <c r="K186" s="1">
        <v>29</v>
      </c>
      <c r="L186" s="1">
        <v>1.34</v>
      </c>
      <c r="M186" s="43">
        <f t="shared" si="20"/>
        <v>134</v>
      </c>
      <c r="N186" s="1">
        <f>111.5-40</f>
        <v>71.5</v>
      </c>
      <c r="O186" s="48">
        <f t="shared" si="21"/>
        <v>46.64179104477612</v>
      </c>
      <c r="P186" s="49">
        <f t="shared" si="22"/>
        <v>16.150590331922473</v>
      </c>
      <c r="R186" s="91">
        <v>0.4143398279372541</v>
      </c>
      <c r="S186" s="91">
        <v>66.068737524182936</v>
      </c>
      <c r="T186" s="39" t="str">
        <f t="shared" si="25"/>
        <v>Normal</v>
      </c>
      <c r="U186" s="91">
        <v>-0.97434648250860079</v>
      </c>
      <c r="V186" s="91">
        <v>16.494226619295311</v>
      </c>
      <c r="W186" s="39" t="str">
        <f t="shared" si="23"/>
        <v>Normal</v>
      </c>
      <c r="X186" s="116">
        <v>6.9114943104085225E-2</v>
      </c>
      <c r="Y186" s="91">
        <v>52.755093670251775</v>
      </c>
      <c r="Z186" s="39" t="str">
        <f t="shared" si="24"/>
        <v>Normal</v>
      </c>
    </row>
    <row r="187" spans="1:26" ht="15.75" x14ac:dyDescent="0.25">
      <c r="A187" s="33" t="s">
        <v>705</v>
      </c>
      <c r="B187" s="43">
        <v>184</v>
      </c>
      <c r="C187" s="50" t="s">
        <v>668</v>
      </c>
      <c r="D187" s="1">
        <v>4</v>
      </c>
      <c r="E187" s="1" t="s">
        <v>173</v>
      </c>
      <c r="F187" s="1">
        <v>1</v>
      </c>
      <c r="G187" s="2">
        <v>41216</v>
      </c>
      <c r="H187" s="51">
        <v>44462</v>
      </c>
      <c r="I187" s="47">
        <f t="shared" si="27"/>
        <v>8</v>
      </c>
      <c r="J187" s="47">
        <f t="shared" si="19"/>
        <v>106</v>
      </c>
      <c r="K187" s="1">
        <v>35</v>
      </c>
      <c r="L187" s="1">
        <v>1.31</v>
      </c>
      <c r="M187" s="43">
        <f t="shared" si="20"/>
        <v>131</v>
      </c>
      <c r="N187" s="1">
        <f>109.6-40</f>
        <v>69.599999999999994</v>
      </c>
      <c r="O187" s="48">
        <f t="shared" si="21"/>
        <v>46.87022900763359</v>
      </c>
      <c r="P187" s="49">
        <f t="shared" si="22"/>
        <v>20.395081871685797</v>
      </c>
      <c r="R187" s="91">
        <v>-0.11567806070851852</v>
      </c>
      <c r="S187" s="91">
        <v>45.395384726148741</v>
      </c>
      <c r="T187" s="39" t="str">
        <f t="shared" si="25"/>
        <v>Normal</v>
      </c>
      <c r="U187" s="91">
        <v>-0.64056850082928241</v>
      </c>
      <c r="V187" s="91">
        <v>26.090153515056759</v>
      </c>
      <c r="W187" s="39" t="str">
        <f t="shared" si="23"/>
        <v>Normal</v>
      </c>
      <c r="X187" s="116">
        <v>2.0226633612679428</v>
      </c>
      <c r="Y187" s="91">
        <v>97.844606660364647</v>
      </c>
      <c r="Z187" s="39" t="str">
        <f t="shared" si="24"/>
        <v>Obesidad</v>
      </c>
    </row>
    <row r="188" spans="1:26" ht="15.75" x14ac:dyDescent="0.25">
      <c r="A188" s="33" t="s">
        <v>705</v>
      </c>
      <c r="B188" s="43">
        <v>185</v>
      </c>
      <c r="C188" s="50" t="s">
        <v>756</v>
      </c>
      <c r="D188" s="1">
        <v>5</v>
      </c>
      <c r="E188" s="1" t="s">
        <v>173</v>
      </c>
      <c r="F188" s="1">
        <v>1</v>
      </c>
      <c r="G188" s="2">
        <v>40873</v>
      </c>
      <c r="H188" s="51">
        <v>44462</v>
      </c>
      <c r="I188" s="47">
        <f t="shared" si="27"/>
        <v>9</v>
      </c>
      <c r="J188" s="47">
        <f t="shared" si="19"/>
        <v>117</v>
      </c>
      <c r="K188" s="1">
        <v>30.9</v>
      </c>
      <c r="L188" s="1">
        <v>1.33</v>
      </c>
      <c r="M188" s="43">
        <f t="shared" si="20"/>
        <v>133</v>
      </c>
      <c r="N188" s="1">
        <f>112.7-40</f>
        <v>72.7</v>
      </c>
      <c r="O188" s="48">
        <f t="shared" si="21"/>
        <v>45.338345864661648</v>
      </c>
      <c r="P188" s="49">
        <f t="shared" si="22"/>
        <v>17.468483238170613</v>
      </c>
      <c r="R188" s="91">
        <v>-0.55427775401662149</v>
      </c>
      <c r="S188" s="91">
        <v>28.969438623630161</v>
      </c>
      <c r="T188" s="39" t="str">
        <f t="shared" si="25"/>
        <v>Normal</v>
      </c>
      <c r="U188" s="91">
        <v>-1.957341309940581</v>
      </c>
      <c r="V188" s="91">
        <v>2.5153676861963614</v>
      </c>
      <c r="W188" s="39" t="str">
        <f t="shared" si="23"/>
        <v>Piernas cortas</v>
      </c>
      <c r="X188" s="116">
        <v>0.60716436563056964</v>
      </c>
      <c r="Y188" s="91">
        <v>72.812908099022238</v>
      </c>
      <c r="Z188" s="39" t="str">
        <f t="shared" si="24"/>
        <v>Normal</v>
      </c>
    </row>
    <row r="189" spans="1:26" ht="15.75" x14ac:dyDescent="0.25">
      <c r="A189" s="33" t="s">
        <v>705</v>
      </c>
      <c r="B189" s="43">
        <v>186</v>
      </c>
      <c r="C189" s="50" t="s">
        <v>757</v>
      </c>
      <c r="D189" s="1">
        <v>5</v>
      </c>
      <c r="E189" s="1" t="s">
        <v>173</v>
      </c>
      <c r="F189" s="1">
        <v>1</v>
      </c>
      <c r="G189" s="2">
        <v>40592</v>
      </c>
      <c r="H189" s="51">
        <v>44462</v>
      </c>
      <c r="I189" s="47">
        <f t="shared" si="27"/>
        <v>10</v>
      </c>
      <c r="J189" s="47">
        <f t="shared" si="19"/>
        <v>127</v>
      </c>
      <c r="K189" s="1">
        <v>42.6</v>
      </c>
      <c r="L189" s="1">
        <v>1.4</v>
      </c>
      <c r="M189" s="43">
        <f t="shared" si="20"/>
        <v>140</v>
      </c>
      <c r="N189" s="1">
        <f>114.7-40</f>
        <v>74.7</v>
      </c>
      <c r="O189" s="48">
        <f t="shared" si="21"/>
        <v>46.642857142857139</v>
      </c>
      <c r="P189" s="49">
        <f t="shared" si="22"/>
        <v>21.734693877551024</v>
      </c>
      <c r="R189" s="91">
        <v>-0.12740777377898166</v>
      </c>
      <c r="S189" s="91">
        <v>44.930883189904186</v>
      </c>
      <c r="T189" s="39" t="str">
        <f t="shared" si="25"/>
        <v>Normal</v>
      </c>
      <c r="U189" s="91">
        <v>-1.3418815842768506</v>
      </c>
      <c r="V189" s="91">
        <v>8.9817196871915606</v>
      </c>
      <c r="W189" s="39" t="str">
        <f t="shared" si="23"/>
        <v>Normal</v>
      </c>
      <c r="X189" s="116">
        <v>1.9301561605235573</v>
      </c>
      <c r="Y189" s="91">
        <v>97.320625418821635</v>
      </c>
      <c r="Z189" s="39" t="str">
        <f t="shared" si="24"/>
        <v>Obesidad</v>
      </c>
    </row>
    <row r="190" spans="1:26" ht="15.75" x14ac:dyDescent="0.25">
      <c r="A190" s="33" t="s">
        <v>705</v>
      </c>
      <c r="B190" s="43">
        <v>187</v>
      </c>
      <c r="C190" s="50" t="s">
        <v>758</v>
      </c>
      <c r="D190" s="1">
        <v>5</v>
      </c>
      <c r="E190" s="1" t="s">
        <v>173</v>
      </c>
      <c r="F190" s="1">
        <v>1</v>
      </c>
      <c r="G190" s="2">
        <v>40635</v>
      </c>
      <c r="H190" s="51">
        <v>44462</v>
      </c>
      <c r="I190" s="47">
        <f t="shared" si="27"/>
        <v>10</v>
      </c>
      <c r="J190" s="47">
        <f t="shared" si="19"/>
        <v>125</v>
      </c>
      <c r="K190" s="1">
        <v>40.299999999999997</v>
      </c>
      <c r="L190" s="1">
        <v>1.38</v>
      </c>
      <c r="M190" s="43">
        <f t="shared" si="20"/>
        <v>138</v>
      </c>
      <c r="N190" s="1">
        <f>110.6-40</f>
        <v>70.599999999999994</v>
      </c>
      <c r="O190" s="48">
        <f t="shared" si="21"/>
        <v>48.840579710144929</v>
      </c>
      <c r="P190" s="49">
        <f t="shared" si="22"/>
        <v>21.161520688930899</v>
      </c>
      <c r="R190" s="91">
        <v>-0.29954366622628681</v>
      </c>
      <c r="S190" s="91">
        <v>38.226262985968653</v>
      </c>
      <c r="T190" s="39" t="str">
        <f t="shared" si="25"/>
        <v>Normal</v>
      </c>
      <c r="U190" s="91">
        <v>0.14598589323453445</v>
      </c>
      <c r="V190" s="91">
        <v>55.8033737657899</v>
      </c>
      <c r="W190" s="39" t="str">
        <f t="shared" si="23"/>
        <v>Normal</v>
      </c>
      <c r="X190" s="116">
        <v>1.8176390944692637</v>
      </c>
      <c r="Y190" s="91">
        <v>96.544034387597961</v>
      </c>
      <c r="Z190" s="39" t="str">
        <f t="shared" si="24"/>
        <v>Obesidad</v>
      </c>
    </row>
    <row r="191" spans="1:26" ht="15.75" x14ac:dyDescent="0.25">
      <c r="A191" s="33" t="s">
        <v>705</v>
      </c>
      <c r="B191" s="43">
        <v>188</v>
      </c>
      <c r="C191" s="50" t="s">
        <v>759</v>
      </c>
      <c r="D191" s="1">
        <v>5</v>
      </c>
      <c r="E191" s="1" t="s">
        <v>173</v>
      </c>
      <c r="F191" s="1">
        <v>2</v>
      </c>
      <c r="G191" s="2">
        <v>40802</v>
      </c>
      <c r="H191" s="51">
        <v>44462</v>
      </c>
      <c r="I191" s="47">
        <f t="shared" si="27"/>
        <v>10</v>
      </c>
      <c r="J191" s="47">
        <f t="shared" si="19"/>
        <v>120</v>
      </c>
      <c r="K191" s="1">
        <v>35</v>
      </c>
      <c r="L191" s="1">
        <v>1.41</v>
      </c>
      <c r="M191" s="43">
        <f t="shared" si="20"/>
        <v>141</v>
      </c>
      <c r="N191" s="1">
        <f>115.7-40</f>
        <v>75.7</v>
      </c>
      <c r="O191" s="48">
        <f t="shared" si="21"/>
        <v>46.312056737588655</v>
      </c>
      <c r="P191" s="49">
        <f t="shared" si="22"/>
        <v>17.604748252099998</v>
      </c>
      <c r="R191" s="91">
        <v>0.36951987798720987</v>
      </c>
      <c r="S191" s="91">
        <v>64.41298702699585</v>
      </c>
      <c r="T191" s="39" t="str">
        <f t="shared" si="25"/>
        <v>Normal</v>
      </c>
      <c r="U191" s="91">
        <v>-1.5251109384176658</v>
      </c>
      <c r="V191" s="91">
        <v>6.3615714686586404</v>
      </c>
      <c r="W191" s="39" t="str">
        <f t="shared" si="23"/>
        <v>Normal</v>
      </c>
      <c r="X191" s="116">
        <v>0.45127290730766423</v>
      </c>
      <c r="Y191" s="91">
        <v>67.410356558257618</v>
      </c>
      <c r="Z191" s="39" t="str">
        <f t="shared" si="24"/>
        <v>Normal</v>
      </c>
    </row>
    <row r="192" spans="1:26" ht="15.75" x14ac:dyDescent="0.25">
      <c r="A192" s="33" t="s">
        <v>705</v>
      </c>
      <c r="B192" s="43">
        <v>189</v>
      </c>
      <c r="C192" s="50" t="s">
        <v>760</v>
      </c>
      <c r="D192" s="1">
        <v>5</v>
      </c>
      <c r="E192" s="1" t="s">
        <v>173</v>
      </c>
      <c r="F192" s="1">
        <v>2</v>
      </c>
      <c r="G192" s="2">
        <v>40832</v>
      </c>
      <c r="H192" s="51">
        <v>44462</v>
      </c>
      <c r="I192" s="47">
        <f t="shared" si="27"/>
        <v>9</v>
      </c>
      <c r="J192" s="47">
        <f t="shared" si="19"/>
        <v>119</v>
      </c>
      <c r="K192" s="1">
        <v>43.8</v>
      </c>
      <c r="L192" s="1">
        <v>1.37</v>
      </c>
      <c r="M192" s="43">
        <f t="shared" si="20"/>
        <v>137</v>
      </c>
      <c r="N192" s="1">
        <f>115.5-40</f>
        <v>75.5</v>
      </c>
      <c r="O192" s="48">
        <f t="shared" si="21"/>
        <v>44.89051094890511</v>
      </c>
      <c r="P192" s="49">
        <f t="shared" si="22"/>
        <v>23.336352496137245</v>
      </c>
      <c r="R192" s="91">
        <v>-0.17519375353300354</v>
      </c>
      <c r="S192" s="91">
        <v>43.046369619343857</v>
      </c>
      <c r="T192" s="39" t="str">
        <f t="shared" si="25"/>
        <v>Normal</v>
      </c>
      <c r="U192" s="91">
        <v>-2.4233367573487619</v>
      </c>
      <c r="V192" s="91">
        <v>0.76893316261221056</v>
      </c>
      <c r="W192" s="39" t="str">
        <f t="shared" si="23"/>
        <v>Piernas cortas</v>
      </c>
      <c r="X192" s="116">
        <v>2.1884820467502708</v>
      </c>
      <c r="Y192" s="91">
        <v>98.568274619573714</v>
      </c>
      <c r="Z192" s="39" t="str">
        <f t="shared" si="24"/>
        <v>Obesidad</v>
      </c>
    </row>
    <row r="193" spans="1:26" ht="15.75" x14ac:dyDescent="0.25">
      <c r="A193" s="33" t="s">
        <v>705</v>
      </c>
      <c r="B193" s="43">
        <v>190</v>
      </c>
      <c r="C193" s="50" t="s">
        <v>761</v>
      </c>
      <c r="D193" s="1">
        <v>5</v>
      </c>
      <c r="E193" s="1" t="s">
        <v>173</v>
      </c>
      <c r="F193" s="1">
        <v>2</v>
      </c>
      <c r="G193" s="2">
        <v>40729</v>
      </c>
      <c r="H193" s="51">
        <v>44462</v>
      </c>
      <c r="I193" s="47">
        <f t="shared" si="27"/>
        <v>10</v>
      </c>
      <c r="J193" s="47">
        <f t="shared" si="19"/>
        <v>122</v>
      </c>
      <c r="K193" s="1">
        <v>61.9</v>
      </c>
      <c r="L193" s="1">
        <v>1.5</v>
      </c>
      <c r="M193" s="43">
        <f t="shared" si="20"/>
        <v>150</v>
      </c>
      <c r="N193" s="1">
        <f>120.7-4</f>
        <v>116.7</v>
      </c>
      <c r="O193" s="48">
        <f t="shared" si="21"/>
        <v>22.199999999999996</v>
      </c>
      <c r="P193" s="49">
        <f t="shared" si="22"/>
        <v>27.511111111111109</v>
      </c>
      <c r="R193" s="91">
        <v>1.6022740201017596</v>
      </c>
      <c r="S193" s="91">
        <v>94.545248597526083</v>
      </c>
      <c r="T193" s="39" t="str">
        <f t="shared" si="25"/>
        <v>Normal</v>
      </c>
      <c r="U193" s="91">
        <v>-26.024676827577245</v>
      </c>
      <c r="V193" s="91">
        <v>1.3018965177299046E-147</v>
      </c>
      <c r="W193" s="39" t="str">
        <f t="shared" si="23"/>
        <v>Piernas cortas</v>
      </c>
      <c r="X193" s="116">
        <v>2.8442432170226613</v>
      </c>
      <c r="Y193" s="91">
        <v>99.777414738932478</v>
      </c>
      <c r="Z193" s="39" t="str">
        <f t="shared" si="24"/>
        <v>Obesidad</v>
      </c>
    </row>
    <row r="194" spans="1:26" ht="15.75" x14ac:dyDescent="0.25">
      <c r="A194" s="33" t="s">
        <v>705</v>
      </c>
      <c r="B194" s="43">
        <v>191</v>
      </c>
      <c r="C194" s="50" t="s">
        <v>762</v>
      </c>
      <c r="D194" s="1">
        <v>5</v>
      </c>
      <c r="E194" s="1" t="s">
        <v>173</v>
      </c>
      <c r="F194" s="1">
        <v>2</v>
      </c>
      <c r="G194" s="2">
        <v>40862</v>
      </c>
      <c r="H194" s="51">
        <v>44462</v>
      </c>
      <c r="I194" s="47">
        <f t="shared" si="27"/>
        <v>9</v>
      </c>
      <c r="J194" s="47">
        <f t="shared" si="19"/>
        <v>118</v>
      </c>
      <c r="K194" s="1">
        <v>24.2</v>
      </c>
      <c r="L194" s="1">
        <v>1.28</v>
      </c>
      <c r="M194" s="43">
        <f t="shared" si="20"/>
        <v>128</v>
      </c>
      <c r="N194" s="1">
        <f>108.6-40</f>
        <v>68.599999999999994</v>
      </c>
      <c r="O194" s="48">
        <f t="shared" si="21"/>
        <v>46.406250000000007</v>
      </c>
      <c r="P194" s="49">
        <f t="shared" si="22"/>
        <v>14.770507812499998</v>
      </c>
      <c r="R194" s="91">
        <v>-1.5112359888017823</v>
      </c>
      <c r="S194" s="91">
        <v>6.5364168092147343</v>
      </c>
      <c r="T194" s="39" t="str">
        <f t="shared" si="25"/>
        <v>Normal</v>
      </c>
      <c r="U194" s="91">
        <v>-1.3462518395577612</v>
      </c>
      <c r="V194" s="91">
        <v>8.9110655931514486</v>
      </c>
      <c r="W194" s="39" t="str">
        <f t="shared" si="23"/>
        <v>Normal</v>
      </c>
      <c r="X194" s="116">
        <v>-0.99599774651770701</v>
      </c>
      <c r="Y194" s="91">
        <v>15.962562004861642</v>
      </c>
      <c r="Z194" s="39" t="str">
        <f t="shared" si="24"/>
        <v>Normal</v>
      </c>
    </row>
    <row r="195" spans="1:26" ht="15.75" x14ac:dyDescent="0.25">
      <c r="A195" s="33" t="s">
        <v>705</v>
      </c>
      <c r="B195" s="43">
        <v>192</v>
      </c>
      <c r="C195" s="50" t="s">
        <v>763</v>
      </c>
      <c r="D195" s="1">
        <v>5</v>
      </c>
      <c r="E195" s="1" t="s">
        <v>173</v>
      </c>
      <c r="F195" s="1">
        <v>2</v>
      </c>
      <c r="G195" s="2">
        <v>40841</v>
      </c>
      <c r="H195" s="51">
        <v>44462</v>
      </c>
      <c r="I195" s="47">
        <f t="shared" si="27"/>
        <v>9</v>
      </c>
      <c r="J195" s="47">
        <f t="shared" si="19"/>
        <v>118</v>
      </c>
      <c r="K195" s="1">
        <v>33.5</v>
      </c>
      <c r="L195" s="1">
        <v>1.39</v>
      </c>
      <c r="M195" s="43">
        <f t="shared" si="20"/>
        <v>139</v>
      </c>
      <c r="N195" s="1">
        <f>112.7-40</f>
        <v>72.7</v>
      </c>
      <c r="O195" s="48">
        <f t="shared" si="21"/>
        <v>47.697841726618698</v>
      </c>
      <c r="P195" s="49">
        <f t="shared" si="22"/>
        <v>17.338647067957147</v>
      </c>
      <c r="R195" s="91">
        <v>0.22062310428577941</v>
      </c>
      <c r="S195" s="91">
        <v>58.730704515345856</v>
      </c>
      <c r="T195" s="39" t="str">
        <f t="shared" si="25"/>
        <v>Normal</v>
      </c>
      <c r="U195" s="91">
        <v>-0.4583810966921617</v>
      </c>
      <c r="V195" s="91">
        <v>32.33393350667145</v>
      </c>
      <c r="W195" s="39" t="str">
        <f t="shared" si="23"/>
        <v>Normal</v>
      </c>
      <c r="X195" s="116">
        <v>0.38165311324936591</v>
      </c>
      <c r="Y195" s="91">
        <v>64.864065886690838</v>
      </c>
      <c r="Z195" s="39" t="str">
        <f t="shared" si="24"/>
        <v>Normal</v>
      </c>
    </row>
    <row r="196" spans="1:26" ht="15.75" x14ac:dyDescent="0.25">
      <c r="A196" s="33" t="s">
        <v>705</v>
      </c>
      <c r="B196" s="43">
        <v>193</v>
      </c>
      <c r="C196" s="50" t="s">
        <v>764</v>
      </c>
      <c r="D196" s="1">
        <v>5</v>
      </c>
      <c r="E196" s="1" t="s">
        <v>173</v>
      </c>
      <c r="F196" s="1">
        <v>2</v>
      </c>
      <c r="G196" s="2">
        <v>40839</v>
      </c>
      <c r="H196" s="51">
        <v>44462</v>
      </c>
      <c r="I196" s="47">
        <f t="shared" si="27"/>
        <v>9</v>
      </c>
      <c r="J196" s="47">
        <f t="shared" ref="J196:J259" si="28">DATEDIF(G196,H196,"m")</f>
        <v>119</v>
      </c>
      <c r="K196" s="1">
        <v>26.6</v>
      </c>
      <c r="L196" s="1">
        <v>1.24</v>
      </c>
      <c r="M196" s="43">
        <f t="shared" si="20"/>
        <v>124</v>
      </c>
      <c r="N196" s="1">
        <f>108.6-40</f>
        <v>68.599999999999994</v>
      </c>
      <c r="O196" s="48">
        <f t="shared" si="21"/>
        <v>44.677419354838719</v>
      </c>
      <c r="P196" s="49">
        <f t="shared" ref="P196:P204" si="29">K196/(L196*L196)</f>
        <v>17.299687825182101</v>
      </c>
      <c r="R196" s="91">
        <v>-2.2147019436727216</v>
      </c>
      <c r="S196" s="91">
        <v>1.3390264685427828</v>
      </c>
      <c r="T196" s="39" t="str">
        <f t="shared" si="25"/>
        <v>Desnutricion</v>
      </c>
      <c r="U196" s="91">
        <v>-2.5779435167287992</v>
      </c>
      <c r="V196" s="91">
        <v>0.49695121350116095</v>
      </c>
      <c r="W196" s="39" t="str">
        <f t="shared" ref="W196:W259" si="30">IF(U196&lt;-1.645,"Piernas cortas",IF(AND(U196&gt;=-1.645,U196&lt;=1.645),"Normal",IF(U196&gt;1.645,"Piernas largas")))</f>
        <v>Piernas cortas</v>
      </c>
      <c r="X196" s="116">
        <v>0.34196810751460405</v>
      </c>
      <c r="Y196" s="91">
        <v>63.381255328642453</v>
      </c>
      <c r="Z196" s="39" t="str">
        <f t="shared" ref="Z196:Z259" si="31">IF(Y196&lt;5,"Desnutricion",IF(AND(Y196&gt;=5,Y196&lt;15),"Bajo Peso",IF(AND(Y196&gt;=15,Y196&lt;=85),"Normal",IF(Y196&gt;85,"Obesidad"))))</f>
        <v>Normal</v>
      </c>
    </row>
    <row r="197" spans="1:26" ht="15.75" x14ac:dyDescent="0.25">
      <c r="A197" s="33" t="s">
        <v>705</v>
      </c>
      <c r="B197" s="43">
        <v>194</v>
      </c>
      <c r="C197" s="50" t="s">
        <v>669</v>
      </c>
      <c r="D197" s="1">
        <v>6</v>
      </c>
      <c r="E197" s="1" t="s">
        <v>7</v>
      </c>
      <c r="F197" s="1">
        <v>2</v>
      </c>
      <c r="G197" s="2">
        <v>40220</v>
      </c>
      <c r="H197" s="51">
        <v>44462</v>
      </c>
      <c r="I197" s="47">
        <f t="shared" si="27"/>
        <v>11</v>
      </c>
      <c r="J197" s="47">
        <f t="shared" si="28"/>
        <v>139</v>
      </c>
      <c r="K197" s="1">
        <v>40.9</v>
      </c>
      <c r="L197" s="1">
        <v>1.45</v>
      </c>
      <c r="M197" s="43">
        <f t="shared" si="20"/>
        <v>145</v>
      </c>
      <c r="N197" s="1">
        <f>117.4-40</f>
        <v>77.400000000000006</v>
      </c>
      <c r="O197" s="48">
        <f t="shared" si="21"/>
        <v>46.620689655172413</v>
      </c>
      <c r="P197" s="49">
        <f t="shared" si="29"/>
        <v>19.453032104637334</v>
      </c>
      <c r="R197" s="91">
        <v>-0.54695508939070769</v>
      </c>
      <c r="S197" s="91">
        <v>29.220479343283923</v>
      </c>
      <c r="T197" s="39" t="str">
        <f t="shared" ref="T197:T260" si="32">IF(R197&lt;-1.645,"Desnutricion",IF(AND(R197&gt;=-1.645,R197&lt;=1.645),"Normal",IF(R197&gt;1.645,"Alto")))</f>
        <v>Normal</v>
      </c>
      <c r="U197" s="91">
        <v>-1.3372263169986387</v>
      </c>
      <c r="V197" s="91">
        <v>9.0574387010937425</v>
      </c>
      <c r="W197" s="39" t="str">
        <f t="shared" si="30"/>
        <v>Normal</v>
      </c>
      <c r="X197" s="116">
        <v>0.6914064885583745</v>
      </c>
      <c r="Y197" s="91">
        <v>75.534493618329606</v>
      </c>
      <c r="Z197" s="39" t="str">
        <f t="shared" si="31"/>
        <v>Normal</v>
      </c>
    </row>
    <row r="198" spans="1:26" ht="15.75" x14ac:dyDescent="0.25">
      <c r="A198" s="33" t="s">
        <v>705</v>
      </c>
      <c r="B198" s="43">
        <v>195</v>
      </c>
      <c r="C198" s="50" t="s">
        <v>670</v>
      </c>
      <c r="D198" s="1">
        <v>6</v>
      </c>
      <c r="E198" s="1" t="s">
        <v>7</v>
      </c>
      <c r="F198" s="1">
        <v>2</v>
      </c>
      <c r="G198" s="2">
        <v>40219</v>
      </c>
      <c r="H198" s="51">
        <v>44462</v>
      </c>
      <c r="I198" s="47">
        <f t="shared" si="27"/>
        <v>11</v>
      </c>
      <c r="J198" s="47">
        <f t="shared" si="28"/>
        <v>139</v>
      </c>
      <c r="K198" s="1">
        <v>53.3</v>
      </c>
      <c r="L198" s="1">
        <v>1.54</v>
      </c>
      <c r="M198" s="43">
        <f t="shared" si="20"/>
        <v>154</v>
      </c>
      <c r="N198" s="1">
        <f>120.5-40</f>
        <v>80.5</v>
      </c>
      <c r="O198" s="48">
        <f t="shared" si="21"/>
        <v>47.727272727272727</v>
      </c>
      <c r="P198" s="49">
        <f t="shared" si="29"/>
        <v>22.474278967785462</v>
      </c>
      <c r="R198" s="91">
        <v>0.78264969804314499</v>
      </c>
      <c r="S198" s="91">
        <v>78.308357566799543</v>
      </c>
      <c r="T198" s="39" t="str">
        <f t="shared" si="32"/>
        <v>Normal</v>
      </c>
      <c r="U198" s="91">
        <v>-0.57838312620413257</v>
      </c>
      <c r="V198" s="91">
        <v>28.150274178653461</v>
      </c>
      <c r="W198" s="39" t="str">
        <f t="shared" si="30"/>
        <v>Normal</v>
      </c>
      <c r="X198" s="116">
        <v>1.5677128268081888</v>
      </c>
      <c r="Y198" s="91">
        <v>94.152591658037494</v>
      </c>
      <c r="Z198" s="39" t="str">
        <f t="shared" si="31"/>
        <v>Obesidad</v>
      </c>
    </row>
    <row r="199" spans="1:26" ht="15.75" x14ac:dyDescent="0.25">
      <c r="A199" s="33" t="s">
        <v>705</v>
      </c>
      <c r="B199" s="43">
        <v>196</v>
      </c>
      <c r="C199" s="50" t="s">
        <v>671</v>
      </c>
      <c r="D199" s="1">
        <v>6</v>
      </c>
      <c r="E199" s="1" t="s">
        <v>7</v>
      </c>
      <c r="F199" s="1">
        <v>2</v>
      </c>
      <c r="G199" s="2">
        <v>40294</v>
      </c>
      <c r="H199" s="51">
        <v>44462</v>
      </c>
      <c r="I199" s="47">
        <f t="shared" si="27"/>
        <v>11</v>
      </c>
      <c r="J199" s="47">
        <f t="shared" si="28"/>
        <v>136</v>
      </c>
      <c r="K199" s="1">
        <v>55.6</v>
      </c>
      <c r="L199" s="1">
        <v>1.48</v>
      </c>
      <c r="M199" s="43">
        <f t="shared" si="20"/>
        <v>148</v>
      </c>
      <c r="N199" s="1">
        <f>120-40</f>
        <v>80</v>
      </c>
      <c r="O199" s="48">
        <f t="shared" si="21"/>
        <v>45.945945945945951</v>
      </c>
      <c r="P199" s="49">
        <f t="shared" si="29"/>
        <v>25.383491599707817</v>
      </c>
      <c r="R199" s="91">
        <v>0.13004420699078983</v>
      </c>
      <c r="S199" s="91">
        <v>55.173427424536115</v>
      </c>
      <c r="T199" s="39" t="str">
        <f t="shared" si="32"/>
        <v>Normal</v>
      </c>
      <c r="U199" s="91">
        <v>-1.8096703476049472</v>
      </c>
      <c r="V199" s="91">
        <v>3.5173461762512312</v>
      </c>
      <c r="W199" s="39" t="str">
        <f t="shared" si="30"/>
        <v>Piernas cortas</v>
      </c>
      <c r="X199" s="116">
        <v>2.2378663346864283</v>
      </c>
      <c r="Y199" s="91">
        <v>98.738511350051681</v>
      </c>
      <c r="Z199" s="39" t="str">
        <f t="shared" si="31"/>
        <v>Obesidad</v>
      </c>
    </row>
    <row r="200" spans="1:26" ht="15.75" x14ac:dyDescent="0.25">
      <c r="A200" s="33" t="s">
        <v>705</v>
      </c>
      <c r="B200" s="43">
        <v>197</v>
      </c>
      <c r="C200" s="50" t="s">
        <v>672</v>
      </c>
      <c r="D200" s="1">
        <v>6</v>
      </c>
      <c r="E200" s="1" t="s">
        <v>7</v>
      </c>
      <c r="F200" s="1">
        <v>2</v>
      </c>
      <c r="G200" s="2">
        <v>40227</v>
      </c>
      <c r="H200" s="51">
        <v>44462</v>
      </c>
      <c r="I200" s="47">
        <f t="shared" si="27"/>
        <v>11</v>
      </c>
      <c r="J200" s="47">
        <f t="shared" si="28"/>
        <v>139</v>
      </c>
      <c r="K200" s="1">
        <v>35</v>
      </c>
      <c r="L200" s="1">
        <v>1.42</v>
      </c>
      <c r="M200" s="43">
        <f t="shared" si="20"/>
        <v>142</v>
      </c>
      <c r="N200" s="1">
        <f>115-40</f>
        <v>75</v>
      </c>
      <c r="O200" s="48">
        <f t="shared" si="21"/>
        <v>47.183098591549296</v>
      </c>
      <c r="P200" s="49">
        <f t="shared" si="29"/>
        <v>17.357667129537791</v>
      </c>
      <c r="R200" s="91">
        <v>-0.99015668520199362</v>
      </c>
      <c r="S200" s="91">
        <v>16.104877012926</v>
      </c>
      <c r="T200" s="39" t="str">
        <f t="shared" si="32"/>
        <v>Normal</v>
      </c>
      <c r="U200" s="91">
        <v>-0.9491187872439979</v>
      </c>
      <c r="V200" s="91">
        <v>17.128010009782464</v>
      </c>
      <c r="W200" s="39" t="str">
        <f t="shared" si="30"/>
        <v>Normal</v>
      </c>
      <c r="X200" s="116">
        <v>-0.14003259430637144</v>
      </c>
      <c r="Y200" s="91">
        <v>44.43171187860014</v>
      </c>
      <c r="Z200" s="39" t="str">
        <f t="shared" si="31"/>
        <v>Normal</v>
      </c>
    </row>
    <row r="201" spans="1:26" ht="15.75" x14ac:dyDescent="0.25">
      <c r="A201" s="33" t="s">
        <v>705</v>
      </c>
      <c r="B201" s="43">
        <v>198</v>
      </c>
      <c r="C201" s="50" t="s">
        <v>673</v>
      </c>
      <c r="D201" s="1">
        <v>6</v>
      </c>
      <c r="E201" s="1" t="s">
        <v>7</v>
      </c>
      <c r="F201" s="1">
        <v>2</v>
      </c>
      <c r="G201" s="2">
        <v>40333</v>
      </c>
      <c r="H201" s="51">
        <v>44462</v>
      </c>
      <c r="I201" s="47">
        <f t="shared" si="27"/>
        <v>11</v>
      </c>
      <c r="J201" s="47">
        <f t="shared" si="28"/>
        <v>135</v>
      </c>
      <c r="K201" s="1">
        <v>56</v>
      </c>
      <c r="L201" s="1">
        <v>1.54</v>
      </c>
      <c r="M201" s="43">
        <f t="shared" si="20"/>
        <v>154</v>
      </c>
      <c r="N201" s="1">
        <f>122-40</f>
        <v>82</v>
      </c>
      <c r="O201" s="48">
        <f t="shared" si="21"/>
        <v>46.753246753246749</v>
      </c>
      <c r="P201" s="49">
        <f t="shared" si="29"/>
        <v>23.61275088547816</v>
      </c>
      <c r="R201" s="91">
        <v>1.1050667774972223</v>
      </c>
      <c r="S201" s="91">
        <v>86.543467255183117</v>
      </c>
      <c r="T201" s="39" t="str">
        <f t="shared" si="32"/>
        <v>Normal</v>
      </c>
      <c r="U201" s="91">
        <v>-1.2452915567919574</v>
      </c>
      <c r="V201" s="91">
        <v>10.651229906024193</v>
      </c>
      <c r="W201" s="39" t="str">
        <f t="shared" si="30"/>
        <v>Normal</v>
      </c>
      <c r="X201" s="116">
        <v>1.9135910806318865</v>
      </c>
      <c r="Y201" s="91">
        <v>97.216378719287462</v>
      </c>
      <c r="Z201" s="39" t="str">
        <f t="shared" si="31"/>
        <v>Obesidad</v>
      </c>
    </row>
    <row r="202" spans="1:26" ht="15.75" x14ac:dyDescent="0.25">
      <c r="A202" s="33" t="s">
        <v>705</v>
      </c>
      <c r="B202" s="43">
        <v>199</v>
      </c>
      <c r="C202" s="50" t="s">
        <v>674</v>
      </c>
      <c r="D202" s="1">
        <v>6</v>
      </c>
      <c r="E202" s="1" t="s">
        <v>7</v>
      </c>
      <c r="F202" s="1">
        <v>2</v>
      </c>
      <c r="G202" s="2">
        <v>40305</v>
      </c>
      <c r="H202" s="51">
        <v>44462</v>
      </c>
      <c r="I202" s="47">
        <f t="shared" si="27"/>
        <v>11</v>
      </c>
      <c r="J202" s="47">
        <f t="shared" si="28"/>
        <v>136</v>
      </c>
      <c r="K202" s="1">
        <v>35.299999999999997</v>
      </c>
      <c r="L202" s="1">
        <v>1.53</v>
      </c>
      <c r="M202" s="43">
        <f t="shared" si="20"/>
        <v>153</v>
      </c>
      <c r="N202" s="1">
        <f>120-40</f>
        <v>80</v>
      </c>
      <c r="O202" s="48">
        <f t="shared" si="21"/>
        <v>47.712418300653596</v>
      </c>
      <c r="P202" s="49">
        <f t="shared" si="29"/>
        <v>15.079670212311504</v>
      </c>
      <c r="R202" s="91">
        <v>0.87417448274492882</v>
      </c>
      <c r="S202" s="91">
        <v>80.898837994562086</v>
      </c>
      <c r="T202" s="39" t="str">
        <f t="shared" si="32"/>
        <v>Normal</v>
      </c>
      <c r="U202" s="91">
        <v>-0.5884416472578522</v>
      </c>
      <c r="V202" s="91">
        <v>27.811794516974743</v>
      </c>
      <c r="W202" s="39" t="str">
        <f t="shared" si="30"/>
        <v>Normal</v>
      </c>
      <c r="X202" s="116">
        <v>-1.2806453706069563</v>
      </c>
      <c r="Y202" s="91">
        <v>10.015912806084113</v>
      </c>
      <c r="Z202" s="39" t="str">
        <f t="shared" si="31"/>
        <v>Bajo Peso</v>
      </c>
    </row>
    <row r="203" spans="1:26" ht="15.75" x14ac:dyDescent="0.25">
      <c r="A203" s="33" t="s">
        <v>705</v>
      </c>
      <c r="B203" s="43">
        <v>200</v>
      </c>
      <c r="C203" s="50" t="s">
        <v>675</v>
      </c>
      <c r="D203" s="1">
        <v>6</v>
      </c>
      <c r="E203" s="1" t="s">
        <v>7</v>
      </c>
      <c r="F203" s="1">
        <v>2</v>
      </c>
      <c r="G203" s="2">
        <v>40364</v>
      </c>
      <c r="H203" s="51">
        <v>44462</v>
      </c>
      <c r="I203" s="47">
        <f t="shared" si="27"/>
        <v>11</v>
      </c>
      <c r="J203" s="47">
        <f t="shared" si="28"/>
        <v>134</v>
      </c>
      <c r="K203" s="1">
        <v>34.5</v>
      </c>
      <c r="L203" s="1">
        <v>1.49</v>
      </c>
      <c r="M203" s="43">
        <f t="shared" si="20"/>
        <v>149</v>
      </c>
      <c r="N203" s="1">
        <f>118-40</f>
        <v>78</v>
      </c>
      <c r="O203" s="48">
        <f t="shared" si="21"/>
        <v>47.651006711409394</v>
      </c>
      <c r="P203" s="49">
        <f t="shared" si="29"/>
        <v>15.539840547723076</v>
      </c>
      <c r="R203" s="91">
        <v>0.43953996876108403</v>
      </c>
      <c r="S203" s="91">
        <v>66.986483612514164</v>
      </c>
      <c r="T203" s="39" t="str">
        <f t="shared" si="32"/>
        <v>Normal</v>
      </c>
      <c r="U203" s="91">
        <v>-0.63006226413998978</v>
      </c>
      <c r="V203" s="91">
        <v>26.432692386170377</v>
      </c>
      <c r="W203" s="39" t="str">
        <f t="shared" si="30"/>
        <v>Normal</v>
      </c>
      <c r="X203" s="116">
        <v>-0.93960712564183879</v>
      </c>
      <c r="Y203" s="91">
        <v>17.370955993911991</v>
      </c>
      <c r="Z203" s="39" t="str">
        <f t="shared" si="31"/>
        <v>Normal</v>
      </c>
    </row>
    <row r="204" spans="1:26" ht="15.75" x14ac:dyDescent="0.25">
      <c r="A204" s="33" t="s">
        <v>705</v>
      </c>
      <c r="B204" s="43">
        <v>201</v>
      </c>
      <c r="C204" s="50" t="s">
        <v>676</v>
      </c>
      <c r="D204" s="1">
        <v>6</v>
      </c>
      <c r="E204" s="1" t="s">
        <v>7</v>
      </c>
      <c r="F204" s="1">
        <v>1</v>
      </c>
      <c r="G204" s="2">
        <v>40324</v>
      </c>
      <c r="H204" s="51">
        <v>44462</v>
      </c>
      <c r="I204" s="47">
        <f t="shared" si="27"/>
        <v>11</v>
      </c>
      <c r="J204" s="47">
        <f t="shared" si="28"/>
        <v>135</v>
      </c>
      <c r="K204" s="1">
        <v>38</v>
      </c>
      <c r="L204" s="1">
        <v>1.45</v>
      </c>
      <c r="M204" s="43">
        <f t="shared" si="20"/>
        <v>145</v>
      </c>
      <c r="N204" s="1">
        <f>116.5-40</f>
        <v>76.5</v>
      </c>
      <c r="O204" s="48">
        <f t="shared" si="21"/>
        <v>47.241379310344826</v>
      </c>
      <c r="P204" s="49">
        <f t="shared" si="29"/>
        <v>18.07372175980975</v>
      </c>
      <c r="R204" s="91">
        <v>6.9264247556456895E-2</v>
      </c>
      <c r="S204" s="91">
        <v>52.761035815960497</v>
      </c>
      <c r="T204" s="39" t="str">
        <f t="shared" si="32"/>
        <v>Normal</v>
      </c>
      <c r="U204" s="91">
        <v>-1.1586283019696633</v>
      </c>
      <c r="V204" s="91">
        <v>12.330386371180049</v>
      </c>
      <c r="W204" s="39" t="str">
        <f t="shared" si="30"/>
        <v>Normal</v>
      </c>
      <c r="X204" s="116">
        <v>0.48145397600729894</v>
      </c>
      <c r="Y204" s="91">
        <v>68.490305872302599</v>
      </c>
      <c r="Z204" s="39" t="str">
        <f t="shared" si="31"/>
        <v>Normal</v>
      </c>
    </row>
    <row r="205" spans="1:26" ht="15.75" x14ac:dyDescent="0.25">
      <c r="A205" s="33" t="s">
        <v>705</v>
      </c>
      <c r="B205" s="43">
        <v>202</v>
      </c>
      <c r="C205" s="50" t="s">
        <v>677</v>
      </c>
      <c r="D205" s="1">
        <v>6</v>
      </c>
      <c r="E205" s="1" t="s">
        <v>7</v>
      </c>
      <c r="F205" s="1">
        <v>1</v>
      </c>
      <c r="G205" s="2">
        <v>40262</v>
      </c>
      <c r="H205" s="51">
        <v>44462</v>
      </c>
      <c r="I205" s="47">
        <f t="shared" si="27"/>
        <v>11</v>
      </c>
      <c r="J205" s="47">
        <f t="shared" si="28"/>
        <v>137</v>
      </c>
      <c r="K205" s="1">
        <v>56.2</v>
      </c>
      <c r="L205" s="1">
        <v>1.53</v>
      </c>
      <c r="M205" s="43">
        <f t="shared" ref="M205:M268" si="33">L205*100</f>
        <v>153</v>
      </c>
      <c r="N205" s="1">
        <f>121-40</f>
        <v>81</v>
      </c>
      <c r="O205" s="48">
        <f t="shared" ref="O205:O268" si="34">((M205-N205)/M205)*100</f>
        <v>47.058823529411761</v>
      </c>
      <c r="P205" s="49">
        <f t="shared" ref="P205:P268" si="35">K205/(L205*L205)</f>
        <v>24.007860224699904</v>
      </c>
      <c r="R205" s="91">
        <v>1.0907870143614924</v>
      </c>
      <c r="S205" s="91">
        <v>86.231669413814231</v>
      </c>
      <c r="T205" s="39" t="str">
        <f t="shared" si="32"/>
        <v>Normal</v>
      </c>
      <c r="U205" s="91">
        <v>-1.2880589442331849</v>
      </c>
      <c r="V205" s="91">
        <v>9.8862722714879592</v>
      </c>
      <c r="W205" s="39" t="str">
        <f t="shared" si="30"/>
        <v>Normal</v>
      </c>
      <c r="X205" s="116">
        <v>2.2368332275072831</v>
      </c>
      <c r="Y205" s="91">
        <v>98.735137900760634</v>
      </c>
      <c r="Z205" s="39" t="str">
        <f t="shared" si="31"/>
        <v>Obesidad</v>
      </c>
    </row>
    <row r="206" spans="1:26" ht="15.75" x14ac:dyDescent="0.25">
      <c r="A206" s="33" t="s">
        <v>705</v>
      </c>
      <c r="B206" s="43">
        <v>203</v>
      </c>
      <c r="C206" s="50" t="s">
        <v>678</v>
      </c>
      <c r="D206" s="1">
        <v>6</v>
      </c>
      <c r="E206" s="1" t="s">
        <v>7</v>
      </c>
      <c r="F206" s="1">
        <v>1</v>
      </c>
      <c r="G206" s="2">
        <v>40497</v>
      </c>
      <c r="H206" s="51">
        <v>44462</v>
      </c>
      <c r="I206" s="47">
        <f t="shared" si="27"/>
        <v>10</v>
      </c>
      <c r="J206" s="47">
        <f t="shared" si="28"/>
        <v>130</v>
      </c>
      <c r="K206" s="1">
        <v>44.8</v>
      </c>
      <c r="L206" s="1">
        <v>1.41</v>
      </c>
      <c r="M206" s="43">
        <f t="shared" si="33"/>
        <v>141</v>
      </c>
      <c r="N206" s="1">
        <f>114.3-40</f>
        <v>74.3</v>
      </c>
      <c r="O206" s="48">
        <f t="shared" si="34"/>
        <v>47.304964539007095</v>
      </c>
      <c r="P206" s="49">
        <f t="shared" si="35"/>
        <v>22.534077762687996</v>
      </c>
      <c r="R206" s="91">
        <v>-0.17860703049505014</v>
      </c>
      <c r="S206" s="91">
        <v>42.912313686254613</v>
      </c>
      <c r="T206" s="39" t="str">
        <f t="shared" si="32"/>
        <v>Normal</v>
      </c>
      <c r="U206" s="91">
        <v>-0.88567679038822478</v>
      </c>
      <c r="V206" s="91">
        <v>18.789585931867048</v>
      </c>
      <c r="W206" s="39" t="str">
        <f t="shared" si="30"/>
        <v>Normal</v>
      </c>
      <c r="X206" s="116">
        <v>2.0643957924336771</v>
      </c>
      <c r="Y206" s="91">
        <v>98.050989745351515</v>
      </c>
      <c r="Z206" s="39" t="str">
        <f t="shared" si="31"/>
        <v>Obesidad</v>
      </c>
    </row>
    <row r="207" spans="1:26" ht="15.75" x14ac:dyDescent="0.25">
      <c r="A207" s="33" t="s">
        <v>705</v>
      </c>
      <c r="B207" s="43">
        <v>204</v>
      </c>
      <c r="C207" s="50" t="s">
        <v>679</v>
      </c>
      <c r="D207" s="1">
        <v>6</v>
      </c>
      <c r="E207" s="1" t="s">
        <v>7</v>
      </c>
      <c r="F207" s="1">
        <v>1</v>
      </c>
      <c r="G207" s="2">
        <v>40540</v>
      </c>
      <c r="H207" s="51">
        <v>44462</v>
      </c>
      <c r="I207" s="47">
        <f t="shared" si="27"/>
        <v>10</v>
      </c>
      <c r="J207" s="47">
        <f t="shared" si="28"/>
        <v>128</v>
      </c>
      <c r="K207" s="1">
        <v>32.200000000000003</v>
      </c>
      <c r="L207" s="1">
        <v>1.37</v>
      </c>
      <c r="M207" s="43">
        <f t="shared" si="33"/>
        <v>137</v>
      </c>
      <c r="N207" s="1">
        <f>111-40</f>
        <v>71</v>
      </c>
      <c r="O207" s="48">
        <f t="shared" si="34"/>
        <v>48.175182481751825</v>
      </c>
      <c r="P207" s="49">
        <f t="shared" si="35"/>
        <v>17.155948638712772</v>
      </c>
      <c r="R207" s="91">
        <v>-0.64818258459662226</v>
      </c>
      <c r="S207" s="91">
        <v>25.843343226295957</v>
      </c>
      <c r="T207" s="39" t="str">
        <f t="shared" si="32"/>
        <v>Normal</v>
      </c>
      <c r="U207" s="91">
        <v>-0.29661414069363973</v>
      </c>
      <c r="V207" s="91">
        <v>38.338055688525365</v>
      </c>
      <c r="W207" s="39" t="str">
        <f t="shared" si="30"/>
        <v>Normal</v>
      </c>
      <c r="X207" s="116">
        <v>0.20824881775879861</v>
      </c>
      <c r="Y207" s="91">
        <v>58.248265351388142</v>
      </c>
      <c r="Z207" s="39" t="str">
        <f t="shared" si="31"/>
        <v>Normal</v>
      </c>
    </row>
    <row r="208" spans="1:26" ht="15.75" x14ac:dyDescent="0.25">
      <c r="A208" s="33" t="s">
        <v>705</v>
      </c>
      <c r="B208" s="43">
        <v>205</v>
      </c>
      <c r="C208" s="50" t="s">
        <v>680</v>
      </c>
      <c r="D208" s="1">
        <v>6</v>
      </c>
      <c r="E208" s="1" t="s">
        <v>7</v>
      </c>
      <c r="F208" s="1">
        <v>1</v>
      </c>
      <c r="G208" s="2">
        <v>40236</v>
      </c>
      <c r="H208" s="51">
        <v>44462</v>
      </c>
      <c r="I208" s="47">
        <f t="shared" si="27"/>
        <v>11</v>
      </c>
      <c r="J208" s="47">
        <f t="shared" si="28"/>
        <v>138</v>
      </c>
      <c r="K208" s="1">
        <v>66.400000000000006</v>
      </c>
      <c r="L208" s="1">
        <v>1.55</v>
      </c>
      <c r="M208" s="43">
        <f t="shared" si="33"/>
        <v>155</v>
      </c>
      <c r="N208" s="1">
        <f>120.5-40</f>
        <v>80.5</v>
      </c>
      <c r="O208" s="48">
        <f t="shared" si="34"/>
        <v>48.064516129032256</v>
      </c>
      <c r="P208" s="49">
        <f t="shared" si="35"/>
        <v>27.637877211238294</v>
      </c>
      <c r="R208" s="91">
        <v>1.3043766112685957</v>
      </c>
      <c r="S208" s="91">
        <v>90.394739714500801</v>
      </c>
      <c r="T208" s="39" t="str">
        <f t="shared" si="32"/>
        <v>Normal</v>
      </c>
      <c r="U208" s="91">
        <v>-0.58165256758666006</v>
      </c>
      <c r="V208" s="91">
        <v>28.040036346182546</v>
      </c>
      <c r="W208" s="39" t="str">
        <f t="shared" si="30"/>
        <v>Normal</v>
      </c>
      <c r="X208" s="116">
        <v>2.8239454056366027</v>
      </c>
      <c r="Y208" s="91">
        <v>99.762817678779086</v>
      </c>
      <c r="Z208" s="39" t="str">
        <f t="shared" si="31"/>
        <v>Obesidad</v>
      </c>
    </row>
    <row r="209" spans="1:26" ht="15.75" x14ac:dyDescent="0.25">
      <c r="A209" s="33" t="s">
        <v>705</v>
      </c>
      <c r="B209" s="43">
        <v>206</v>
      </c>
      <c r="C209" s="50" t="s">
        <v>681</v>
      </c>
      <c r="D209" s="1">
        <v>6</v>
      </c>
      <c r="E209" s="1" t="s">
        <v>7</v>
      </c>
      <c r="F209" s="1">
        <v>1</v>
      </c>
      <c r="G209" s="2">
        <v>40229</v>
      </c>
      <c r="H209" s="51">
        <v>44462</v>
      </c>
      <c r="I209" s="47">
        <f t="shared" si="27"/>
        <v>11</v>
      </c>
      <c r="J209" s="47">
        <f t="shared" si="28"/>
        <v>139</v>
      </c>
      <c r="K209" s="1">
        <v>50.1</v>
      </c>
      <c r="L209" s="1">
        <v>1.5</v>
      </c>
      <c r="M209" s="43">
        <f t="shared" si="33"/>
        <v>150</v>
      </c>
      <c r="N209" s="1">
        <f>118.8-40</f>
        <v>78.8</v>
      </c>
      <c r="O209" s="48">
        <f t="shared" si="34"/>
        <v>47.466666666666669</v>
      </c>
      <c r="P209" s="49">
        <f t="shared" si="35"/>
        <v>22.266666666666666</v>
      </c>
      <c r="R209" s="91">
        <v>0.50625122623439178</v>
      </c>
      <c r="S209" s="91">
        <v>69.36598510740437</v>
      </c>
      <c r="T209" s="39" t="str">
        <f t="shared" si="32"/>
        <v>Normal</v>
      </c>
      <c r="U209" s="91">
        <v>-0.99964269805178541</v>
      </c>
      <c r="V209" s="91">
        <v>15.874172598829611</v>
      </c>
      <c r="W209" s="39" t="str">
        <f t="shared" si="30"/>
        <v>Normal</v>
      </c>
      <c r="X209" s="116">
        <v>1.7998860524099654</v>
      </c>
      <c r="Y209" s="91">
        <v>96.406068378417558</v>
      </c>
      <c r="Z209" s="39" t="str">
        <f t="shared" si="31"/>
        <v>Obesidad</v>
      </c>
    </row>
    <row r="210" spans="1:26" ht="15.75" x14ac:dyDescent="0.25">
      <c r="A210" s="33" t="s">
        <v>705</v>
      </c>
      <c r="B210" s="43">
        <v>207</v>
      </c>
      <c r="C210" s="50" t="s">
        <v>682</v>
      </c>
      <c r="D210" s="1">
        <v>6</v>
      </c>
      <c r="E210" s="1" t="s">
        <v>26</v>
      </c>
      <c r="F210" s="1">
        <v>1</v>
      </c>
      <c r="G210" s="2">
        <v>40365</v>
      </c>
      <c r="H210" s="51">
        <v>44462</v>
      </c>
      <c r="I210" s="47">
        <f t="shared" si="27"/>
        <v>11</v>
      </c>
      <c r="J210" s="47">
        <f t="shared" si="28"/>
        <v>134</v>
      </c>
      <c r="K210" s="1">
        <v>61.3</v>
      </c>
      <c r="L210" s="1">
        <v>1.58</v>
      </c>
      <c r="M210" s="43">
        <f t="shared" si="33"/>
        <v>158</v>
      </c>
      <c r="N210" s="1">
        <f>123.5-40</f>
        <v>83.5</v>
      </c>
      <c r="O210" s="48">
        <f t="shared" si="34"/>
        <v>47.151898734177216</v>
      </c>
      <c r="P210" s="49">
        <f t="shared" si="35"/>
        <v>24.555359717993905</v>
      </c>
      <c r="R210" s="91">
        <v>2.0541578032572874</v>
      </c>
      <c r="S210" s="91">
        <v>98.001978950773989</v>
      </c>
      <c r="T210" s="39" t="str">
        <f t="shared" si="32"/>
        <v>Alto</v>
      </c>
      <c r="U210" s="91">
        <v>-1.2220018283563789</v>
      </c>
      <c r="V210" s="91">
        <v>11.085346778648633</v>
      </c>
      <c r="W210" s="39" t="str">
        <f t="shared" si="30"/>
        <v>Normal</v>
      </c>
      <c r="X210" s="116">
        <v>2.4082976054354273</v>
      </c>
      <c r="Y210" s="91">
        <v>99.198644492920835</v>
      </c>
      <c r="Z210" s="39" t="str">
        <f t="shared" si="31"/>
        <v>Obesidad</v>
      </c>
    </row>
    <row r="211" spans="1:26" ht="15.75" x14ac:dyDescent="0.25">
      <c r="A211" s="33" t="s">
        <v>705</v>
      </c>
      <c r="B211" s="43">
        <v>208</v>
      </c>
      <c r="C211" s="50" t="s">
        <v>683</v>
      </c>
      <c r="D211" s="1">
        <v>6</v>
      </c>
      <c r="E211" s="1" t="s">
        <v>26</v>
      </c>
      <c r="F211" s="1">
        <v>1</v>
      </c>
      <c r="G211" s="2">
        <v>40443</v>
      </c>
      <c r="H211" s="51">
        <v>44462</v>
      </c>
      <c r="I211" s="47">
        <f t="shared" si="27"/>
        <v>11</v>
      </c>
      <c r="J211" s="47">
        <f t="shared" si="28"/>
        <v>132</v>
      </c>
      <c r="K211" s="1">
        <v>40.1</v>
      </c>
      <c r="L211" s="1">
        <v>1.42</v>
      </c>
      <c r="M211" s="43">
        <f t="shared" si="33"/>
        <v>142</v>
      </c>
      <c r="N211" s="1">
        <f>114.7-40</f>
        <v>74.7</v>
      </c>
      <c r="O211" s="48">
        <f t="shared" si="34"/>
        <v>47.394366197183096</v>
      </c>
      <c r="P211" s="49">
        <f t="shared" si="35"/>
        <v>19.886927196984725</v>
      </c>
      <c r="R211" s="91">
        <v>-0.16530508186935369</v>
      </c>
      <c r="S211" s="91">
        <v>43.435192954783481</v>
      </c>
      <c r="T211" s="39" t="str">
        <f t="shared" si="32"/>
        <v>Normal</v>
      </c>
      <c r="U211" s="91">
        <v>-1.0505764274614131</v>
      </c>
      <c r="V211" s="91">
        <v>14.672658609723896</v>
      </c>
      <c r="W211" s="39" t="str">
        <f t="shared" si="30"/>
        <v>Normal</v>
      </c>
      <c r="X211" s="116">
        <v>1.2600916851055859</v>
      </c>
      <c r="Y211" s="91">
        <v>89.618185527263421</v>
      </c>
      <c r="Z211" s="39" t="str">
        <f t="shared" si="31"/>
        <v>Obesidad</v>
      </c>
    </row>
    <row r="212" spans="1:26" ht="15.75" x14ac:dyDescent="0.25">
      <c r="A212" s="33" t="s">
        <v>705</v>
      </c>
      <c r="B212" s="43">
        <v>209</v>
      </c>
      <c r="C212" s="50" t="s">
        <v>684</v>
      </c>
      <c r="D212" s="1">
        <v>6</v>
      </c>
      <c r="E212" s="1" t="s">
        <v>26</v>
      </c>
      <c r="F212" s="1">
        <v>1</v>
      </c>
      <c r="G212" s="2">
        <v>40540</v>
      </c>
      <c r="H212" s="51">
        <v>44462</v>
      </c>
      <c r="I212" s="47">
        <f t="shared" si="27"/>
        <v>10</v>
      </c>
      <c r="J212" s="1">
        <f t="shared" si="28"/>
        <v>128</v>
      </c>
      <c r="K212" s="1">
        <v>38.9</v>
      </c>
      <c r="L212" s="1">
        <v>1.44</v>
      </c>
      <c r="M212" s="1">
        <f t="shared" si="33"/>
        <v>144</v>
      </c>
      <c r="N212" s="1">
        <f>116.5-40</f>
        <v>76.5</v>
      </c>
      <c r="O212" s="48">
        <f t="shared" si="34"/>
        <v>46.875</v>
      </c>
      <c r="P212" s="49">
        <f t="shared" si="35"/>
        <v>18.759645061728396</v>
      </c>
      <c r="R212" s="91">
        <v>0.41046976197617463</v>
      </c>
      <c r="S212" s="91">
        <v>65.926930970827243</v>
      </c>
      <c r="T212" s="39" t="str">
        <f t="shared" si="32"/>
        <v>Normal</v>
      </c>
      <c r="U212" s="91">
        <v>-1.18112689525278</v>
      </c>
      <c r="V212" s="91">
        <v>11.877615852694392</v>
      </c>
      <c r="W212" s="39" t="str">
        <f t="shared" si="30"/>
        <v>Normal</v>
      </c>
      <c r="X212" s="116">
        <v>0.93528280835744804</v>
      </c>
      <c r="Y212" s="91">
        <v>82.517871367032797</v>
      </c>
      <c r="Z212" s="39" t="str">
        <f t="shared" si="31"/>
        <v>Normal</v>
      </c>
    </row>
    <row r="213" spans="1:26" ht="15.75" x14ac:dyDescent="0.25">
      <c r="A213" s="33" t="s">
        <v>705</v>
      </c>
      <c r="B213" s="43">
        <v>210</v>
      </c>
      <c r="C213" s="50" t="s">
        <v>685</v>
      </c>
      <c r="D213" s="1">
        <v>6</v>
      </c>
      <c r="E213" s="1" t="s">
        <v>26</v>
      </c>
      <c r="F213" s="1">
        <v>1</v>
      </c>
      <c r="G213" s="2">
        <v>40496</v>
      </c>
      <c r="H213" s="51">
        <v>44462</v>
      </c>
      <c r="I213" s="47">
        <f t="shared" si="27"/>
        <v>10</v>
      </c>
      <c r="J213" s="1">
        <f t="shared" si="28"/>
        <v>130</v>
      </c>
      <c r="K213" s="1">
        <v>29</v>
      </c>
      <c r="L213" s="1">
        <v>1.35</v>
      </c>
      <c r="M213" s="1">
        <f t="shared" si="33"/>
        <v>135</v>
      </c>
      <c r="N213" s="1">
        <f>111.5-40</f>
        <v>71.5</v>
      </c>
      <c r="O213" s="48">
        <f t="shared" si="34"/>
        <v>47.037037037037038</v>
      </c>
      <c r="P213" s="49">
        <f t="shared" si="35"/>
        <v>15.912208504801095</v>
      </c>
      <c r="R213" s="91">
        <v>-1.0779374962304551</v>
      </c>
      <c r="S213" s="91">
        <v>14.053082528440028</v>
      </c>
      <c r="T213" s="39" t="str">
        <f t="shared" si="32"/>
        <v>Normal</v>
      </c>
      <c r="U213" s="91">
        <v>-1.0694355994243516</v>
      </c>
      <c r="V213" s="91">
        <v>14.24367166693759</v>
      </c>
      <c r="W213" s="39" t="str">
        <f t="shared" si="30"/>
        <v>Normal</v>
      </c>
      <c r="X213" s="116">
        <v>-0.5484521493500556</v>
      </c>
      <c r="Y213" s="91">
        <v>29.16907384600378</v>
      </c>
      <c r="Z213" s="39" t="str">
        <f t="shared" si="31"/>
        <v>Normal</v>
      </c>
    </row>
    <row r="214" spans="1:26" ht="15.75" x14ac:dyDescent="0.25">
      <c r="A214" s="33" t="s">
        <v>705</v>
      </c>
      <c r="B214" s="43">
        <v>211</v>
      </c>
      <c r="C214" s="50" t="s">
        <v>686</v>
      </c>
      <c r="D214" s="1">
        <v>6</v>
      </c>
      <c r="E214" s="1" t="s">
        <v>26</v>
      </c>
      <c r="F214" s="1">
        <v>2</v>
      </c>
      <c r="G214" s="2">
        <v>40312</v>
      </c>
      <c r="H214" s="51">
        <v>44462</v>
      </c>
      <c r="I214" s="47">
        <f t="shared" si="27"/>
        <v>11</v>
      </c>
      <c r="J214" s="1">
        <f t="shared" si="28"/>
        <v>136</v>
      </c>
      <c r="K214" s="1">
        <v>35.1</v>
      </c>
      <c r="L214" s="1">
        <v>1.41</v>
      </c>
      <c r="M214" s="1">
        <f t="shared" si="33"/>
        <v>141</v>
      </c>
      <c r="N214" s="1">
        <f>115.9-40</f>
        <v>75.900000000000006</v>
      </c>
      <c r="O214" s="48">
        <f t="shared" si="34"/>
        <v>46.170212765957444</v>
      </c>
      <c r="P214" s="49">
        <f t="shared" si="35"/>
        <v>17.655047532820284</v>
      </c>
      <c r="R214" s="91">
        <v>-0.91173817906500387</v>
      </c>
      <c r="S214" s="91">
        <v>18.095328038246461</v>
      </c>
      <c r="T214" s="39" t="str">
        <f t="shared" si="32"/>
        <v>Normal</v>
      </c>
      <c r="U214" s="91">
        <v>-1.6518049781971667</v>
      </c>
      <c r="V214" s="91">
        <v>4.9287156770057212</v>
      </c>
      <c r="W214" s="39" t="str">
        <f t="shared" si="30"/>
        <v>Piernas cortas</v>
      </c>
      <c r="X214" s="116">
        <v>7.4739738033312533E-2</v>
      </c>
      <c r="Y214" s="91">
        <v>52.978910515126017</v>
      </c>
      <c r="Z214" s="39" t="str">
        <f t="shared" si="31"/>
        <v>Normal</v>
      </c>
    </row>
    <row r="215" spans="1:26" ht="15.75" x14ac:dyDescent="0.25">
      <c r="A215" s="33" t="s">
        <v>705</v>
      </c>
      <c r="B215" s="43">
        <v>212</v>
      </c>
      <c r="C215" s="50" t="s">
        <v>687</v>
      </c>
      <c r="D215" s="1">
        <v>6</v>
      </c>
      <c r="E215" s="1" t="s">
        <v>26</v>
      </c>
      <c r="F215" s="1">
        <v>2</v>
      </c>
      <c r="G215" s="2">
        <v>40324</v>
      </c>
      <c r="H215" s="51">
        <v>44462</v>
      </c>
      <c r="I215" s="47">
        <f t="shared" si="27"/>
        <v>11</v>
      </c>
      <c r="J215" s="1">
        <f t="shared" si="28"/>
        <v>135</v>
      </c>
      <c r="K215" s="1">
        <v>33.799999999999997</v>
      </c>
      <c r="L215" s="1">
        <v>1.46</v>
      </c>
      <c r="M215" s="1">
        <f t="shared" si="33"/>
        <v>146</v>
      </c>
      <c r="N215" s="1">
        <f>116.3-40</f>
        <v>76.3</v>
      </c>
      <c r="O215" s="48">
        <f t="shared" si="34"/>
        <v>47.739726027397261</v>
      </c>
      <c r="P215" s="49">
        <f t="shared" si="35"/>
        <v>15.856633514730719</v>
      </c>
      <c r="R215" s="91">
        <v>-8.8809469309322875E-2</v>
      </c>
      <c r="S215" s="91">
        <v>46.461666600502966</v>
      </c>
      <c r="T215" s="39" t="str">
        <f t="shared" si="32"/>
        <v>Normal</v>
      </c>
      <c r="U215" s="91">
        <v>-0.56995314228313965</v>
      </c>
      <c r="V215" s="91">
        <v>28.435473984957895</v>
      </c>
      <c r="W215" s="39" t="str">
        <f t="shared" si="30"/>
        <v>Normal</v>
      </c>
      <c r="X215" s="116">
        <v>-0.78593022750477526</v>
      </c>
      <c r="Y215" s="91">
        <v>21.595418228134147</v>
      </c>
      <c r="Z215" s="39" t="str">
        <f t="shared" si="31"/>
        <v>Normal</v>
      </c>
    </row>
    <row r="216" spans="1:26" ht="15.75" x14ac:dyDescent="0.25">
      <c r="A216" s="33" t="s">
        <v>705</v>
      </c>
      <c r="B216" s="43">
        <v>213</v>
      </c>
      <c r="C216" s="50" t="s">
        <v>688</v>
      </c>
      <c r="D216" s="1">
        <v>6</v>
      </c>
      <c r="E216" s="1" t="s">
        <v>26</v>
      </c>
      <c r="F216" s="1">
        <v>2</v>
      </c>
      <c r="G216" s="2">
        <v>40473</v>
      </c>
      <c r="H216" s="51">
        <v>44462</v>
      </c>
      <c r="I216" s="47">
        <f t="shared" si="27"/>
        <v>10</v>
      </c>
      <c r="J216" s="1">
        <f t="shared" si="28"/>
        <v>131</v>
      </c>
      <c r="K216" s="1">
        <v>29.8</v>
      </c>
      <c r="L216" s="1">
        <v>1.33</v>
      </c>
      <c r="M216" s="1">
        <f t="shared" si="33"/>
        <v>133</v>
      </c>
      <c r="N216" s="1">
        <f>110-40</f>
        <v>70</v>
      </c>
      <c r="O216" s="48">
        <f t="shared" si="34"/>
        <v>47.368421052631575</v>
      </c>
      <c r="P216" s="49">
        <f t="shared" si="35"/>
        <v>16.846627847815025</v>
      </c>
      <c r="R216" s="91">
        <v>-1.728726789060977</v>
      </c>
      <c r="S216" s="91">
        <v>4.1929002212457736</v>
      </c>
      <c r="T216" s="39" t="str">
        <f t="shared" si="32"/>
        <v>Desnutricion</v>
      </c>
      <c r="U216" s="91">
        <v>-0.79554824511177402</v>
      </c>
      <c r="V216" s="91">
        <v>21.314732928400431</v>
      </c>
      <c r="W216" s="39" t="str">
        <f t="shared" si="30"/>
        <v>Normal</v>
      </c>
      <c r="X216" s="116">
        <v>-0.16028054023539082</v>
      </c>
      <c r="Y216" s="91">
        <v>43.633004366699609</v>
      </c>
      <c r="Z216" s="39" t="str">
        <f t="shared" si="31"/>
        <v>Normal</v>
      </c>
    </row>
    <row r="217" spans="1:26" ht="15.75" x14ac:dyDescent="0.25">
      <c r="A217" s="33" t="s">
        <v>705</v>
      </c>
      <c r="B217" s="43">
        <v>214</v>
      </c>
      <c r="C217" s="50" t="s">
        <v>689</v>
      </c>
      <c r="D217" s="1">
        <v>6</v>
      </c>
      <c r="E217" s="1" t="s">
        <v>26</v>
      </c>
      <c r="F217" s="1">
        <v>2</v>
      </c>
      <c r="G217" s="2">
        <v>40399</v>
      </c>
      <c r="H217" s="51">
        <v>44462</v>
      </c>
      <c r="I217" s="47">
        <f t="shared" si="27"/>
        <v>11</v>
      </c>
      <c r="J217" s="1">
        <f t="shared" si="28"/>
        <v>133</v>
      </c>
      <c r="K217" s="1">
        <v>51.1</v>
      </c>
      <c r="L217" s="1">
        <v>1.45</v>
      </c>
      <c r="M217" s="1">
        <f t="shared" si="33"/>
        <v>145</v>
      </c>
      <c r="N217" s="1">
        <f>120-40</f>
        <v>80</v>
      </c>
      <c r="O217" s="48">
        <f t="shared" si="34"/>
        <v>44.827586206896555</v>
      </c>
      <c r="P217" s="49">
        <f t="shared" si="35"/>
        <v>24.304399524375743</v>
      </c>
      <c r="R217" s="91">
        <v>-7.9217637014703413E-2</v>
      </c>
      <c r="S217" s="91">
        <v>46.842975818408163</v>
      </c>
      <c r="T217" s="39" t="str">
        <f t="shared" si="32"/>
        <v>Normal</v>
      </c>
      <c r="U217" s="91">
        <v>-2.6096972044492501</v>
      </c>
      <c r="V217" s="91">
        <v>0.45311198227622285</v>
      </c>
      <c r="W217" s="39" t="str">
        <f t="shared" si="30"/>
        <v>Piernas cortas</v>
      </c>
      <c r="X217" s="116">
        <v>2.0963414365363904</v>
      </c>
      <c r="Y217" s="91">
        <v>98.197404327438136</v>
      </c>
      <c r="Z217" s="39" t="str">
        <f t="shared" si="31"/>
        <v>Obesidad</v>
      </c>
    </row>
    <row r="218" spans="1:26" ht="15.75" x14ac:dyDescent="0.25">
      <c r="A218" s="33" t="s">
        <v>705</v>
      </c>
      <c r="B218" s="43">
        <v>215</v>
      </c>
      <c r="C218" s="50" t="s">
        <v>690</v>
      </c>
      <c r="D218" s="1">
        <v>6</v>
      </c>
      <c r="E218" s="1" t="s">
        <v>26</v>
      </c>
      <c r="F218" s="1">
        <v>1</v>
      </c>
      <c r="G218" s="2">
        <v>40322</v>
      </c>
      <c r="H218" s="51">
        <v>44462</v>
      </c>
      <c r="I218" s="47">
        <f t="shared" si="27"/>
        <v>11</v>
      </c>
      <c r="J218" s="1">
        <f t="shared" si="28"/>
        <v>135</v>
      </c>
      <c r="K218" s="1">
        <v>50.4</v>
      </c>
      <c r="L218" s="1">
        <v>1.55</v>
      </c>
      <c r="M218" s="1">
        <f t="shared" si="33"/>
        <v>155</v>
      </c>
      <c r="N218" s="1">
        <f>122.5-40</f>
        <v>82.5</v>
      </c>
      <c r="O218" s="48">
        <f t="shared" si="34"/>
        <v>46.774193548387096</v>
      </c>
      <c r="P218" s="49">
        <f t="shared" si="35"/>
        <v>20.978147762747135</v>
      </c>
      <c r="R218" s="91">
        <v>1.5354845599285853</v>
      </c>
      <c r="S218" s="91">
        <v>93.766757657191718</v>
      </c>
      <c r="T218" s="39" t="str">
        <f t="shared" si="32"/>
        <v>Normal</v>
      </c>
      <c r="U218" s="91">
        <v>-1.4909433635011742</v>
      </c>
      <c r="V218" s="91">
        <v>6.7988182589724371</v>
      </c>
      <c r="W218" s="39" t="str">
        <f t="shared" si="30"/>
        <v>Normal</v>
      </c>
      <c r="X218" s="116">
        <v>1.5379718187697067</v>
      </c>
      <c r="Y218" s="91">
        <v>93.797224728672887</v>
      </c>
      <c r="Z218" s="39" t="str">
        <f t="shared" si="31"/>
        <v>Obesidad</v>
      </c>
    </row>
    <row r="219" spans="1:26" ht="15.75" x14ac:dyDescent="0.25">
      <c r="A219" s="33" t="s">
        <v>705</v>
      </c>
      <c r="B219" s="43">
        <v>216</v>
      </c>
      <c r="C219" s="50" t="s">
        <v>691</v>
      </c>
      <c r="D219" s="1">
        <v>6</v>
      </c>
      <c r="E219" s="1" t="s">
        <v>173</v>
      </c>
      <c r="F219" s="1">
        <v>1</v>
      </c>
      <c r="G219" s="2">
        <v>40390</v>
      </c>
      <c r="H219" s="51">
        <v>44462</v>
      </c>
      <c r="I219" s="47">
        <f t="shared" si="27"/>
        <v>11</v>
      </c>
      <c r="J219" s="1">
        <f t="shared" si="28"/>
        <v>133</v>
      </c>
      <c r="K219" s="1">
        <v>31</v>
      </c>
      <c r="L219" s="1">
        <v>1.37</v>
      </c>
      <c r="M219" s="1">
        <f t="shared" si="33"/>
        <v>137</v>
      </c>
      <c r="N219" s="1">
        <f>110.5-40</f>
        <v>70.5</v>
      </c>
      <c r="O219" s="48">
        <f t="shared" si="34"/>
        <v>48.540145985401459</v>
      </c>
      <c r="P219" s="49">
        <f t="shared" si="35"/>
        <v>16.516596515530928</v>
      </c>
      <c r="R219" s="91">
        <v>-0.9731320230348891</v>
      </c>
      <c r="S219" s="91">
        <v>16.524384512405351</v>
      </c>
      <c r="T219" s="39" t="str">
        <f t="shared" si="32"/>
        <v>Normal</v>
      </c>
      <c r="U219" s="91">
        <v>-0.25309734933604705</v>
      </c>
      <c r="V219" s="91">
        <v>40.009649356749797</v>
      </c>
      <c r="W219" s="39" t="str">
        <f t="shared" si="30"/>
        <v>Normal</v>
      </c>
      <c r="X219" s="116">
        <v>-0.25810560050646525</v>
      </c>
      <c r="Y219" s="91">
        <v>39.816270470559957</v>
      </c>
      <c r="Z219" s="39" t="str">
        <f t="shared" si="31"/>
        <v>Normal</v>
      </c>
    </row>
    <row r="220" spans="1:26" ht="15.75" x14ac:dyDescent="0.25">
      <c r="A220" s="33" t="s">
        <v>705</v>
      </c>
      <c r="B220" s="43">
        <v>217</v>
      </c>
      <c r="C220" s="50" t="s">
        <v>692</v>
      </c>
      <c r="D220" s="1">
        <v>6</v>
      </c>
      <c r="E220" s="1" t="s">
        <v>173</v>
      </c>
      <c r="F220" s="1">
        <v>1</v>
      </c>
      <c r="G220" s="2">
        <v>40480</v>
      </c>
      <c r="H220" s="51">
        <v>44462</v>
      </c>
      <c r="I220" s="47">
        <f t="shared" si="27"/>
        <v>10</v>
      </c>
      <c r="J220" s="1">
        <f t="shared" si="28"/>
        <v>130</v>
      </c>
      <c r="K220" s="1">
        <v>48.4</v>
      </c>
      <c r="L220" s="1">
        <v>1.42</v>
      </c>
      <c r="M220" s="1">
        <f t="shared" si="33"/>
        <v>142</v>
      </c>
      <c r="N220" s="1">
        <f>115.5-40</f>
        <v>75.5</v>
      </c>
      <c r="O220" s="48">
        <f t="shared" si="34"/>
        <v>46.83098591549296</v>
      </c>
      <c r="P220" s="49">
        <f t="shared" si="35"/>
        <v>24.003173973417972</v>
      </c>
      <c r="R220" s="91">
        <v>-2.8718619539148543E-2</v>
      </c>
      <c r="S220" s="91">
        <v>48.854450312360967</v>
      </c>
      <c r="T220" s="39" t="str">
        <f t="shared" si="32"/>
        <v>Normal</v>
      </c>
      <c r="U220" s="91">
        <v>-1.2115386940868684</v>
      </c>
      <c r="V220" s="91">
        <v>11.284450712198884</v>
      </c>
      <c r="W220" s="39" t="str">
        <f t="shared" si="30"/>
        <v>Normal</v>
      </c>
      <c r="X220" s="116">
        <v>2.3881166575292934</v>
      </c>
      <c r="Y220" s="91">
        <v>99.153251736475156</v>
      </c>
      <c r="Z220" s="39" t="str">
        <f t="shared" si="31"/>
        <v>Obesidad</v>
      </c>
    </row>
    <row r="221" spans="1:26" ht="15.75" x14ac:dyDescent="0.25">
      <c r="A221" s="33" t="s">
        <v>705</v>
      </c>
      <c r="B221" s="43">
        <v>218</v>
      </c>
      <c r="C221" s="50" t="s">
        <v>693</v>
      </c>
      <c r="D221" s="1">
        <v>6</v>
      </c>
      <c r="E221" s="1" t="s">
        <v>173</v>
      </c>
      <c r="F221" s="1">
        <v>1</v>
      </c>
      <c r="G221" s="2">
        <v>40429</v>
      </c>
      <c r="H221" s="51">
        <v>44462</v>
      </c>
      <c r="I221" s="47">
        <f t="shared" si="27"/>
        <v>11</v>
      </c>
      <c r="J221" s="1">
        <f t="shared" si="28"/>
        <v>132</v>
      </c>
      <c r="K221" s="1">
        <v>46.1</v>
      </c>
      <c r="L221" s="1">
        <v>1.44</v>
      </c>
      <c r="M221" s="1">
        <f t="shared" si="33"/>
        <v>144</v>
      </c>
      <c r="N221" s="1">
        <f>114.6-40</f>
        <v>74.599999999999994</v>
      </c>
      <c r="O221" s="48">
        <f t="shared" si="34"/>
        <v>48.19444444444445</v>
      </c>
      <c r="P221" s="49">
        <f t="shared" si="35"/>
        <v>22.231867283950621</v>
      </c>
      <c r="R221" s="91">
        <v>0.1318458832022916</v>
      </c>
      <c r="S221" s="91">
        <v>55.244690311867771</v>
      </c>
      <c r="T221" s="39" t="str">
        <f t="shared" si="32"/>
        <v>Normal</v>
      </c>
      <c r="U221" s="91">
        <v>-0.49155395058302709</v>
      </c>
      <c r="V221" s="91">
        <v>31.151735196734371</v>
      </c>
      <c r="W221" s="39" t="str">
        <f t="shared" si="30"/>
        <v>Normal</v>
      </c>
      <c r="X221" s="116">
        <v>1.9456084226726069</v>
      </c>
      <c r="Y221" s="91">
        <v>97.414910275225992</v>
      </c>
      <c r="Z221" s="39" t="str">
        <f t="shared" si="31"/>
        <v>Obesidad</v>
      </c>
    </row>
    <row r="222" spans="1:26" ht="15.75" x14ac:dyDescent="0.25">
      <c r="A222" s="33" t="s">
        <v>705</v>
      </c>
      <c r="B222" s="43">
        <v>219</v>
      </c>
      <c r="C222" s="50" t="s">
        <v>694</v>
      </c>
      <c r="D222" s="1">
        <v>6</v>
      </c>
      <c r="E222" s="1" t="s">
        <v>173</v>
      </c>
      <c r="F222" s="1">
        <v>1</v>
      </c>
      <c r="G222" s="2">
        <v>40538</v>
      </c>
      <c r="H222" s="51">
        <v>44462</v>
      </c>
      <c r="I222" s="47">
        <f t="shared" si="27"/>
        <v>10</v>
      </c>
      <c r="J222" s="1">
        <f t="shared" si="28"/>
        <v>128</v>
      </c>
      <c r="K222" s="1">
        <v>37</v>
      </c>
      <c r="L222" s="1">
        <v>1.46</v>
      </c>
      <c r="M222" s="1">
        <f t="shared" si="33"/>
        <v>146</v>
      </c>
      <c r="N222" s="1">
        <f>115.5-40</f>
        <v>75.5</v>
      </c>
      <c r="O222" s="48">
        <f t="shared" si="34"/>
        <v>48.287671232876711</v>
      </c>
      <c r="P222" s="49">
        <f t="shared" si="35"/>
        <v>17.357853255770316</v>
      </c>
      <c r="R222" s="91">
        <v>0.71294186099697376</v>
      </c>
      <c r="S222" s="91">
        <v>76.205913289990988</v>
      </c>
      <c r="T222" s="39" t="str">
        <f t="shared" si="32"/>
        <v>Normal</v>
      </c>
      <c r="U222" s="91">
        <v>-0.22132135614805964</v>
      </c>
      <c r="V222" s="91">
        <v>41.24211112315416</v>
      </c>
      <c r="W222" s="39" t="str">
        <f t="shared" si="30"/>
        <v>Normal</v>
      </c>
      <c r="X222" s="116">
        <v>0.31013517822131176</v>
      </c>
      <c r="Y222" s="91">
        <v>62.177091906727924</v>
      </c>
      <c r="Z222" s="39" t="str">
        <f t="shared" si="31"/>
        <v>Normal</v>
      </c>
    </row>
    <row r="223" spans="1:26" ht="15.75" x14ac:dyDescent="0.25">
      <c r="A223" s="33" t="s">
        <v>705</v>
      </c>
      <c r="B223" s="43">
        <v>220</v>
      </c>
      <c r="C223" s="50" t="s">
        <v>695</v>
      </c>
      <c r="D223" s="1">
        <v>6</v>
      </c>
      <c r="E223" s="1" t="s">
        <v>173</v>
      </c>
      <c r="F223" s="1">
        <v>1</v>
      </c>
      <c r="G223" s="2">
        <v>40389</v>
      </c>
      <c r="H223" s="51">
        <v>44462</v>
      </c>
      <c r="I223" s="47">
        <f t="shared" si="27"/>
        <v>11</v>
      </c>
      <c r="J223" s="1">
        <f t="shared" si="28"/>
        <v>133</v>
      </c>
      <c r="K223" s="1">
        <v>45.2</v>
      </c>
      <c r="L223" s="1">
        <v>1.5</v>
      </c>
      <c r="M223" s="1">
        <f t="shared" si="33"/>
        <v>150</v>
      </c>
      <c r="N223" s="1">
        <f>119.5-40</f>
        <v>79.5</v>
      </c>
      <c r="O223" s="48">
        <f t="shared" si="34"/>
        <v>47</v>
      </c>
      <c r="P223" s="49">
        <f t="shared" si="35"/>
        <v>20.088888888888889</v>
      </c>
      <c r="R223" s="91">
        <v>0.94961534370324729</v>
      </c>
      <c r="S223" s="91">
        <v>82.884613042035483</v>
      </c>
      <c r="T223" s="39" t="str">
        <f t="shared" si="32"/>
        <v>Normal</v>
      </c>
      <c r="U223" s="91">
        <v>-1.3298797306027823</v>
      </c>
      <c r="V223" s="91">
        <v>9.177895038122184</v>
      </c>
      <c r="W223" s="39" t="str">
        <f t="shared" si="30"/>
        <v>Normal</v>
      </c>
      <c r="X223" s="116">
        <v>1.3051498648122286</v>
      </c>
      <c r="Y223" s="91">
        <v>90.407908902150297</v>
      </c>
      <c r="Z223" s="39" t="str">
        <f t="shared" si="31"/>
        <v>Obesidad</v>
      </c>
    </row>
    <row r="224" spans="1:26" ht="15.75" x14ac:dyDescent="0.25">
      <c r="A224" s="33" t="s">
        <v>705</v>
      </c>
      <c r="B224" s="43">
        <v>221</v>
      </c>
      <c r="C224" s="50" t="s">
        <v>696</v>
      </c>
      <c r="D224" s="1">
        <v>6</v>
      </c>
      <c r="E224" s="1" t="s">
        <v>173</v>
      </c>
      <c r="F224" s="1">
        <v>1</v>
      </c>
      <c r="G224" s="2">
        <v>40384</v>
      </c>
      <c r="H224" s="51">
        <v>44462</v>
      </c>
      <c r="I224" s="47">
        <f t="shared" si="27"/>
        <v>11</v>
      </c>
      <c r="J224" s="1">
        <f t="shared" si="28"/>
        <v>133</v>
      </c>
      <c r="K224" s="1">
        <v>61.4</v>
      </c>
      <c r="L224" s="1">
        <v>1.51</v>
      </c>
      <c r="M224" s="1">
        <f t="shared" si="33"/>
        <v>151</v>
      </c>
      <c r="N224" s="1">
        <f>119-40</f>
        <v>79</v>
      </c>
      <c r="O224" s="48">
        <f t="shared" si="34"/>
        <v>47.682119205298015</v>
      </c>
      <c r="P224" s="49">
        <f t="shared" si="35"/>
        <v>26.928643480549098</v>
      </c>
      <c r="R224" s="91">
        <v>1.0975189872984887</v>
      </c>
      <c r="S224" s="91">
        <v>86.379270738469287</v>
      </c>
      <c r="T224" s="39" t="str">
        <f t="shared" si="32"/>
        <v>Normal</v>
      </c>
      <c r="U224" s="91">
        <v>-0.84835680741834862</v>
      </c>
      <c r="V224" s="91">
        <v>19.811964476551619</v>
      </c>
      <c r="W224" s="39" t="str">
        <f t="shared" si="30"/>
        <v>Normal</v>
      </c>
      <c r="X224" s="116">
        <v>2.8261845180596765</v>
      </c>
      <c r="Y224" s="91">
        <v>99.764469397904051</v>
      </c>
      <c r="Z224" s="39" t="str">
        <f t="shared" si="31"/>
        <v>Obesidad</v>
      </c>
    </row>
    <row r="225" spans="1:26" ht="15.75" x14ac:dyDescent="0.25">
      <c r="A225" s="33" t="s">
        <v>705</v>
      </c>
      <c r="B225" s="43">
        <v>222</v>
      </c>
      <c r="C225" s="50" t="s">
        <v>697</v>
      </c>
      <c r="D225" s="1">
        <v>6</v>
      </c>
      <c r="E225" s="1" t="s">
        <v>173</v>
      </c>
      <c r="F225" s="1">
        <v>1</v>
      </c>
      <c r="G225" s="2">
        <v>40309</v>
      </c>
      <c r="H225" s="51">
        <v>44462</v>
      </c>
      <c r="I225" s="47">
        <f t="shared" si="27"/>
        <v>11</v>
      </c>
      <c r="J225" s="1">
        <f t="shared" si="28"/>
        <v>136</v>
      </c>
      <c r="K225" s="1">
        <v>55</v>
      </c>
      <c r="L225" s="1">
        <v>1.53</v>
      </c>
      <c r="M225" s="1">
        <f t="shared" si="33"/>
        <v>153</v>
      </c>
      <c r="N225" s="1">
        <f>120.5-40</f>
        <v>80.5</v>
      </c>
      <c r="O225" s="48">
        <f t="shared" si="34"/>
        <v>47.385620915032675</v>
      </c>
      <c r="P225" s="49">
        <f t="shared" si="35"/>
        <v>23.495236874706311</v>
      </c>
      <c r="R225" s="91">
        <v>1.1667317712884884</v>
      </c>
      <c r="S225" s="91">
        <v>87.834064597420706</v>
      </c>
      <c r="T225" s="39" t="str">
        <f t="shared" si="32"/>
        <v>Normal</v>
      </c>
      <c r="U225" s="91">
        <v>-1.0567429216942898</v>
      </c>
      <c r="V225" s="91">
        <v>14.531446518505128</v>
      </c>
      <c r="W225" s="39" t="str">
        <f t="shared" si="30"/>
        <v>Normal</v>
      </c>
      <c r="X225" s="116">
        <v>2.1509173165981639</v>
      </c>
      <c r="Y225" s="91">
        <v>98.425863676076958</v>
      </c>
      <c r="Z225" s="39" t="str">
        <f t="shared" si="31"/>
        <v>Obesidad</v>
      </c>
    </row>
    <row r="226" spans="1:26" ht="15.75" x14ac:dyDescent="0.25">
      <c r="A226" s="33" t="s">
        <v>705</v>
      </c>
      <c r="B226" s="43">
        <v>223</v>
      </c>
      <c r="C226" s="50" t="s">
        <v>698</v>
      </c>
      <c r="D226" s="1">
        <v>6</v>
      </c>
      <c r="E226" s="1" t="s">
        <v>173</v>
      </c>
      <c r="F226" s="1">
        <v>2</v>
      </c>
      <c r="G226" s="2">
        <v>40282</v>
      </c>
      <c r="H226" s="51">
        <v>44462</v>
      </c>
      <c r="I226" s="47">
        <f t="shared" si="27"/>
        <v>11</v>
      </c>
      <c r="J226" s="1">
        <f t="shared" si="28"/>
        <v>137</v>
      </c>
      <c r="K226" s="1">
        <v>32.200000000000003</v>
      </c>
      <c r="L226" s="1">
        <v>1.47</v>
      </c>
      <c r="M226" s="1">
        <f t="shared" si="33"/>
        <v>147</v>
      </c>
      <c r="N226" s="1">
        <f>116.5-40</f>
        <v>76.5</v>
      </c>
      <c r="O226" s="48">
        <f t="shared" si="34"/>
        <v>47.959183673469383</v>
      </c>
      <c r="P226" s="49">
        <f t="shared" si="35"/>
        <v>14.901198574667966</v>
      </c>
      <c r="R226" s="91">
        <v>-9.7208853299697889E-2</v>
      </c>
      <c r="S226" s="91">
        <v>46.128026871448014</v>
      </c>
      <c r="T226" s="39" t="str">
        <f t="shared" si="32"/>
        <v>Normal</v>
      </c>
      <c r="U226" s="91">
        <v>-0.42178974109158968</v>
      </c>
      <c r="V226" s="91">
        <v>33.658924722099925</v>
      </c>
      <c r="W226" s="39" t="str">
        <f t="shared" si="30"/>
        <v>Normal</v>
      </c>
      <c r="X226" s="116">
        <v>-1.4264852964067669</v>
      </c>
      <c r="Y226" s="91">
        <v>7.6864154083359644</v>
      </c>
      <c r="Z226" s="39" t="str">
        <f t="shared" si="31"/>
        <v>Bajo Peso</v>
      </c>
    </row>
    <row r="227" spans="1:26" ht="15.75" x14ac:dyDescent="0.25">
      <c r="A227" s="33" t="s">
        <v>705</v>
      </c>
      <c r="B227" s="43">
        <v>224</v>
      </c>
      <c r="C227" s="50" t="s">
        <v>699</v>
      </c>
      <c r="D227" s="1">
        <v>6</v>
      </c>
      <c r="E227" s="1" t="s">
        <v>173</v>
      </c>
      <c r="F227" s="1">
        <v>2</v>
      </c>
      <c r="G227" s="2">
        <v>40522</v>
      </c>
      <c r="H227" s="51">
        <v>44462</v>
      </c>
      <c r="I227" s="47">
        <f t="shared" si="27"/>
        <v>10</v>
      </c>
      <c r="J227" s="1">
        <f t="shared" si="28"/>
        <v>129</v>
      </c>
      <c r="K227" s="1">
        <v>34.299999999999997</v>
      </c>
      <c r="L227" s="1">
        <v>1.44</v>
      </c>
      <c r="M227" s="1">
        <f t="shared" si="33"/>
        <v>144</v>
      </c>
      <c r="N227" s="1">
        <f>116.2-40</f>
        <v>76.2</v>
      </c>
      <c r="O227" s="48">
        <f t="shared" si="34"/>
        <v>47.083333333333336</v>
      </c>
      <c r="P227" s="49">
        <f t="shared" si="35"/>
        <v>16.541280864197532</v>
      </c>
      <c r="R227" s="91">
        <v>9.2998300419165708E-2</v>
      </c>
      <c r="S227" s="91">
        <v>53.704754427931114</v>
      </c>
      <c r="T227" s="39" t="str">
        <f t="shared" si="32"/>
        <v>Normal</v>
      </c>
      <c r="U227" s="91">
        <v>-0.99069926320800616</v>
      </c>
      <c r="V227" s="91">
        <v>16.091622548248253</v>
      </c>
      <c r="W227" s="39" t="str">
        <f t="shared" si="30"/>
        <v>Normal</v>
      </c>
      <c r="X227" s="116">
        <v>-0.25747480439681431</v>
      </c>
      <c r="Y227" s="91">
        <v>39.84061314967169</v>
      </c>
      <c r="Z227" s="39" t="str">
        <f t="shared" si="31"/>
        <v>Normal</v>
      </c>
    </row>
    <row r="228" spans="1:26" ht="15.75" x14ac:dyDescent="0.25">
      <c r="A228" s="33" t="s">
        <v>705</v>
      </c>
      <c r="B228" s="43">
        <v>225</v>
      </c>
      <c r="C228" s="50" t="s">
        <v>700</v>
      </c>
      <c r="D228" s="1">
        <v>6</v>
      </c>
      <c r="E228" s="1" t="s">
        <v>173</v>
      </c>
      <c r="F228" s="1">
        <v>2</v>
      </c>
      <c r="G228" s="2">
        <v>40248</v>
      </c>
      <c r="H228" s="51">
        <v>44462</v>
      </c>
      <c r="I228" s="47">
        <f t="shared" si="27"/>
        <v>11</v>
      </c>
      <c r="J228" s="1">
        <f t="shared" si="28"/>
        <v>138</v>
      </c>
      <c r="K228" s="1">
        <v>47.7</v>
      </c>
      <c r="L228" s="1">
        <v>1.47</v>
      </c>
      <c r="M228" s="1">
        <f t="shared" si="33"/>
        <v>147</v>
      </c>
      <c r="N228" s="1">
        <f>119-40</f>
        <v>79</v>
      </c>
      <c r="O228" s="48">
        <f t="shared" si="34"/>
        <v>46.258503401360542</v>
      </c>
      <c r="P228" s="49">
        <f t="shared" si="35"/>
        <v>22.074135776759686</v>
      </c>
      <c r="R228" s="91">
        <v>-0.17480723742030388</v>
      </c>
      <c r="S228" s="91">
        <v>43.061555063336414</v>
      </c>
      <c r="T228" s="39" t="str">
        <f t="shared" si="32"/>
        <v>Normal</v>
      </c>
      <c r="U228" s="91">
        <v>-1.5898856785512485</v>
      </c>
      <c r="V228" s="91">
        <v>5.5930288198704119</v>
      </c>
      <c r="W228" s="39" t="str">
        <f t="shared" si="30"/>
        <v>Normal</v>
      </c>
      <c r="X228" s="116">
        <v>1.4911288867728616</v>
      </c>
      <c r="Y228" s="91">
        <v>93.203617022490405</v>
      </c>
      <c r="Z228" s="39" t="str">
        <f t="shared" si="31"/>
        <v>Obesidad</v>
      </c>
    </row>
    <row r="229" spans="1:26" ht="15.75" x14ac:dyDescent="0.25">
      <c r="A229" s="33" t="s">
        <v>705</v>
      </c>
      <c r="B229" s="96">
        <v>226</v>
      </c>
      <c r="C229" s="83" t="s">
        <v>701</v>
      </c>
      <c r="D229" s="1">
        <v>6</v>
      </c>
      <c r="E229" s="1" t="s">
        <v>173</v>
      </c>
      <c r="F229" s="1">
        <v>2</v>
      </c>
      <c r="G229" s="2">
        <v>40248</v>
      </c>
      <c r="H229" s="51">
        <v>44462</v>
      </c>
      <c r="I229" s="47">
        <f t="shared" si="27"/>
        <v>11</v>
      </c>
      <c r="J229" s="1">
        <f t="shared" si="28"/>
        <v>138</v>
      </c>
      <c r="K229" s="1">
        <v>26.5</v>
      </c>
      <c r="L229" s="1">
        <v>1.22</v>
      </c>
      <c r="M229" s="1">
        <f t="shared" si="33"/>
        <v>122</v>
      </c>
      <c r="N229" s="1">
        <f>105.4-40</f>
        <v>65.400000000000006</v>
      </c>
      <c r="O229" s="48">
        <f t="shared" si="34"/>
        <v>46.393442622950815</v>
      </c>
      <c r="P229" s="49">
        <f t="shared" si="35"/>
        <v>17.804353668368719</v>
      </c>
      <c r="R229" s="91">
        <v>-3.877095390171609</v>
      </c>
      <c r="S229" s="91">
        <v>5.2855460282553611E-3</v>
      </c>
      <c r="T229" s="39" t="str">
        <f t="shared" si="32"/>
        <v>Desnutricion</v>
      </c>
      <c r="U229" s="91">
        <v>-1.4955005601214912</v>
      </c>
      <c r="V229" s="91">
        <v>6.7391926917991105</v>
      </c>
      <c r="W229" s="39" t="str">
        <f t="shared" si="30"/>
        <v>Normal</v>
      </c>
      <c r="X229" s="116">
        <v>8.4638097503329776E-2</v>
      </c>
      <c r="Y229" s="91">
        <v>53.372544485311771</v>
      </c>
      <c r="Z229" s="39" t="str">
        <f t="shared" si="31"/>
        <v>Normal</v>
      </c>
    </row>
    <row r="230" spans="1:26" ht="15.75" x14ac:dyDescent="0.25">
      <c r="A230" s="33" t="s">
        <v>705</v>
      </c>
      <c r="B230" s="43">
        <v>227</v>
      </c>
      <c r="C230" s="50" t="s">
        <v>702</v>
      </c>
      <c r="D230" s="1">
        <v>6</v>
      </c>
      <c r="E230" s="1" t="s">
        <v>173</v>
      </c>
      <c r="F230" s="1">
        <v>2</v>
      </c>
      <c r="G230" s="2">
        <v>40340</v>
      </c>
      <c r="H230" s="51">
        <v>44462</v>
      </c>
      <c r="I230" s="47">
        <f t="shared" si="27"/>
        <v>11</v>
      </c>
      <c r="J230" s="1">
        <f t="shared" si="28"/>
        <v>135</v>
      </c>
      <c r="K230" s="1">
        <v>34.700000000000003</v>
      </c>
      <c r="L230" s="1">
        <v>1.41</v>
      </c>
      <c r="M230" s="1">
        <f t="shared" si="33"/>
        <v>141</v>
      </c>
      <c r="N230" s="1">
        <f>113.2-40</f>
        <v>73.2</v>
      </c>
      <c r="O230" s="48">
        <f t="shared" si="34"/>
        <v>48.085106382978722</v>
      </c>
      <c r="P230" s="49">
        <f t="shared" si="35"/>
        <v>17.453850409939143</v>
      </c>
      <c r="R230" s="91">
        <v>-0.83498212356341395</v>
      </c>
      <c r="S230" s="91">
        <v>20.186388680691998</v>
      </c>
      <c r="T230" s="39" t="str">
        <f t="shared" si="32"/>
        <v>Normal</v>
      </c>
      <c r="U230" s="91">
        <v>-0.33710955272804816</v>
      </c>
      <c r="V230" s="91">
        <v>36.801715822923555</v>
      </c>
      <c r="W230" s="39" t="str">
        <f t="shared" si="30"/>
        <v>Normal</v>
      </c>
      <c r="X230" s="116">
        <v>1.3394366285271408E-2</v>
      </c>
      <c r="Y230" s="91">
        <v>50.534341925360678</v>
      </c>
      <c r="Z230" s="39" t="str">
        <f t="shared" si="31"/>
        <v>Normal</v>
      </c>
    </row>
    <row r="231" spans="1:26" ht="15.75" x14ac:dyDescent="0.25">
      <c r="A231" s="33" t="s">
        <v>705</v>
      </c>
      <c r="B231" s="43">
        <v>228</v>
      </c>
      <c r="C231" s="50" t="s">
        <v>703</v>
      </c>
      <c r="D231" s="1">
        <v>6</v>
      </c>
      <c r="E231" s="1" t="s">
        <v>173</v>
      </c>
      <c r="F231" s="1">
        <v>2</v>
      </c>
      <c r="G231" s="2">
        <v>40294</v>
      </c>
      <c r="H231" s="51">
        <v>44462</v>
      </c>
      <c r="I231" s="47">
        <f t="shared" si="27"/>
        <v>11</v>
      </c>
      <c r="J231" s="1">
        <f t="shared" si="28"/>
        <v>136</v>
      </c>
      <c r="K231" s="1">
        <v>52.4</v>
      </c>
      <c r="L231" s="1">
        <v>1.51</v>
      </c>
      <c r="M231" s="1">
        <f t="shared" si="33"/>
        <v>151</v>
      </c>
      <c r="N231" s="1">
        <f>121-40</f>
        <v>81</v>
      </c>
      <c r="O231" s="48">
        <f t="shared" si="34"/>
        <v>46.357615894039732</v>
      </c>
      <c r="P231" s="49">
        <f t="shared" si="35"/>
        <v>22.981448182097274</v>
      </c>
      <c r="R231" s="91">
        <v>0.5765223724432742</v>
      </c>
      <c r="S231" s="91">
        <v>71.786892384152154</v>
      </c>
      <c r="T231" s="39" t="str">
        <f t="shared" si="32"/>
        <v>Normal</v>
      </c>
      <c r="U231" s="91">
        <v>-1.5205307477214942</v>
      </c>
      <c r="V231" s="91">
        <v>6.4188818498322542</v>
      </c>
      <c r="W231" s="39" t="str">
        <f t="shared" si="30"/>
        <v>Normal</v>
      </c>
      <c r="X231" s="116">
        <v>1.7533806308884534</v>
      </c>
      <c r="Y231" s="91">
        <v>96.023165327072263</v>
      </c>
      <c r="Z231" s="39" t="str">
        <f t="shared" si="31"/>
        <v>Obesidad</v>
      </c>
    </row>
    <row r="232" spans="1:26" ht="15.75" x14ac:dyDescent="0.25">
      <c r="A232" s="33" t="s">
        <v>705</v>
      </c>
      <c r="B232" s="43">
        <v>229</v>
      </c>
      <c r="C232" s="50" t="s">
        <v>704</v>
      </c>
      <c r="D232" s="1">
        <v>6</v>
      </c>
      <c r="E232" s="1" t="s">
        <v>173</v>
      </c>
      <c r="F232" s="1">
        <v>2</v>
      </c>
      <c r="G232" s="2">
        <v>40507</v>
      </c>
      <c r="H232" s="51">
        <v>44462</v>
      </c>
      <c r="I232" s="47">
        <f t="shared" si="27"/>
        <v>10</v>
      </c>
      <c r="J232" s="1">
        <f t="shared" si="28"/>
        <v>129</v>
      </c>
      <c r="K232" s="1">
        <v>35.299999999999997</v>
      </c>
      <c r="L232" s="1">
        <v>1.51</v>
      </c>
      <c r="M232" s="1">
        <f t="shared" si="33"/>
        <v>151</v>
      </c>
      <c r="N232" s="1">
        <f>119.8-40</f>
        <v>79.8</v>
      </c>
      <c r="O232" s="48">
        <f t="shared" si="34"/>
        <v>47.152317880794705</v>
      </c>
      <c r="P232" s="49">
        <f t="shared" si="35"/>
        <v>15.481777115038813</v>
      </c>
      <c r="R232" s="91">
        <v>1.1556625232957434</v>
      </c>
      <c r="S232" s="91">
        <v>87.609038848271013</v>
      </c>
      <c r="T232" s="39" t="str">
        <f t="shared" si="32"/>
        <v>Normal</v>
      </c>
      <c r="U232" s="91">
        <v>-0.94336073138699583</v>
      </c>
      <c r="V232" s="91">
        <v>17.274821085366458</v>
      </c>
      <c r="W232" s="39" t="str">
        <f t="shared" si="30"/>
        <v>Normal</v>
      </c>
      <c r="X232" s="116">
        <v>-0.83371290119557995</v>
      </c>
      <c r="Y232" s="91">
        <v>20.222139319967813</v>
      </c>
      <c r="Z232" s="39" t="str">
        <f t="shared" si="31"/>
        <v>Normal</v>
      </c>
    </row>
    <row r="233" spans="1:26" ht="15.75" x14ac:dyDescent="0.25">
      <c r="A233" s="33" t="s">
        <v>706</v>
      </c>
      <c r="B233" s="43">
        <v>230</v>
      </c>
      <c r="C233" s="50" t="s">
        <v>707</v>
      </c>
      <c r="D233" s="1">
        <v>1</v>
      </c>
      <c r="E233" s="1" t="s">
        <v>7</v>
      </c>
      <c r="F233" s="1">
        <v>2</v>
      </c>
      <c r="G233" s="6">
        <v>42145</v>
      </c>
      <c r="H233" s="51">
        <v>44462</v>
      </c>
      <c r="I233" s="47">
        <f t="shared" si="27"/>
        <v>6</v>
      </c>
      <c r="J233" s="1">
        <f t="shared" si="28"/>
        <v>76</v>
      </c>
      <c r="K233" s="1">
        <v>17.2</v>
      </c>
      <c r="L233" s="1">
        <v>1.08</v>
      </c>
      <c r="M233" s="1">
        <f t="shared" si="33"/>
        <v>108</v>
      </c>
      <c r="N233" s="1">
        <f>98.5-40</f>
        <v>58.5</v>
      </c>
      <c r="O233" s="48">
        <f t="shared" si="34"/>
        <v>45.833333333333329</v>
      </c>
      <c r="P233" s="49">
        <f t="shared" si="35"/>
        <v>14.74622770919067</v>
      </c>
      <c r="R233" s="91">
        <v>-1.7244329968939307</v>
      </c>
      <c r="S233" s="91">
        <v>4.2314852524537478</v>
      </c>
      <c r="T233" s="39" t="str">
        <f t="shared" si="32"/>
        <v>Desnutricion</v>
      </c>
      <c r="U233" s="91">
        <v>-0.7196514427286389</v>
      </c>
      <c r="V233" s="91">
        <v>23.586981503808541</v>
      </c>
      <c r="W233" s="39" t="str">
        <f t="shared" si="30"/>
        <v>Normal</v>
      </c>
      <c r="X233" s="116">
        <v>-0.36264972569081277</v>
      </c>
      <c r="Y233" s="91">
        <v>35.843327979705563</v>
      </c>
      <c r="Z233" s="39" t="str">
        <f t="shared" si="31"/>
        <v>Normal</v>
      </c>
    </row>
    <row r="234" spans="1:26" ht="15.75" x14ac:dyDescent="0.25">
      <c r="A234" s="33" t="s">
        <v>706</v>
      </c>
      <c r="B234" s="43">
        <v>231</v>
      </c>
      <c r="C234" s="50" t="s">
        <v>708</v>
      </c>
      <c r="D234" s="1">
        <v>1</v>
      </c>
      <c r="E234" s="1" t="s">
        <v>7</v>
      </c>
      <c r="F234" s="1">
        <v>2</v>
      </c>
      <c r="G234" s="6">
        <v>42105</v>
      </c>
      <c r="H234" s="51">
        <v>44462</v>
      </c>
      <c r="I234" s="47">
        <f t="shared" si="27"/>
        <v>6</v>
      </c>
      <c r="J234" s="1">
        <f t="shared" si="28"/>
        <v>77</v>
      </c>
      <c r="K234" s="1">
        <v>16.600000000000001</v>
      </c>
      <c r="L234" s="1">
        <v>1.1000000000000001</v>
      </c>
      <c r="M234" s="1">
        <f t="shared" si="33"/>
        <v>110.00000000000001</v>
      </c>
      <c r="N234" s="1">
        <f>100.6-40</f>
        <v>60.599999999999994</v>
      </c>
      <c r="O234" s="48">
        <f t="shared" si="34"/>
        <v>44.909090909090921</v>
      </c>
      <c r="P234" s="49">
        <f t="shared" si="35"/>
        <v>13.71900826446281</v>
      </c>
      <c r="R234" s="91">
        <v>-1.4249183959844971</v>
      </c>
      <c r="S234" s="91">
        <v>7.7090395668449041</v>
      </c>
      <c r="T234" s="39" t="str">
        <f t="shared" si="32"/>
        <v>Normal</v>
      </c>
      <c r="U234" s="91">
        <v>-1.3580790696885945</v>
      </c>
      <c r="V234" s="91">
        <v>8.7219297916357856</v>
      </c>
      <c r="W234" s="39" t="str">
        <f t="shared" si="30"/>
        <v>Normal</v>
      </c>
      <c r="X234" s="116">
        <v>-1.1219353922417254</v>
      </c>
      <c r="Y234" s="91">
        <v>13.094495554065761</v>
      </c>
      <c r="Z234" s="39" t="str">
        <f t="shared" si="31"/>
        <v>Bajo Peso</v>
      </c>
    </row>
    <row r="235" spans="1:26" ht="15.75" x14ac:dyDescent="0.25">
      <c r="A235" s="33" t="s">
        <v>706</v>
      </c>
      <c r="B235" s="43">
        <v>232</v>
      </c>
      <c r="C235" s="50" t="s">
        <v>709</v>
      </c>
      <c r="D235" s="1">
        <v>1</v>
      </c>
      <c r="E235" s="1" t="s">
        <v>7</v>
      </c>
      <c r="F235" s="1">
        <v>2</v>
      </c>
      <c r="G235" s="6">
        <v>42037</v>
      </c>
      <c r="H235" s="51">
        <v>44462</v>
      </c>
      <c r="I235" s="47">
        <f t="shared" si="27"/>
        <v>6</v>
      </c>
      <c r="J235" s="1">
        <f t="shared" si="28"/>
        <v>79</v>
      </c>
      <c r="K235" s="1">
        <v>26.8</v>
      </c>
      <c r="L235" s="1">
        <v>1.21</v>
      </c>
      <c r="M235" s="1">
        <f t="shared" si="33"/>
        <v>121</v>
      </c>
      <c r="N235" s="1">
        <f>106-40</f>
        <v>66</v>
      </c>
      <c r="O235" s="48">
        <f t="shared" si="34"/>
        <v>45.454545454545453</v>
      </c>
      <c r="P235" s="49">
        <f t="shared" si="35"/>
        <v>18.304760603783894</v>
      </c>
      <c r="R235" s="91">
        <v>0.47914477299026131</v>
      </c>
      <c r="S235" s="91">
        <v>68.408218008120713</v>
      </c>
      <c r="T235" s="39" t="str">
        <f t="shared" si="32"/>
        <v>Normal</v>
      </c>
      <c r="U235" s="91">
        <v>-0.97959606342077532</v>
      </c>
      <c r="V235" s="91">
        <v>16.364277444152382</v>
      </c>
      <c r="W235" s="39" t="str">
        <f t="shared" si="30"/>
        <v>Normal</v>
      </c>
      <c r="X235" s="116">
        <v>1.5198741444523924</v>
      </c>
      <c r="Y235" s="91">
        <v>93.572869507656677</v>
      </c>
      <c r="Z235" s="39" t="str">
        <f t="shared" si="31"/>
        <v>Obesidad</v>
      </c>
    </row>
    <row r="236" spans="1:26" ht="15.75" x14ac:dyDescent="0.25">
      <c r="A236" s="33" t="s">
        <v>706</v>
      </c>
      <c r="B236" s="43">
        <v>233</v>
      </c>
      <c r="C236" s="50" t="s">
        <v>710</v>
      </c>
      <c r="D236" s="1">
        <v>1</v>
      </c>
      <c r="E236" s="1" t="s">
        <v>7</v>
      </c>
      <c r="F236" s="1">
        <v>1</v>
      </c>
      <c r="G236" s="6">
        <v>42292</v>
      </c>
      <c r="H236" s="51">
        <v>44462</v>
      </c>
      <c r="I236" s="47">
        <f t="shared" si="27"/>
        <v>5</v>
      </c>
      <c r="J236" s="1">
        <f t="shared" si="28"/>
        <v>71</v>
      </c>
      <c r="K236" s="1">
        <v>21.9</v>
      </c>
      <c r="L236" s="1">
        <v>1.1599999999999999</v>
      </c>
      <c r="M236" s="1">
        <f t="shared" si="33"/>
        <v>115.99999999999999</v>
      </c>
      <c r="N236" s="1">
        <f>103.6-40</f>
        <v>63.599999999999994</v>
      </c>
      <c r="O236" s="48">
        <f t="shared" si="34"/>
        <v>45.172413793103445</v>
      </c>
      <c r="P236" s="49">
        <f t="shared" si="35"/>
        <v>16.275267538644471</v>
      </c>
      <c r="R236" s="91">
        <v>0.11132572704840477</v>
      </c>
      <c r="S236" s="91">
        <v>54.432097251476222</v>
      </c>
      <c r="T236" s="39" t="str">
        <f t="shared" si="32"/>
        <v>Normal</v>
      </c>
      <c r="U236" s="91">
        <v>-0.47442832586698863</v>
      </c>
      <c r="V236" s="91">
        <v>31.759724888035713</v>
      </c>
      <c r="W236" s="39" t="str">
        <f t="shared" si="30"/>
        <v>Normal</v>
      </c>
      <c r="X236" s="116">
        <v>0.69564656403277236</v>
      </c>
      <c r="Y236" s="91">
        <v>75.667490118358245</v>
      </c>
      <c r="Z236" s="39" t="str">
        <f t="shared" si="31"/>
        <v>Normal</v>
      </c>
    </row>
    <row r="237" spans="1:26" ht="15.75" x14ac:dyDescent="0.25">
      <c r="A237" s="33" t="s">
        <v>706</v>
      </c>
      <c r="B237" s="43">
        <v>234</v>
      </c>
      <c r="C237" s="50" t="s">
        <v>711</v>
      </c>
      <c r="D237" s="1">
        <v>1</v>
      </c>
      <c r="E237" s="1" t="s">
        <v>7</v>
      </c>
      <c r="F237" s="1">
        <v>1</v>
      </c>
      <c r="G237" s="6">
        <v>42017</v>
      </c>
      <c r="H237" s="51">
        <v>44462</v>
      </c>
      <c r="I237" s="47">
        <f t="shared" si="27"/>
        <v>6</v>
      </c>
      <c r="J237" s="1">
        <f t="shared" si="28"/>
        <v>80</v>
      </c>
      <c r="K237" s="1">
        <v>18.7</v>
      </c>
      <c r="L237" s="1">
        <v>1.1000000000000001</v>
      </c>
      <c r="M237" s="1">
        <f t="shared" si="33"/>
        <v>110.00000000000001</v>
      </c>
      <c r="N237" s="1">
        <f>99.5</f>
        <v>99.5</v>
      </c>
      <c r="O237" s="48">
        <f t="shared" si="34"/>
        <v>9.5454545454545574</v>
      </c>
      <c r="P237" s="49">
        <f t="shared" si="35"/>
        <v>15.454545454545451</v>
      </c>
      <c r="R237" s="91">
        <v>-1.9029268865925002</v>
      </c>
      <c r="S237" s="91">
        <v>2.8525043055317134</v>
      </c>
      <c r="T237" s="39" t="str">
        <f t="shared" si="32"/>
        <v>Desnutricion</v>
      </c>
      <c r="U237" s="91">
        <v>-50.092415434976282</v>
      </c>
      <c r="V237" s="91">
        <v>0</v>
      </c>
      <c r="W237" s="39" t="str">
        <f t="shared" si="30"/>
        <v>Piernas cortas</v>
      </c>
      <c r="X237" s="116">
        <v>2.958643855795445E-2</v>
      </c>
      <c r="Y237" s="91">
        <v>51.180155947852192</v>
      </c>
      <c r="Z237" s="39" t="str">
        <f t="shared" si="31"/>
        <v>Normal</v>
      </c>
    </row>
    <row r="238" spans="1:26" ht="15.75" x14ac:dyDescent="0.25">
      <c r="A238" s="33" t="s">
        <v>706</v>
      </c>
      <c r="B238" s="43">
        <v>235</v>
      </c>
      <c r="C238" s="50" t="s">
        <v>712</v>
      </c>
      <c r="D238" s="1">
        <v>1</v>
      </c>
      <c r="E238" s="1" t="s">
        <v>7</v>
      </c>
      <c r="F238" s="1">
        <v>1</v>
      </c>
      <c r="G238" s="6">
        <v>42346</v>
      </c>
      <c r="H238" s="51">
        <v>44462</v>
      </c>
      <c r="I238" s="47">
        <f t="shared" si="27"/>
        <v>5</v>
      </c>
      <c r="J238" s="1">
        <f t="shared" si="28"/>
        <v>69</v>
      </c>
      <c r="K238" s="1">
        <v>19.5</v>
      </c>
      <c r="L238" s="1">
        <v>1.1299999999999999</v>
      </c>
      <c r="M238" s="1">
        <f t="shared" si="33"/>
        <v>112.99999999999999</v>
      </c>
      <c r="N238" s="1">
        <f>99.5-40</f>
        <v>59.5</v>
      </c>
      <c r="O238" s="48">
        <f t="shared" si="34"/>
        <v>47.345132743362825</v>
      </c>
      <c r="P238" s="49">
        <f t="shared" si="35"/>
        <v>15.271360325789024</v>
      </c>
      <c r="R238" s="91">
        <v>-0.29979384521168606</v>
      </c>
      <c r="S238" s="91">
        <v>38.216720516623802</v>
      </c>
      <c r="T238" s="39" t="str">
        <f t="shared" si="32"/>
        <v>Normal</v>
      </c>
      <c r="U238" s="91">
        <v>0.82980233180768836</v>
      </c>
      <c r="V238" s="91">
        <v>79.667472388085983</v>
      </c>
      <c r="W238" s="39" t="str">
        <f t="shared" si="30"/>
        <v>Normal</v>
      </c>
      <c r="X238" s="116">
        <v>-6.656733754359415E-3</v>
      </c>
      <c r="Y238" s="91">
        <v>49.734436706880572</v>
      </c>
      <c r="Z238" s="39" t="str">
        <f t="shared" si="31"/>
        <v>Normal</v>
      </c>
    </row>
    <row r="239" spans="1:26" ht="15.75" x14ac:dyDescent="0.25">
      <c r="A239" s="33" t="s">
        <v>706</v>
      </c>
      <c r="B239" s="43">
        <v>236</v>
      </c>
      <c r="C239" s="50" t="s">
        <v>713</v>
      </c>
      <c r="D239" s="1">
        <v>1</v>
      </c>
      <c r="E239" s="1" t="s">
        <v>7</v>
      </c>
      <c r="F239" s="1">
        <v>1</v>
      </c>
      <c r="G239" s="6">
        <v>42330</v>
      </c>
      <c r="H239" s="51">
        <v>44462</v>
      </c>
      <c r="I239" s="47">
        <f t="shared" si="27"/>
        <v>5</v>
      </c>
      <c r="J239" s="1">
        <f t="shared" si="28"/>
        <v>70</v>
      </c>
      <c r="K239" s="1">
        <v>20.399999999999999</v>
      </c>
      <c r="L239" s="1">
        <v>1.0900000000000001</v>
      </c>
      <c r="M239" s="1">
        <f t="shared" si="33"/>
        <v>109.00000000000001</v>
      </c>
      <c r="N239" s="1">
        <f>100.5-40</f>
        <v>60.5</v>
      </c>
      <c r="O239" s="48">
        <f t="shared" si="34"/>
        <v>44.4954128440367</v>
      </c>
      <c r="P239" s="49">
        <f t="shared" si="35"/>
        <v>17.170271862637822</v>
      </c>
      <c r="R239" s="91">
        <v>-1.2234389432009878</v>
      </c>
      <c r="S239" s="91">
        <v>11.058197603949713</v>
      </c>
      <c r="T239" s="39" t="str">
        <f t="shared" si="32"/>
        <v>Normal</v>
      </c>
      <c r="U239" s="91">
        <v>-0.89474865102173939</v>
      </c>
      <c r="V239" s="91">
        <v>18.546073259994323</v>
      </c>
      <c r="W239" s="39" t="str">
        <f t="shared" si="30"/>
        <v>Normal</v>
      </c>
      <c r="X239" s="116">
        <v>1.2750410370541092</v>
      </c>
      <c r="Y239" s="91">
        <v>89.885264131632255</v>
      </c>
      <c r="Z239" s="39" t="str">
        <f t="shared" si="31"/>
        <v>Obesidad</v>
      </c>
    </row>
    <row r="240" spans="1:26" ht="15.75" x14ac:dyDescent="0.25">
      <c r="A240" s="33" t="s">
        <v>706</v>
      </c>
      <c r="B240" s="43">
        <v>237</v>
      </c>
      <c r="C240" s="50" t="s">
        <v>714</v>
      </c>
      <c r="D240" s="1">
        <v>1</v>
      </c>
      <c r="E240" s="1" t="s">
        <v>7</v>
      </c>
      <c r="F240" s="1">
        <v>1</v>
      </c>
      <c r="G240" s="6">
        <v>42347</v>
      </c>
      <c r="H240" s="51">
        <v>44462</v>
      </c>
      <c r="I240" s="47">
        <f t="shared" ref="I240:I281" si="36">DATEDIF(G240,H240,"y")</f>
        <v>5</v>
      </c>
      <c r="J240" s="1">
        <f t="shared" si="28"/>
        <v>69</v>
      </c>
      <c r="K240" s="1">
        <v>21.1</v>
      </c>
      <c r="L240" s="1">
        <v>1.1100000000000001</v>
      </c>
      <c r="M240" s="1">
        <f t="shared" si="33"/>
        <v>111.00000000000001</v>
      </c>
      <c r="N240" s="1">
        <f>100-40</f>
        <v>60</v>
      </c>
      <c r="O240" s="48">
        <f t="shared" si="34"/>
        <v>45.945945945945951</v>
      </c>
      <c r="P240" s="49">
        <f t="shared" si="35"/>
        <v>17.125233341449555</v>
      </c>
      <c r="R240" s="91">
        <v>-0.71330259722779321</v>
      </c>
      <c r="S240" s="91">
        <v>23.782926533835031</v>
      </c>
      <c r="T240" s="39" t="str">
        <f t="shared" si="32"/>
        <v>Normal</v>
      </c>
      <c r="U240" s="91">
        <v>-2.4508812877855322E-3</v>
      </c>
      <c r="V240" s="91">
        <v>49.902224080892815</v>
      </c>
      <c r="W240" s="39" t="str">
        <f t="shared" si="30"/>
        <v>Normal</v>
      </c>
      <c r="X240" s="116">
        <v>1.258589330440703</v>
      </c>
      <c r="Y240" s="91">
        <v>89.591064858979294</v>
      </c>
      <c r="Z240" s="39" t="str">
        <f t="shared" si="31"/>
        <v>Obesidad</v>
      </c>
    </row>
    <row r="241" spans="1:26" ht="15.75" x14ac:dyDescent="0.25">
      <c r="A241" s="33" t="s">
        <v>706</v>
      </c>
      <c r="B241" s="43">
        <v>238</v>
      </c>
      <c r="C241" s="50" t="s">
        <v>715</v>
      </c>
      <c r="D241" s="1">
        <v>1</v>
      </c>
      <c r="E241" s="1" t="s">
        <v>7</v>
      </c>
      <c r="F241" s="1">
        <v>1</v>
      </c>
      <c r="G241" s="6">
        <v>42282</v>
      </c>
      <c r="H241" s="51">
        <v>44462</v>
      </c>
      <c r="I241" s="47">
        <f t="shared" si="36"/>
        <v>5</v>
      </c>
      <c r="J241" s="1">
        <f t="shared" si="28"/>
        <v>71</v>
      </c>
      <c r="K241" s="1">
        <v>19.8</v>
      </c>
      <c r="L241" s="1">
        <v>1.1399999999999999</v>
      </c>
      <c r="M241" s="1">
        <f t="shared" si="33"/>
        <v>113.99999999999999</v>
      </c>
      <c r="N241" s="1">
        <f>101.2-40</f>
        <v>61.2</v>
      </c>
      <c r="O241" s="48">
        <f t="shared" si="34"/>
        <v>46.315789473684198</v>
      </c>
      <c r="P241" s="49">
        <f t="shared" si="35"/>
        <v>15.235457063711914</v>
      </c>
      <c r="R241" s="91">
        <v>-0.29713410435282889</v>
      </c>
      <c r="S241" s="91">
        <v>38.318206399995312</v>
      </c>
      <c r="T241" s="39" t="str">
        <f t="shared" si="32"/>
        <v>Normal</v>
      </c>
      <c r="U241" s="91">
        <v>0.22017937267416324</v>
      </c>
      <c r="V241" s="91">
        <v>58.713426966323112</v>
      </c>
      <c r="W241" s="39" t="str">
        <f t="shared" si="30"/>
        <v>Normal</v>
      </c>
      <c r="X241" s="116">
        <v>-4.630062975402615E-2</v>
      </c>
      <c r="Y241" s="91">
        <v>48.153531868906533</v>
      </c>
      <c r="Z241" s="39" t="str">
        <f t="shared" si="31"/>
        <v>Normal</v>
      </c>
    </row>
    <row r="242" spans="1:26" ht="15.75" x14ac:dyDescent="0.25">
      <c r="A242" s="33" t="s">
        <v>706</v>
      </c>
      <c r="B242" s="43">
        <v>239</v>
      </c>
      <c r="C242" s="50" t="s">
        <v>716</v>
      </c>
      <c r="D242" s="1">
        <v>1</v>
      </c>
      <c r="E242" s="1" t="s">
        <v>7</v>
      </c>
      <c r="F242" s="1">
        <v>1</v>
      </c>
      <c r="G242" s="6">
        <v>42037</v>
      </c>
      <c r="H242" s="51">
        <v>44462</v>
      </c>
      <c r="I242" s="47">
        <f t="shared" si="36"/>
        <v>6</v>
      </c>
      <c r="J242" s="1">
        <f t="shared" si="28"/>
        <v>79</v>
      </c>
      <c r="K242" s="1">
        <v>21.9</v>
      </c>
      <c r="L242" s="1">
        <v>1.18</v>
      </c>
      <c r="M242" s="1">
        <f t="shared" si="33"/>
        <v>118</v>
      </c>
      <c r="N242" s="1">
        <f>103.1-40</f>
        <v>63.099999999999994</v>
      </c>
      <c r="O242" s="48">
        <f t="shared" si="34"/>
        <v>46.525423728813564</v>
      </c>
      <c r="P242" s="49">
        <f t="shared" si="35"/>
        <v>15.728239011778225</v>
      </c>
      <c r="R242" s="91">
        <v>-0.26302339034765504</v>
      </c>
      <c r="S242" s="91">
        <v>39.626627539150803</v>
      </c>
      <c r="T242" s="39" t="str">
        <f t="shared" si="32"/>
        <v>Normal</v>
      </c>
      <c r="U242" s="91">
        <v>-0.14165732623690222</v>
      </c>
      <c r="V242" s="91">
        <v>44.367534182991534</v>
      </c>
      <c r="W242" s="39" t="str">
        <f t="shared" si="30"/>
        <v>Normal</v>
      </c>
      <c r="X242" s="116">
        <v>0.2357528382287363</v>
      </c>
      <c r="Y242" s="91">
        <v>59.318776685884977</v>
      </c>
      <c r="Z242" s="39" t="str">
        <f t="shared" si="31"/>
        <v>Normal</v>
      </c>
    </row>
    <row r="243" spans="1:26" ht="15.75" x14ac:dyDescent="0.25">
      <c r="A243" s="33" t="s">
        <v>706</v>
      </c>
      <c r="B243" s="43">
        <v>240</v>
      </c>
      <c r="C243" s="50" t="s">
        <v>653</v>
      </c>
      <c r="D243" s="1">
        <v>1</v>
      </c>
      <c r="E243" s="1" t="s">
        <v>7</v>
      </c>
      <c r="F243" s="1">
        <v>1</v>
      </c>
      <c r="G243" s="6">
        <v>42022</v>
      </c>
      <c r="H243" s="51">
        <v>44462</v>
      </c>
      <c r="I243" s="47">
        <f t="shared" si="36"/>
        <v>6</v>
      </c>
      <c r="J243" s="1">
        <f t="shared" si="28"/>
        <v>80</v>
      </c>
      <c r="K243" s="1">
        <v>22.6</v>
      </c>
      <c r="L243" s="1">
        <v>1.19</v>
      </c>
      <c r="M243" s="1">
        <f t="shared" si="33"/>
        <v>119</v>
      </c>
      <c r="N243" s="1">
        <f>105.6-40</f>
        <v>65.599999999999994</v>
      </c>
      <c r="O243" s="48">
        <f t="shared" si="34"/>
        <v>44.873949579831937</v>
      </c>
      <c r="P243" s="49">
        <f t="shared" si="35"/>
        <v>15.959324906433164</v>
      </c>
      <c r="R243" s="91">
        <v>-0.16072756619205489</v>
      </c>
      <c r="S243" s="91">
        <v>43.615398850882094</v>
      </c>
      <c r="T243" s="39" t="str">
        <f t="shared" si="32"/>
        <v>Normal</v>
      </c>
      <c r="U243" s="91">
        <v>-1.2067494532365608</v>
      </c>
      <c r="V243" s="91">
        <v>11.376432381586062</v>
      </c>
      <c r="W243" s="39" t="str">
        <f t="shared" si="30"/>
        <v>Normal</v>
      </c>
      <c r="X243" s="116">
        <v>0.38171724009558428</v>
      </c>
      <c r="Y243" s="91">
        <v>64.866444452442352</v>
      </c>
      <c r="Z243" s="39" t="str">
        <f t="shared" si="31"/>
        <v>Normal</v>
      </c>
    </row>
    <row r="244" spans="1:26" ht="15.75" x14ac:dyDescent="0.25">
      <c r="A244" s="33" t="s">
        <v>706</v>
      </c>
      <c r="B244" s="43">
        <v>241</v>
      </c>
      <c r="C244" s="50" t="s">
        <v>717</v>
      </c>
      <c r="D244" s="1">
        <v>1</v>
      </c>
      <c r="E244" s="1" t="s">
        <v>7</v>
      </c>
      <c r="F244" s="1">
        <v>1</v>
      </c>
      <c r="G244" s="6">
        <v>42071</v>
      </c>
      <c r="H244" s="51">
        <v>44462</v>
      </c>
      <c r="I244" s="47">
        <f t="shared" si="36"/>
        <v>6</v>
      </c>
      <c r="J244" s="1">
        <f t="shared" si="28"/>
        <v>78</v>
      </c>
      <c r="K244" s="1">
        <v>22.8</v>
      </c>
      <c r="L244" s="1">
        <v>1.1599999999999999</v>
      </c>
      <c r="M244" s="1">
        <f t="shared" si="33"/>
        <v>115.99999999999999</v>
      </c>
      <c r="N244" s="1">
        <f>105.6-40</f>
        <v>65.599999999999994</v>
      </c>
      <c r="O244" s="48">
        <f t="shared" si="34"/>
        <v>43.448275862068961</v>
      </c>
      <c r="P244" s="49">
        <f t="shared" si="35"/>
        <v>16.944114149821644</v>
      </c>
      <c r="R244" s="91">
        <v>-0.56214255837346561</v>
      </c>
      <c r="S244" s="91">
        <v>28.700944708732912</v>
      </c>
      <c r="T244" s="39" t="str">
        <f t="shared" si="32"/>
        <v>Normal</v>
      </c>
      <c r="U244" s="91">
        <v>-2.1610495555843214</v>
      </c>
      <c r="V244" s="91">
        <v>1.5345755808819324</v>
      </c>
      <c r="W244" s="39" t="str">
        <f t="shared" si="30"/>
        <v>Piernas cortas</v>
      </c>
      <c r="X244" s="116">
        <v>1.0335649926813248</v>
      </c>
      <c r="Y244" s="91">
        <v>84.933021391908653</v>
      </c>
      <c r="Z244" s="39" t="str">
        <f t="shared" si="31"/>
        <v>Normal</v>
      </c>
    </row>
    <row r="245" spans="1:26" ht="15.75" x14ac:dyDescent="0.25">
      <c r="A245" s="33" t="s">
        <v>706</v>
      </c>
      <c r="B245" s="43">
        <v>242</v>
      </c>
      <c r="C245" s="50" t="s">
        <v>718</v>
      </c>
      <c r="D245" s="1">
        <v>1</v>
      </c>
      <c r="E245" s="1" t="s">
        <v>26</v>
      </c>
      <c r="F245" s="1">
        <v>2</v>
      </c>
      <c r="G245" s="6">
        <v>41676</v>
      </c>
      <c r="H245" s="51">
        <v>44462</v>
      </c>
      <c r="I245" s="47">
        <f t="shared" si="36"/>
        <v>7</v>
      </c>
      <c r="J245" s="1">
        <f t="shared" si="28"/>
        <v>91</v>
      </c>
      <c r="K245" s="1">
        <v>22.6</v>
      </c>
      <c r="L245" s="1">
        <v>1.19</v>
      </c>
      <c r="M245" s="1">
        <f t="shared" si="33"/>
        <v>119</v>
      </c>
      <c r="N245" s="1">
        <f>105.6-40</f>
        <v>65.599999999999994</v>
      </c>
      <c r="O245" s="48">
        <f t="shared" si="34"/>
        <v>44.873949579831937</v>
      </c>
      <c r="P245" s="49">
        <f t="shared" si="35"/>
        <v>15.959324906433164</v>
      </c>
      <c r="R245" s="91">
        <v>-0.90839489847226518</v>
      </c>
      <c r="S245" s="91">
        <v>18.183481004523692</v>
      </c>
      <c r="T245" s="39" t="str">
        <f t="shared" si="32"/>
        <v>Normal</v>
      </c>
      <c r="U245" s="91">
        <v>-1.8935303808310331</v>
      </c>
      <c r="V245" s="91">
        <v>2.9143685976793465</v>
      </c>
      <c r="W245" s="39" t="str">
        <f t="shared" si="30"/>
        <v>Piernas cortas</v>
      </c>
      <c r="X245" s="116">
        <v>0.23212620129399403</v>
      </c>
      <c r="Y245" s="91">
        <v>59.178000254372456</v>
      </c>
      <c r="Z245" s="39" t="str">
        <f t="shared" si="31"/>
        <v>Normal</v>
      </c>
    </row>
    <row r="246" spans="1:26" ht="15.75" x14ac:dyDescent="0.25">
      <c r="A246" s="33" t="s">
        <v>706</v>
      </c>
      <c r="B246" s="43">
        <v>243</v>
      </c>
      <c r="C246" s="50" t="s">
        <v>719</v>
      </c>
      <c r="D246" s="1">
        <v>1</v>
      </c>
      <c r="E246" s="1" t="s">
        <v>26</v>
      </c>
      <c r="F246" s="1">
        <v>2</v>
      </c>
      <c r="G246" s="6">
        <v>42030</v>
      </c>
      <c r="H246" s="51">
        <v>44462</v>
      </c>
      <c r="I246" s="47">
        <f t="shared" si="36"/>
        <v>6</v>
      </c>
      <c r="J246" s="1">
        <f t="shared" si="28"/>
        <v>79</v>
      </c>
      <c r="K246" s="1">
        <v>23.9</v>
      </c>
      <c r="L246" s="1">
        <v>1.17</v>
      </c>
      <c r="M246" s="1">
        <f t="shared" si="33"/>
        <v>117</v>
      </c>
      <c r="N246" s="1">
        <f>104-40</f>
        <v>64</v>
      </c>
      <c r="O246" s="48">
        <f t="shared" si="34"/>
        <v>45.299145299145302</v>
      </c>
      <c r="P246" s="49">
        <f t="shared" si="35"/>
        <v>17.459273869530282</v>
      </c>
      <c r="R246" s="91">
        <v>-0.27213079126086148</v>
      </c>
      <c r="S246" s="91">
        <v>39.276072731347611</v>
      </c>
      <c r="T246" s="39" t="str">
        <f t="shared" si="32"/>
        <v>Normal</v>
      </c>
      <c r="U246" s="91">
        <v>-1.0869213675695961</v>
      </c>
      <c r="V246" s="91">
        <v>13.853578108987</v>
      </c>
      <c r="W246" s="39" t="str">
        <f t="shared" si="30"/>
        <v>Normal</v>
      </c>
      <c r="X246" s="116">
        <v>1.1451476835162469</v>
      </c>
      <c r="Y246" s="91">
        <v>87.392600711661018</v>
      </c>
      <c r="Z246" s="39" t="str">
        <f t="shared" si="31"/>
        <v>Obesidad</v>
      </c>
    </row>
    <row r="247" spans="1:26" ht="15.75" x14ac:dyDescent="0.25">
      <c r="A247" s="33" t="s">
        <v>706</v>
      </c>
      <c r="B247" s="43">
        <v>244</v>
      </c>
      <c r="C247" s="50" t="s">
        <v>720</v>
      </c>
      <c r="D247" s="1">
        <v>1</v>
      </c>
      <c r="E247" s="1" t="s">
        <v>26</v>
      </c>
      <c r="F247" s="1">
        <v>2</v>
      </c>
      <c r="G247" s="6">
        <v>42032</v>
      </c>
      <c r="H247" s="51">
        <v>44462</v>
      </c>
      <c r="I247" s="47">
        <f t="shared" si="36"/>
        <v>6</v>
      </c>
      <c r="J247" s="1">
        <f t="shared" si="28"/>
        <v>79</v>
      </c>
      <c r="K247" s="1">
        <v>20.2</v>
      </c>
      <c r="L247" s="1">
        <v>1.1200000000000001</v>
      </c>
      <c r="M247" s="1">
        <f t="shared" si="33"/>
        <v>112.00000000000001</v>
      </c>
      <c r="N247" s="1">
        <f>99.5-40</f>
        <v>59.5</v>
      </c>
      <c r="O247" s="48">
        <f t="shared" si="34"/>
        <v>46.875000000000007</v>
      </c>
      <c r="P247" s="49">
        <f t="shared" si="35"/>
        <v>16.10331632653061</v>
      </c>
      <c r="R247" s="91">
        <v>-1.211225246574763</v>
      </c>
      <c r="S247" s="91">
        <v>11.290454467501711</v>
      </c>
      <c r="T247" s="39" t="str">
        <f t="shared" si="32"/>
        <v>Normal</v>
      </c>
      <c r="U247" s="91">
        <v>-1.6662606248169013E-2</v>
      </c>
      <c r="V247" s="91">
        <v>49.335288945402041</v>
      </c>
      <c r="W247" s="39" t="str">
        <f t="shared" si="30"/>
        <v>Normal</v>
      </c>
      <c r="X247" s="116">
        <v>0.45371268393936937</v>
      </c>
      <c r="Y247" s="91">
        <v>67.498218178646667</v>
      </c>
      <c r="Z247" s="39" t="str">
        <f t="shared" si="31"/>
        <v>Normal</v>
      </c>
    </row>
    <row r="248" spans="1:26" ht="15.75" x14ac:dyDescent="0.25">
      <c r="A248" s="33" t="s">
        <v>706</v>
      </c>
      <c r="B248" s="43">
        <v>245</v>
      </c>
      <c r="C248" s="50" t="s">
        <v>721</v>
      </c>
      <c r="D248" s="1">
        <v>1</v>
      </c>
      <c r="E248" s="1" t="s">
        <v>26</v>
      </c>
      <c r="F248" s="1">
        <v>2</v>
      </c>
      <c r="G248" s="6">
        <v>42194</v>
      </c>
      <c r="H248" s="51">
        <v>44462</v>
      </c>
      <c r="I248" s="47">
        <f t="shared" si="36"/>
        <v>6</v>
      </c>
      <c r="J248" s="1">
        <f t="shared" si="28"/>
        <v>74</v>
      </c>
      <c r="K248" s="1">
        <v>20.2</v>
      </c>
      <c r="L248" s="1">
        <v>1.1499999999999999</v>
      </c>
      <c r="M248" s="1">
        <f t="shared" si="33"/>
        <v>114.99999999999999</v>
      </c>
      <c r="N248" s="1">
        <f>101-40</f>
        <v>61</v>
      </c>
      <c r="O248" s="48">
        <f t="shared" si="34"/>
        <v>46.95652173913043</v>
      </c>
      <c r="P248" s="49">
        <f t="shared" si="35"/>
        <v>15.274102079395087</v>
      </c>
      <c r="R248" s="91">
        <v>-0.20879107232362731</v>
      </c>
      <c r="S248" s="91">
        <v>41.730567049975519</v>
      </c>
      <c r="T248" s="39" t="str">
        <f t="shared" si="32"/>
        <v>Normal</v>
      </c>
      <c r="U248" s="91">
        <v>3.7636446632641839E-2</v>
      </c>
      <c r="V248" s="91">
        <v>51.50112258566687</v>
      </c>
      <c r="W248" s="39" t="str">
        <f t="shared" si="30"/>
        <v>Normal</v>
      </c>
      <c r="X248" s="116">
        <v>-5.7267996351186047E-3</v>
      </c>
      <c r="Y248" s="91">
        <v>49.771534998215664</v>
      </c>
      <c r="Z248" s="39" t="str">
        <f t="shared" si="31"/>
        <v>Normal</v>
      </c>
    </row>
    <row r="249" spans="1:26" ht="15.75" x14ac:dyDescent="0.25">
      <c r="A249" s="33" t="s">
        <v>706</v>
      </c>
      <c r="B249" s="96">
        <v>246</v>
      </c>
      <c r="C249" s="83" t="s">
        <v>722</v>
      </c>
      <c r="D249" s="1">
        <v>1</v>
      </c>
      <c r="E249" s="1" t="s">
        <v>26</v>
      </c>
      <c r="F249" s="1">
        <v>2</v>
      </c>
      <c r="G249" s="6">
        <v>42194</v>
      </c>
      <c r="H249" s="51">
        <v>44462</v>
      </c>
      <c r="I249" s="47">
        <f t="shared" si="36"/>
        <v>6</v>
      </c>
      <c r="J249" s="1">
        <f t="shared" si="28"/>
        <v>74</v>
      </c>
      <c r="K249" s="1">
        <v>28.9</v>
      </c>
      <c r="L249" s="1">
        <v>1.17</v>
      </c>
      <c r="M249" s="1">
        <f t="shared" si="33"/>
        <v>117</v>
      </c>
      <c r="N249" s="1">
        <f>105.5-40</f>
        <v>65.5</v>
      </c>
      <c r="O249" s="48">
        <f t="shared" si="34"/>
        <v>44.017094017094017</v>
      </c>
      <c r="P249" s="49">
        <f t="shared" si="35"/>
        <v>21.111841624662141</v>
      </c>
      <c r="R249" s="91">
        <v>0.17742992716514014</v>
      </c>
      <c r="S249" s="91">
        <v>57.041464912427372</v>
      </c>
      <c r="T249" s="39" t="str">
        <f t="shared" si="32"/>
        <v>Normal</v>
      </c>
      <c r="U249" s="91">
        <v>-1.9879118988122686</v>
      </c>
      <c r="V249" s="91">
        <v>2.3410717271577512</v>
      </c>
      <c r="W249" s="39" t="str">
        <f t="shared" si="30"/>
        <v>Piernas cortas</v>
      </c>
      <c r="X249" s="116">
        <v>2.6386467336032253</v>
      </c>
      <c r="Y249" s="91">
        <v>99.583811652724634</v>
      </c>
      <c r="Z249" s="39" t="str">
        <f t="shared" si="31"/>
        <v>Obesidad</v>
      </c>
    </row>
    <row r="250" spans="1:26" ht="15.75" x14ac:dyDescent="0.25">
      <c r="A250" s="33" t="s">
        <v>706</v>
      </c>
      <c r="B250" s="43">
        <v>247</v>
      </c>
      <c r="C250" s="50" t="s">
        <v>798</v>
      </c>
      <c r="D250" s="1">
        <v>1</v>
      </c>
      <c r="E250" s="1" t="s">
        <v>26</v>
      </c>
      <c r="F250" s="1">
        <v>1</v>
      </c>
      <c r="G250" s="6">
        <v>42247</v>
      </c>
      <c r="H250" s="51">
        <v>44462</v>
      </c>
      <c r="I250" s="47">
        <f t="shared" si="36"/>
        <v>6</v>
      </c>
      <c r="J250" s="1">
        <f t="shared" si="28"/>
        <v>72</v>
      </c>
      <c r="K250" s="1">
        <v>29</v>
      </c>
      <c r="L250" s="1">
        <v>1.1399999999999999</v>
      </c>
      <c r="M250" s="1">
        <f t="shared" si="33"/>
        <v>113.99999999999999</v>
      </c>
      <c r="N250" s="1">
        <f>103.5-40</f>
        <v>63.5</v>
      </c>
      <c r="O250" s="48">
        <f t="shared" si="34"/>
        <v>44.298245614035082</v>
      </c>
      <c r="P250" s="49">
        <f t="shared" si="35"/>
        <v>22.314558325638661</v>
      </c>
      <c r="R250" s="91">
        <v>-0.39598082278089197</v>
      </c>
      <c r="S250" s="91">
        <v>34.605958778750292</v>
      </c>
      <c r="T250" s="39" t="str">
        <f t="shared" si="32"/>
        <v>Normal</v>
      </c>
      <c r="U250" s="91">
        <v>-1.5880862706434249</v>
      </c>
      <c r="V250" s="91">
        <v>5.6133416216224408</v>
      </c>
      <c r="W250" s="39" t="str">
        <f t="shared" si="30"/>
        <v>Normal</v>
      </c>
      <c r="X250" s="116">
        <v>3.6225512843527321</v>
      </c>
      <c r="Y250" s="91">
        <v>99.985414419882886</v>
      </c>
      <c r="Z250" s="39" t="str">
        <f t="shared" si="31"/>
        <v>Obesidad</v>
      </c>
    </row>
    <row r="251" spans="1:26" ht="15.75" x14ac:dyDescent="0.25">
      <c r="A251" s="33" t="s">
        <v>706</v>
      </c>
      <c r="B251" s="43">
        <v>248</v>
      </c>
      <c r="C251" s="50" t="s">
        <v>723</v>
      </c>
      <c r="D251" s="1">
        <v>1</v>
      </c>
      <c r="E251" s="1" t="s">
        <v>26</v>
      </c>
      <c r="F251" s="1">
        <v>2</v>
      </c>
      <c r="G251" s="6">
        <v>42341</v>
      </c>
      <c r="H251" s="51">
        <v>44462</v>
      </c>
      <c r="I251" s="47">
        <f t="shared" si="36"/>
        <v>5</v>
      </c>
      <c r="J251" s="1">
        <f t="shared" si="28"/>
        <v>69</v>
      </c>
      <c r="K251" s="1">
        <v>22.7</v>
      </c>
      <c r="L251" s="1">
        <v>1.21</v>
      </c>
      <c r="M251" s="1">
        <f t="shared" si="33"/>
        <v>121</v>
      </c>
      <c r="N251" s="1">
        <f>106.5-40</f>
        <v>66.5</v>
      </c>
      <c r="O251" s="48">
        <f t="shared" si="34"/>
        <v>45.041322314049587</v>
      </c>
      <c r="P251" s="49">
        <f t="shared" si="35"/>
        <v>15.504405436787104</v>
      </c>
      <c r="R251" s="91">
        <v>1.4585379665070666</v>
      </c>
      <c r="S251" s="91">
        <v>92.765384094469269</v>
      </c>
      <c r="T251" s="39" t="str">
        <f t="shared" si="32"/>
        <v>Normal</v>
      </c>
      <c r="U251" s="91">
        <v>-0.60852140766700957</v>
      </c>
      <c r="V251" s="91">
        <v>27.14208560120916</v>
      </c>
      <c r="W251" s="39" t="str">
        <f t="shared" si="30"/>
        <v>Normal</v>
      </c>
      <c r="X251" s="116">
        <v>0.15983102866069274</v>
      </c>
      <c r="Y251" s="91">
        <v>56.349290952753975</v>
      </c>
      <c r="Z251" s="39" t="str">
        <f t="shared" si="31"/>
        <v>Normal</v>
      </c>
    </row>
    <row r="252" spans="1:26" ht="15.75" x14ac:dyDescent="0.25">
      <c r="A252" s="33" t="s">
        <v>706</v>
      </c>
      <c r="B252" s="43">
        <v>249</v>
      </c>
      <c r="C252" s="50" t="s">
        <v>724</v>
      </c>
      <c r="D252" s="1">
        <v>1</v>
      </c>
      <c r="E252" s="1" t="s">
        <v>26</v>
      </c>
      <c r="F252" s="1">
        <v>2</v>
      </c>
      <c r="G252" s="6">
        <v>41656</v>
      </c>
      <c r="H252" s="51">
        <v>44462</v>
      </c>
      <c r="I252" s="47">
        <f t="shared" si="36"/>
        <v>7</v>
      </c>
      <c r="J252" s="1">
        <f t="shared" si="28"/>
        <v>92</v>
      </c>
      <c r="K252" s="1">
        <v>26.2</v>
      </c>
      <c r="L252" s="1">
        <v>1.2</v>
      </c>
      <c r="M252" s="1">
        <f t="shared" si="33"/>
        <v>120</v>
      </c>
      <c r="N252" s="1">
        <f>105-40</f>
        <v>65</v>
      </c>
      <c r="O252" s="48">
        <f t="shared" si="34"/>
        <v>45.833333333333329</v>
      </c>
      <c r="P252" s="49">
        <f t="shared" si="35"/>
        <v>18.194444444444443</v>
      </c>
      <c r="R252" s="91">
        <v>-0.81268284298324978</v>
      </c>
      <c r="S252" s="91">
        <v>20.819996025336728</v>
      </c>
      <c r="T252" s="39" t="str">
        <f t="shared" si="32"/>
        <v>Normal</v>
      </c>
      <c r="U252" s="91">
        <v>-1.2083788178027466</v>
      </c>
      <c r="V252" s="91">
        <v>11.345079184732208</v>
      </c>
      <c r="W252" s="39" t="str">
        <f t="shared" si="30"/>
        <v>Normal</v>
      </c>
      <c r="X252" s="116">
        <v>1.2633966198553479</v>
      </c>
      <c r="Y252" s="91">
        <v>89.677666085050333</v>
      </c>
      <c r="Z252" s="39" t="str">
        <f t="shared" si="31"/>
        <v>Obesidad</v>
      </c>
    </row>
    <row r="253" spans="1:26" ht="15.75" x14ac:dyDescent="0.25">
      <c r="A253" s="33" t="s">
        <v>706</v>
      </c>
      <c r="B253" s="43">
        <v>250</v>
      </c>
      <c r="C253" s="50" t="s">
        <v>725</v>
      </c>
      <c r="D253" s="1">
        <v>1</v>
      </c>
      <c r="E253" s="1" t="s">
        <v>26</v>
      </c>
      <c r="F253" s="1">
        <v>1</v>
      </c>
      <c r="G253" s="6">
        <v>41320</v>
      </c>
      <c r="H253" s="51">
        <v>44462</v>
      </c>
      <c r="I253" s="47">
        <f t="shared" si="36"/>
        <v>8</v>
      </c>
      <c r="J253" s="1">
        <f t="shared" si="28"/>
        <v>103</v>
      </c>
      <c r="K253" s="1">
        <v>31.6</v>
      </c>
      <c r="L253" s="1">
        <v>1.1299999999999999</v>
      </c>
      <c r="M253" s="1">
        <f t="shared" si="33"/>
        <v>112.99999999999999</v>
      </c>
      <c r="N253" s="1">
        <f>103-40</f>
        <v>63</v>
      </c>
      <c r="O253" s="48">
        <f t="shared" si="34"/>
        <v>44.247787610619461</v>
      </c>
      <c r="P253" s="49">
        <f t="shared" si="35"/>
        <v>24.747435194611956</v>
      </c>
      <c r="R253" s="91">
        <v>-2.9641712613873783</v>
      </c>
      <c r="S253" s="91">
        <v>0.15174966292112738</v>
      </c>
      <c r="T253" s="39" t="str">
        <f t="shared" si="32"/>
        <v>Desnutricion</v>
      </c>
      <c r="U253" s="91">
        <v>-2.4478135726592165</v>
      </c>
      <c r="V253" s="91">
        <v>0.71863000112102082</v>
      </c>
      <c r="W253" s="39" t="str">
        <f t="shared" si="30"/>
        <v>Piernas cortas</v>
      </c>
      <c r="X253" s="116">
        <v>3.2448723337535861</v>
      </c>
      <c r="Y253" s="91">
        <v>99.941248354571584</v>
      </c>
      <c r="Z253" s="39" t="str">
        <f t="shared" si="31"/>
        <v>Obesidad</v>
      </c>
    </row>
    <row r="254" spans="1:26" ht="15.75" x14ac:dyDescent="0.25">
      <c r="A254" s="33" t="s">
        <v>706</v>
      </c>
      <c r="B254" s="43">
        <v>251</v>
      </c>
      <c r="C254" s="50" t="s">
        <v>726</v>
      </c>
      <c r="D254" s="1">
        <v>1</v>
      </c>
      <c r="E254" s="1" t="s">
        <v>26</v>
      </c>
      <c r="F254" s="1">
        <v>1</v>
      </c>
      <c r="G254" s="6">
        <v>42310</v>
      </c>
      <c r="H254" s="51">
        <v>44462</v>
      </c>
      <c r="I254" s="47">
        <f t="shared" si="36"/>
        <v>5</v>
      </c>
      <c r="J254" s="1">
        <f t="shared" si="28"/>
        <v>70</v>
      </c>
      <c r="K254" s="1">
        <v>20.399999999999999</v>
      </c>
      <c r="L254" s="1">
        <v>1.1399999999999999</v>
      </c>
      <c r="M254" s="1">
        <f t="shared" si="33"/>
        <v>113.99999999999999</v>
      </c>
      <c r="N254" s="1">
        <f>101.6-40</f>
        <v>61.599999999999994</v>
      </c>
      <c r="O254" s="48">
        <f t="shared" si="34"/>
        <v>45.964912280701753</v>
      </c>
      <c r="P254" s="49">
        <f t="shared" si="35"/>
        <v>15.697137580794092</v>
      </c>
      <c r="R254" s="91">
        <v>-0.19615046250424198</v>
      </c>
      <c r="S254" s="91">
        <v>42.224619998627603</v>
      </c>
      <c r="T254" s="39" t="str">
        <f t="shared" si="32"/>
        <v>Normal</v>
      </c>
      <c r="U254" s="91">
        <v>9.0132146339575656E-3</v>
      </c>
      <c r="V254" s="91">
        <v>50.359570371510017</v>
      </c>
      <c r="W254" s="39" t="str">
        <f t="shared" si="30"/>
        <v>Normal</v>
      </c>
      <c r="X254" s="116">
        <v>0.30262892377675205</v>
      </c>
      <c r="Y254" s="91">
        <v>61.891366525545081</v>
      </c>
      <c r="Z254" s="39" t="str">
        <f t="shared" si="31"/>
        <v>Normal</v>
      </c>
    </row>
    <row r="255" spans="1:26" ht="15.75" x14ac:dyDescent="0.25">
      <c r="A255" s="33" t="s">
        <v>706</v>
      </c>
      <c r="B255" s="43">
        <v>252</v>
      </c>
      <c r="C255" s="50" t="s">
        <v>727</v>
      </c>
      <c r="D255" s="1">
        <v>1</v>
      </c>
      <c r="E255" s="1" t="s">
        <v>26</v>
      </c>
      <c r="F255" s="1">
        <v>2</v>
      </c>
      <c r="G255" s="6">
        <v>42055</v>
      </c>
      <c r="H255" s="51">
        <v>44462</v>
      </c>
      <c r="I255" s="47">
        <f t="shared" si="36"/>
        <v>6</v>
      </c>
      <c r="J255" s="1">
        <f t="shared" si="28"/>
        <v>79</v>
      </c>
      <c r="K255" s="1">
        <v>24.3</v>
      </c>
      <c r="L255" s="1">
        <v>1.19</v>
      </c>
      <c r="M255" s="1">
        <f t="shared" si="33"/>
        <v>119</v>
      </c>
      <c r="N255" s="1">
        <f>106-40</f>
        <v>66</v>
      </c>
      <c r="O255" s="48">
        <f t="shared" si="34"/>
        <v>44.537815126050425</v>
      </c>
      <c r="P255" s="49">
        <f t="shared" si="35"/>
        <v>17.159805098509995</v>
      </c>
      <c r="R255" s="91">
        <v>0.10350699086469869</v>
      </c>
      <c r="S255" s="91">
        <v>54.121969930478109</v>
      </c>
      <c r="T255" s="39" t="str">
        <f t="shared" si="32"/>
        <v>Normal</v>
      </c>
      <c r="U255" s="91">
        <v>-1.6185689939979411</v>
      </c>
      <c r="V255" s="91">
        <v>5.2770015432088053</v>
      </c>
      <c r="W255" s="39" t="str">
        <f t="shared" si="30"/>
        <v>Normal</v>
      </c>
      <c r="X255" s="116">
        <v>1.0027095488519284</v>
      </c>
      <c r="Y255" s="91">
        <v>84.19994893356629</v>
      </c>
      <c r="Z255" s="39" t="str">
        <f t="shared" si="31"/>
        <v>Normal</v>
      </c>
    </row>
    <row r="256" spans="1:26" ht="15.75" x14ac:dyDescent="0.25">
      <c r="A256" s="33" t="s">
        <v>706</v>
      </c>
      <c r="B256" s="43">
        <v>253</v>
      </c>
      <c r="C256" s="50" t="s">
        <v>728</v>
      </c>
      <c r="D256" s="1">
        <v>1</v>
      </c>
      <c r="E256" s="1" t="s">
        <v>26</v>
      </c>
      <c r="F256" s="1">
        <v>2</v>
      </c>
      <c r="G256" s="6">
        <v>42085</v>
      </c>
      <c r="H256" s="51">
        <v>44462</v>
      </c>
      <c r="I256" s="47">
        <f t="shared" si="36"/>
        <v>6</v>
      </c>
      <c r="J256" s="1">
        <f t="shared" si="28"/>
        <v>78</v>
      </c>
      <c r="K256" s="1">
        <v>19.899999999999999</v>
      </c>
      <c r="L256" s="1">
        <v>1.1299999999999999</v>
      </c>
      <c r="M256" s="1">
        <f t="shared" si="33"/>
        <v>112.99999999999999</v>
      </c>
      <c r="N256" s="1">
        <f>102.5-40</f>
        <v>62.5</v>
      </c>
      <c r="O256" s="48">
        <f t="shared" si="34"/>
        <v>44.690265486725657</v>
      </c>
      <c r="P256" s="49">
        <f t="shared" si="35"/>
        <v>15.584618999138542</v>
      </c>
      <c r="R256" s="91">
        <v>-0.93974998814578248</v>
      </c>
      <c r="S256" s="91">
        <v>17.36729087369784</v>
      </c>
      <c r="T256" s="39" t="str">
        <f t="shared" si="32"/>
        <v>Normal</v>
      </c>
      <c r="U256" s="91">
        <v>-1.5113243100648266</v>
      </c>
      <c r="V256" s="91">
        <v>6.5352921574870004</v>
      </c>
      <c r="W256" s="39" t="str">
        <f t="shared" si="30"/>
        <v>Normal</v>
      </c>
      <c r="X256" s="116">
        <v>0.16191835111046779</v>
      </c>
      <c r="Y256" s="91">
        <v>56.431492429168351</v>
      </c>
      <c r="Z256" s="39" t="str">
        <f t="shared" si="31"/>
        <v>Normal</v>
      </c>
    </row>
    <row r="257" spans="1:26" ht="15.75" x14ac:dyDescent="0.25">
      <c r="A257" s="33" t="s">
        <v>706</v>
      </c>
      <c r="B257" s="43">
        <v>254</v>
      </c>
      <c r="C257" s="50" t="s">
        <v>799</v>
      </c>
      <c r="D257" s="1">
        <v>1</v>
      </c>
      <c r="E257" s="1" t="s">
        <v>26</v>
      </c>
      <c r="F257" s="1">
        <v>2</v>
      </c>
      <c r="G257" s="6">
        <v>40618</v>
      </c>
      <c r="H257" s="51">
        <v>44462</v>
      </c>
      <c r="I257" s="47">
        <f t="shared" si="36"/>
        <v>10</v>
      </c>
      <c r="J257" s="1">
        <f t="shared" si="28"/>
        <v>126</v>
      </c>
      <c r="K257" s="1">
        <v>33.9</v>
      </c>
      <c r="L257" s="1">
        <v>1.34</v>
      </c>
      <c r="M257" s="1">
        <f t="shared" si="33"/>
        <v>134</v>
      </c>
      <c r="N257" s="1">
        <f>111.2-40</f>
        <v>71.2</v>
      </c>
      <c r="O257" s="48">
        <f t="shared" si="34"/>
        <v>46.865671641791039</v>
      </c>
      <c r="P257" s="49">
        <f t="shared" si="35"/>
        <v>18.879483181109375</v>
      </c>
      <c r="R257" s="91">
        <v>-1.1934623643046909</v>
      </c>
      <c r="S257" s="91">
        <v>11.634417164410845</v>
      </c>
      <c r="T257" s="39" t="str">
        <f t="shared" si="32"/>
        <v>Normal</v>
      </c>
      <c r="U257" s="91">
        <v>-1.1405543671422154</v>
      </c>
      <c r="V257" s="91">
        <v>12.702770805687818</v>
      </c>
      <c r="W257" s="39" t="str">
        <f t="shared" si="30"/>
        <v>Normal</v>
      </c>
      <c r="X257" s="116">
        <v>0.80966898864579495</v>
      </c>
      <c r="Y257" s="91">
        <v>79.09347770091793</v>
      </c>
      <c r="Z257" s="39" t="str">
        <f t="shared" si="31"/>
        <v>Normal</v>
      </c>
    </row>
    <row r="258" spans="1:26" ht="15.75" x14ac:dyDescent="0.25">
      <c r="A258" s="33" t="s">
        <v>706</v>
      </c>
      <c r="B258" s="43">
        <v>255</v>
      </c>
      <c r="C258" s="50" t="s">
        <v>800</v>
      </c>
      <c r="D258" s="1">
        <v>1</v>
      </c>
      <c r="E258" s="1" t="s">
        <v>26</v>
      </c>
      <c r="F258" s="1">
        <v>1</v>
      </c>
      <c r="G258" s="6">
        <v>42194</v>
      </c>
      <c r="H258" s="51">
        <v>44462</v>
      </c>
      <c r="I258" s="47">
        <f t="shared" si="36"/>
        <v>6</v>
      </c>
      <c r="J258" s="1">
        <f t="shared" si="28"/>
        <v>74</v>
      </c>
      <c r="K258" s="1">
        <v>22.2</v>
      </c>
      <c r="L258" s="1">
        <v>1.1399999999999999</v>
      </c>
      <c r="M258" s="1">
        <f t="shared" si="33"/>
        <v>113.99999999999999</v>
      </c>
      <c r="N258" s="1">
        <f>102.8-40</f>
        <v>62.8</v>
      </c>
      <c r="O258" s="48">
        <f t="shared" si="34"/>
        <v>44.912280701754383</v>
      </c>
      <c r="P258" s="49">
        <f t="shared" si="35"/>
        <v>17.082179132040629</v>
      </c>
      <c r="R258" s="91">
        <v>-0.58814659874371178</v>
      </c>
      <c r="S258" s="91">
        <v>27.821694877581315</v>
      </c>
      <c r="T258" s="39" t="str">
        <f t="shared" si="32"/>
        <v>Normal</v>
      </c>
      <c r="U258" s="91">
        <v>-1.181548552597488</v>
      </c>
      <c r="V258" s="91">
        <v>11.869243876403855</v>
      </c>
      <c r="W258" s="39" t="str">
        <f t="shared" si="30"/>
        <v>Normal</v>
      </c>
      <c r="X258" s="116">
        <v>1.1722033972577941</v>
      </c>
      <c r="Y258" s="91">
        <v>87.944229760308929</v>
      </c>
      <c r="Z258" s="39" t="str">
        <f t="shared" si="31"/>
        <v>Obesidad</v>
      </c>
    </row>
    <row r="259" spans="1:26" ht="15.75" x14ac:dyDescent="0.25">
      <c r="A259" s="33" t="s">
        <v>706</v>
      </c>
      <c r="B259" s="43">
        <v>256</v>
      </c>
      <c r="C259" s="50" t="s">
        <v>729</v>
      </c>
      <c r="D259" s="1">
        <v>1</v>
      </c>
      <c r="E259" s="1" t="s">
        <v>26</v>
      </c>
      <c r="F259" s="1">
        <v>2</v>
      </c>
      <c r="G259" s="6">
        <v>42032</v>
      </c>
      <c r="H259" s="51">
        <v>44462</v>
      </c>
      <c r="I259" s="47">
        <f t="shared" si="36"/>
        <v>6</v>
      </c>
      <c r="J259" s="1">
        <f t="shared" si="28"/>
        <v>79</v>
      </c>
      <c r="K259" s="1">
        <v>21.9</v>
      </c>
      <c r="L259" s="1">
        <v>1.18</v>
      </c>
      <c r="M259" s="1">
        <f t="shared" si="33"/>
        <v>118</v>
      </c>
      <c r="N259" s="1">
        <f>104-40</f>
        <v>64</v>
      </c>
      <c r="O259" s="48">
        <f t="shared" si="34"/>
        <v>45.762711864406782</v>
      </c>
      <c r="P259" s="49">
        <f t="shared" si="35"/>
        <v>15.728239011778225</v>
      </c>
      <c r="R259" s="91">
        <v>-8.4311900198080145E-2</v>
      </c>
      <c r="S259" s="91">
        <v>46.640422555109453</v>
      </c>
      <c r="T259" s="39" t="str">
        <f t="shared" si="32"/>
        <v>Normal</v>
      </c>
      <c r="U259" s="91">
        <v>-0.76793832504086779</v>
      </c>
      <c r="V259" s="91">
        <v>22.126191350594475</v>
      </c>
      <c r="W259" s="39" t="str">
        <f t="shared" si="30"/>
        <v>Normal</v>
      </c>
      <c r="X259" s="116">
        <v>0.23933530533313635</v>
      </c>
      <c r="Y259" s="91">
        <v>59.457720446804998</v>
      </c>
      <c r="Z259" s="39" t="str">
        <f t="shared" si="31"/>
        <v>Normal</v>
      </c>
    </row>
    <row r="260" spans="1:26" ht="15.75" x14ac:dyDescent="0.25">
      <c r="A260" s="33" t="s">
        <v>706</v>
      </c>
      <c r="B260" s="43">
        <v>257</v>
      </c>
      <c r="C260" s="50" t="s">
        <v>730</v>
      </c>
      <c r="D260" s="1">
        <v>2</v>
      </c>
      <c r="E260" s="1" t="s">
        <v>7</v>
      </c>
      <c r="F260" s="1">
        <v>1</v>
      </c>
      <c r="G260" s="6">
        <v>41914</v>
      </c>
      <c r="H260" s="51">
        <v>44462</v>
      </c>
      <c r="I260" s="47">
        <f t="shared" si="36"/>
        <v>6</v>
      </c>
      <c r="J260" s="1">
        <f t="shared" ref="J260:J287" si="37">DATEDIF(G260,H260,"m")</f>
        <v>83</v>
      </c>
      <c r="K260" s="1">
        <v>21.7</v>
      </c>
      <c r="L260" s="1">
        <v>1.19</v>
      </c>
      <c r="M260" s="1">
        <f t="shared" si="33"/>
        <v>119</v>
      </c>
      <c r="N260" s="1">
        <f>104-40</f>
        <v>64</v>
      </c>
      <c r="O260" s="48">
        <f t="shared" si="34"/>
        <v>46.218487394957982</v>
      </c>
      <c r="P260" s="49">
        <f t="shared" si="35"/>
        <v>15.32377656945131</v>
      </c>
      <c r="R260" s="91">
        <v>-0.43010787585030746</v>
      </c>
      <c r="S260" s="91">
        <v>33.355858559162158</v>
      </c>
      <c r="T260" s="39" t="str">
        <f t="shared" si="32"/>
        <v>Normal</v>
      </c>
      <c r="U260" s="91">
        <v>-0.33647165986643079</v>
      </c>
      <c r="V260" s="91">
        <v>36.825760959223956</v>
      </c>
      <c r="W260" s="39" t="str">
        <f t="shared" ref="W260:W287" si="38">IF(U260&lt;-1.645,"Piernas cortas",IF(AND(U260&gt;=-1.645,U260&lt;=1.645),"Normal",IF(U260&gt;1.645,"Piernas largas")))</f>
        <v>Normal</v>
      </c>
      <c r="X260" s="116">
        <v>-0.10213159308062368</v>
      </c>
      <c r="Y260" s="91">
        <v>45.932611223513739</v>
      </c>
      <c r="Z260" s="39" t="str">
        <f t="shared" ref="Z260:Z287" si="39">IF(Y260&lt;5,"Desnutricion",IF(AND(Y260&gt;=5,Y260&lt;15),"Bajo Peso",IF(AND(Y260&gt;=15,Y260&lt;=85),"Normal",IF(Y260&gt;85,"Obesidad"))))</f>
        <v>Normal</v>
      </c>
    </row>
    <row r="261" spans="1:26" ht="15.75" x14ac:dyDescent="0.25">
      <c r="A261" s="33" t="s">
        <v>706</v>
      </c>
      <c r="B261" s="43">
        <v>258</v>
      </c>
      <c r="C261" s="50" t="s">
        <v>731</v>
      </c>
      <c r="D261" s="1">
        <v>2</v>
      </c>
      <c r="E261" s="1" t="s">
        <v>7</v>
      </c>
      <c r="F261" s="1">
        <v>1</v>
      </c>
      <c r="G261" s="6">
        <v>41909</v>
      </c>
      <c r="H261" s="51">
        <v>44462</v>
      </c>
      <c r="I261" s="47">
        <f t="shared" si="36"/>
        <v>6</v>
      </c>
      <c r="J261" s="1">
        <f t="shared" si="37"/>
        <v>83</v>
      </c>
      <c r="K261" s="1">
        <v>26.6</v>
      </c>
      <c r="L261" s="1">
        <v>1.25</v>
      </c>
      <c r="M261" s="1">
        <f t="shared" si="33"/>
        <v>125</v>
      </c>
      <c r="N261" s="1">
        <f>106.7-40</f>
        <v>66.7</v>
      </c>
      <c r="O261" s="48">
        <f t="shared" si="34"/>
        <v>46.64</v>
      </c>
      <c r="P261" s="49">
        <f t="shared" si="35"/>
        <v>17.024000000000001</v>
      </c>
      <c r="R261" s="91">
        <v>0.71156937379658669</v>
      </c>
      <c r="S261" s="91">
        <v>76.163426119887006</v>
      </c>
      <c r="T261" s="39" t="str">
        <f t="shared" ref="T261:T287" si="40">IF(R261&lt;-1.645,"Desnutricion",IF(AND(R261&gt;=-1.645,R261&lt;=1.645),"Normal",IF(R261&gt;1.645,"Alto")))</f>
        <v>Normal</v>
      </c>
      <c r="U261" s="91">
        <v>-6.929275923827885E-2</v>
      </c>
      <c r="V261" s="91">
        <v>47.237829458836153</v>
      </c>
      <c r="W261" s="39" t="str">
        <f t="shared" si="38"/>
        <v>Normal</v>
      </c>
      <c r="X261" s="116">
        <v>1.0030463194225108</v>
      </c>
      <c r="Y261" s="91">
        <v>84.208074343639439</v>
      </c>
      <c r="Z261" s="39" t="str">
        <f t="shared" si="39"/>
        <v>Normal</v>
      </c>
    </row>
    <row r="262" spans="1:26" ht="15.75" x14ac:dyDescent="0.25">
      <c r="A262" s="33" t="s">
        <v>706</v>
      </c>
      <c r="B262" s="43">
        <v>259</v>
      </c>
      <c r="C262" s="50" t="s">
        <v>732</v>
      </c>
      <c r="D262" s="1">
        <v>2</v>
      </c>
      <c r="E262" s="1" t="s">
        <v>7</v>
      </c>
      <c r="F262" s="1">
        <v>1</v>
      </c>
      <c r="G262" s="6">
        <v>41794</v>
      </c>
      <c r="H262" s="51">
        <v>44462</v>
      </c>
      <c r="I262" s="47">
        <f t="shared" si="36"/>
        <v>7</v>
      </c>
      <c r="J262" s="1">
        <f t="shared" si="37"/>
        <v>87</v>
      </c>
      <c r="K262" s="1">
        <v>23.1</v>
      </c>
      <c r="L262" s="1">
        <v>1.25</v>
      </c>
      <c r="M262" s="1">
        <f t="shared" si="33"/>
        <v>125</v>
      </c>
      <c r="N262" s="1">
        <f>106.4-40</f>
        <v>66.400000000000006</v>
      </c>
      <c r="O262" s="48">
        <f t="shared" si="34"/>
        <v>46.879999999999995</v>
      </c>
      <c r="P262" s="49">
        <f t="shared" si="35"/>
        <v>14.784000000000001</v>
      </c>
      <c r="R262" s="91">
        <v>0.34541578607697576</v>
      </c>
      <c r="S262" s="91">
        <v>63.51090944522123</v>
      </c>
      <c r="T262" s="39" t="str">
        <f t="shared" si="40"/>
        <v>Normal</v>
      </c>
      <c r="U262" s="91">
        <v>-0.30241293823836507</v>
      </c>
      <c r="V262" s="91">
        <v>38.116864646111971</v>
      </c>
      <c r="W262" s="39" t="str">
        <f t="shared" si="38"/>
        <v>Normal</v>
      </c>
      <c r="X262" s="116">
        <v>-0.56208902417312812</v>
      </c>
      <c r="Y262" s="91">
        <v>28.702768304048575</v>
      </c>
      <c r="Z262" s="39" t="str">
        <f t="shared" si="39"/>
        <v>Normal</v>
      </c>
    </row>
    <row r="263" spans="1:26" ht="15.75" x14ac:dyDescent="0.25">
      <c r="A263" s="33" t="s">
        <v>706</v>
      </c>
      <c r="B263" s="43">
        <v>260</v>
      </c>
      <c r="C263" s="50" t="s">
        <v>801</v>
      </c>
      <c r="D263" s="1">
        <v>2</v>
      </c>
      <c r="E263" s="1" t="s">
        <v>7</v>
      </c>
      <c r="F263" s="1">
        <v>2</v>
      </c>
      <c r="G263" s="6">
        <v>41657</v>
      </c>
      <c r="H263" s="51">
        <v>44462</v>
      </c>
      <c r="I263" s="47">
        <f t="shared" si="36"/>
        <v>7</v>
      </c>
      <c r="J263" s="1">
        <f t="shared" si="37"/>
        <v>92</v>
      </c>
      <c r="K263" s="1">
        <v>26.2</v>
      </c>
      <c r="L263" s="1">
        <v>1.1399999999999999</v>
      </c>
      <c r="M263" s="1">
        <f t="shared" si="33"/>
        <v>113.99999999999999</v>
      </c>
      <c r="N263" s="1">
        <f>102.8-40</f>
        <v>62.8</v>
      </c>
      <c r="O263" s="48">
        <f t="shared" si="34"/>
        <v>44.912280701754383</v>
      </c>
      <c r="P263" s="49">
        <f t="shared" si="35"/>
        <v>20.160049245921822</v>
      </c>
      <c r="R263" s="91">
        <v>-1.8673389527508482</v>
      </c>
      <c r="S263" s="91">
        <v>3.0927134507507263</v>
      </c>
      <c r="T263" s="39" t="str">
        <f t="shared" si="40"/>
        <v>Desnutricion</v>
      </c>
      <c r="U263" s="91">
        <v>-1.8658525119138842</v>
      </c>
      <c r="V263" s="91">
        <v>3.1031001558232698</v>
      </c>
      <c r="W263" s="39" t="str">
        <f t="shared" si="38"/>
        <v>Piernas cortas</v>
      </c>
      <c r="X263" s="116">
        <v>1.9623017038697643</v>
      </c>
      <c r="Y263" s="91">
        <v>97.51363155182969</v>
      </c>
      <c r="Z263" s="39" t="str">
        <f t="shared" si="39"/>
        <v>Obesidad</v>
      </c>
    </row>
    <row r="264" spans="1:26" ht="15.75" x14ac:dyDescent="0.25">
      <c r="A264" s="33" t="s">
        <v>706</v>
      </c>
      <c r="B264" s="43">
        <v>261</v>
      </c>
      <c r="C264" s="50" t="s">
        <v>802</v>
      </c>
      <c r="D264" s="1">
        <v>2</v>
      </c>
      <c r="E264" s="1" t="s">
        <v>7</v>
      </c>
      <c r="F264" s="1">
        <v>2</v>
      </c>
      <c r="G264" s="6">
        <v>41701</v>
      </c>
      <c r="H264" s="51">
        <v>44462</v>
      </c>
      <c r="I264" s="47">
        <f t="shared" si="36"/>
        <v>7</v>
      </c>
      <c r="J264" s="1">
        <f t="shared" si="37"/>
        <v>90</v>
      </c>
      <c r="K264" s="1">
        <v>21.4</v>
      </c>
      <c r="L264" s="1">
        <v>1.24</v>
      </c>
      <c r="M264" s="1">
        <f t="shared" si="33"/>
        <v>124</v>
      </c>
      <c r="N264" s="1">
        <f>107.7-40</f>
        <v>67.7</v>
      </c>
      <c r="O264" s="48">
        <f t="shared" si="34"/>
        <v>45.403225806451609</v>
      </c>
      <c r="P264" s="49">
        <f t="shared" si="35"/>
        <v>13.917793964620186</v>
      </c>
      <c r="R264" s="91">
        <v>5.9529734521651598E-2</v>
      </c>
      <c r="S264" s="91">
        <v>52.37349086287044</v>
      </c>
      <c r="T264" s="39" t="str">
        <f t="shared" si="40"/>
        <v>Normal</v>
      </c>
      <c r="U264" s="91">
        <v>-1.5136019832673309</v>
      </c>
      <c r="V264" s="91">
        <v>6.5063408912232319</v>
      </c>
      <c r="W264" s="39" t="str">
        <f t="shared" si="38"/>
        <v>Normal</v>
      </c>
      <c r="X264" s="116">
        <v>-1.0666209014085866</v>
      </c>
      <c r="Y264" s="91">
        <v>14.307152911839815</v>
      </c>
      <c r="Z264" s="39" t="str">
        <f t="shared" si="39"/>
        <v>Bajo Peso</v>
      </c>
    </row>
    <row r="265" spans="1:26" ht="15.75" x14ac:dyDescent="0.25">
      <c r="A265" s="33" t="s">
        <v>706</v>
      </c>
      <c r="B265" s="43">
        <v>262</v>
      </c>
      <c r="C265" s="50" t="s">
        <v>733</v>
      </c>
      <c r="D265" s="1">
        <v>2</v>
      </c>
      <c r="E265" s="1" t="s">
        <v>7</v>
      </c>
      <c r="F265" s="1">
        <v>1</v>
      </c>
      <c r="G265" s="6">
        <v>41683</v>
      </c>
      <c r="H265" s="51">
        <v>44462</v>
      </c>
      <c r="I265" s="47">
        <f t="shared" si="36"/>
        <v>7</v>
      </c>
      <c r="J265" s="1">
        <f t="shared" si="37"/>
        <v>91</v>
      </c>
      <c r="K265" s="1">
        <v>27.7</v>
      </c>
      <c r="L265" s="1">
        <v>1.26</v>
      </c>
      <c r="M265" s="1">
        <f t="shared" si="33"/>
        <v>126</v>
      </c>
      <c r="N265" s="1">
        <f>108.2-40</f>
        <v>68.2</v>
      </c>
      <c r="O265" s="48">
        <f t="shared" si="34"/>
        <v>45.873015873015873</v>
      </c>
      <c r="P265" s="49">
        <f t="shared" si="35"/>
        <v>17.447719828672209</v>
      </c>
      <c r="R265" s="91">
        <v>0.18256096489539675</v>
      </c>
      <c r="S265" s="91">
        <v>57.242874248759904</v>
      </c>
      <c r="T265" s="39" t="str">
        <f t="shared" si="40"/>
        <v>Normal</v>
      </c>
      <c r="U265" s="91">
        <v>-0.96150531220404567</v>
      </c>
      <c r="V265" s="91">
        <v>16.814907788448117</v>
      </c>
      <c r="W265" s="39" t="str">
        <f t="shared" si="38"/>
        <v>Normal</v>
      </c>
      <c r="X265" s="116">
        <v>1.0982293771649423</v>
      </c>
      <c r="Y265" s="91">
        <v>86.394782932792211</v>
      </c>
      <c r="Z265" s="39" t="str">
        <f t="shared" si="39"/>
        <v>Obesidad</v>
      </c>
    </row>
    <row r="266" spans="1:26" ht="15.75" x14ac:dyDescent="0.25">
      <c r="A266" s="33" t="s">
        <v>706</v>
      </c>
      <c r="B266" s="43">
        <v>263</v>
      </c>
      <c r="C266" s="50" t="s">
        <v>734</v>
      </c>
      <c r="D266" s="1">
        <v>2</v>
      </c>
      <c r="E266" s="1" t="s">
        <v>7</v>
      </c>
      <c r="F266" s="1">
        <v>1</v>
      </c>
      <c r="G266" s="6">
        <v>41641</v>
      </c>
      <c r="H266" s="51">
        <v>44462</v>
      </c>
      <c r="I266" s="47">
        <f t="shared" si="36"/>
        <v>7</v>
      </c>
      <c r="J266" s="1">
        <f t="shared" si="37"/>
        <v>92</v>
      </c>
      <c r="K266" s="1">
        <v>28.5</v>
      </c>
      <c r="L266" s="1">
        <v>1.29</v>
      </c>
      <c r="M266" s="1">
        <f t="shared" si="33"/>
        <v>129</v>
      </c>
      <c r="N266" s="1">
        <f>110-40</f>
        <v>70</v>
      </c>
      <c r="O266" s="48">
        <f t="shared" si="34"/>
        <v>45.736434108527128</v>
      </c>
      <c r="P266" s="49">
        <f t="shared" si="35"/>
        <v>17.126374616910041</v>
      </c>
      <c r="R266" s="91">
        <v>0.64142628514840128</v>
      </c>
      <c r="S266" s="91">
        <v>73.937712008737137</v>
      </c>
      <c r="T266" s="39" t="str">
        <f t="shared" si="40"/>
        <v>Normal</v>
      </c>
      <c r="U266" s="91">
        <v>-1.0521021909762518</v>
      </c>
      <c r="V266" s="91">
        <v>14.6376333523082</v>
      </c>
      <c r="W266" s="39" t="str">
        <f t="shared" si="38"/>
        <v>Normal</v>
      </c>
      <c r="X266" s="116">
        <v>0.90714331160197947</v>
      </c>
      <c r="Y266" s="91">
        <v>81.783449161398366</v>
      </c>
      <c r="Z266" s="39" t="str">
        <f t="shared" si="39"/>
        <v>Normal</v>
      </c>
    </row>
    <row r="267" spans="1:26" ht="15.75" x14ac:dyDescent="0.25">
      <c r="A267" s="33" t="s">
        <v>706</v>
      </c>
      <c r="B267" s="43">
        <v>264</v>
      </c>
      <c r="C267" s="50" t="s">
        <v>735</v>
      </c>
      <c r="D267" s="1">
        <v>2</v>
      </c>
      <c r="E267" s="1" t="s">
        <v>7</v>
      </c>
      <c r="F267" s="1">
        <v>1</v>
      </c>
      <c r="G267" s="6">
        <v>41659</v>
      </c>
      <c r="H267" s="51">
        <v>44462</v>
      </c>
      <c r="I267" s="47">
        <f t="shared" si="36"/>
        <v>7</v>
      </c>
      <c r="J267" s="1">
        <f t="shared" si="37"/>
        <v>92</v>
      </c>
      <c r="K267" s="1">
        <v>24</v>
      </c>
      <c r="L267" s="1">
        <v>1.2</v>
      </c>
      <c r="M267" s="1">
        <f t="shared" si="33"/>
        <v>120</v>
      </c>
      <c r="N267" s="1">
        <f>104.6-40</f>
        <v>64.599999999999994</v>
      </c>
      <c r="O267" s="48">
        <f t="shared" si="34"/>
        <v>46.166666666666671</v>
      </c>
      <c r="P267" s="49">
        <f t="shared" si="35"/>
        <v>16.666666666666668</v>
      </c>
      <c r="R267" s="91">
        <v>-0.98678879490676707</v>
      </c>
      <c r="S267" s="91">
        <v>16.187309447769668</v>
      </c>
      <c r="T267" s="39" t="str">
        <f t="shared" si="40"/>
        <v>Normal</v>
      </c>
      <c r="U267" s="91">
        <v>-0.76770407228986415</v>
      </c>
      <c r="V267" s="91">
        <v>22.133150813768697</v>
      </c>
      <c r="W267" s="39" t="str">
        <f t="shared" si="38"/>
        <v>Normal</v>
      </c>
      <c r="X267" s="116">
        <v>0.64615228693611204</v>
      </c>
      <c r="Y267" s="91">
        <v>74.090963199138031</v>
      </c>
      <c r="Z267" s="39" t="str">
        <f t="shared" si="39"/>
        <v>Normal</v>
      </c>
    </row>
    <row r="268" spans="1:26" ht="15.75" x14ac:dyDescent="0.25">
      <c r="A268" s="33" t="s">
        <v>706</v>
      </c>
      <c r="B268" s="43">
        <v>265</v>
      </c>
      <c r="C268" s="50" t="s">
        <v>736</v>
      </c>
      <c r="D268" s="1">
        <v>2</v>
      </c>
      <c r="E268" s="1" t="s">
        <v>7</v>
      </c>
      <c r="F268" s="1">
        <v>1</v>
      </c>
      <c r="G268" s="6">
        <v>41779</v>
      </c>
      <c r="H268" s="51">
        <v>44462</v>
      </c>
      <c r="I268" s="47">
        <f t="shared" si="36"/>
        <v>7</v>
      </c>
      <c r="J268" s="1">
        <f t="shared" si="37"/>
        <v>88</v>
      </c>
      <c r="K268" s="1">
        <v>23.5</v>
      </c>
      <c r="L268" s="1">
        <v>1.22</v>
      </c>
      <c r="M268" s="1">
        <f t="shared" si="33"/>
        <v>122</v>
      </c>
      <c r="N268" s="1">
        <f>106.8-40</f>
        <v>66.8</v>
      </c>
      <c r="O268" s="48">
        <f t="shared" si="34"/>
        <v>45.245901639344268</v>
      </c>
      <c r="P268" s="49">
        <f t="shared" si="35"/>
        <v>15.788766460628864</v>
      </c>
      <c r="R268" s="91">
        <v>-0.29763256664382709</v>
      </c>
      <c r="S268" s="91">
        <v>38.29918079160219</v>
      </c>
      <c r="T268" s="39" t="str">
        <f t="shared" si="40"/>
        <v>Normal</v>
      </c>
      <c r="U268" s="91">
        <v>-1.3799050578469667</v>
      </c>
      <c r="V268" s="91">
        <v>8.3807939554342443</v>
      </c>
      <c r="W268" s="39" t="str">
        <f t="shared" si="38"/>
        <v>Normal</v>
      </c>
      <c r="X268" s="116">
        <v>0.15635259970219248</v>
      </c>
      <c r="Y268" s="91">
        <v>56.212245123015038</v>
      </c>
      <c r="Z268" s="39" t="str">
        <f t="shared" si="39"/>
        <v>Normal</v>
      </c>
    </row>
    <row r="269" spans="1:26" ht="15.75" x14ac:dyDescent="0.25">
      <c r="A269" s="33" t="s">
        <v>706</v>
      </c>
      <c r="B269" s="43">
        <v>266</v>
      </c>
      <c r="C269" s="50" t="s">
        <v>737</v>
      </c>
      <c r="D269" s="1">
        <v>2</v>
      </c>
      <c r="E269" s="1" t="s">
        <v>7</v>
      </c>
      <c r="F269" s="1">
        <v>1</v>
      </c>
      <c r="G269" s="6">
        <v>41738</v>
      </c>
      <c r="H269" s="51">
        <v>44462</v>
      </c>
      <c r="I269" s="47">
        <f t="shared" si="36"/>
        <v>7</v>
      </c>
      <c r="J269" s="1">
        <f t="shared" si="37"/>
        <v>89</v>
      </c>
      <c r="K269" s="1">
        <v>23.4</v>
      </c>
      <c r="L269" s="1">
        <v>1.24</v>
      </c>
      <c r="M269" s="1">
        <f t="shared" ref="M269:M287" si="41">L269*100</f>
        <v>124</v>
      </c>
      <c r="N269" s="1">
        <f>108-40</f>
        <v>68</v>
      </c>
      <c r="O269" s="48">
        <f t="shared" ref="O269:O287" si="42">((M269-N269)/M269)*100</f>
        <v>45.161290322580641</v>
      </c>
      <c r="P269" s="49">
        <f t="shared" ref="P269:P287" si="43">K269/(L269*L269)</f>
        <v>15.218522372528614</v>
      </c>
      <c r="R269" s="91">
        <v>-1.3537113107981802E-2</v>
      </c>
      <c r="S269" s="91">
        <v>49.459963816629269</v>
      </c>
      <c r="T269" s="39" t="str">
        <f t="shared" si="40"/>
        <v>Normal</v>
      </c>
      <c r="U269" s="91">
        <v>-1.4368351236487285</v>
      </c>
      <c r="V269" s="91">
        <v>7.5382423820954738</v>
      </c>
      <c r="W269" s="39" t="str">
        <f t="shared" si="38"/>
        <v>Normal</v>
      </c>
      <c r="X269" s="116">
        <v>-0.25879387859941688</v>
      </c>
      <c r="Y269" s="91">
        <v>39.7897140596897</v>
      </c>
      <c r="Z269" s="39" t="str">
        <f t="shared" si="39"/>
        <v>Normal</v>
      </c>
    </row>
    <row r="270" spans="1:26" ht="15.75" x14ac:dyDescent="0.25">
      <c r="A270" s="33" t="s">
        <v>706</v>
      </c>
      <c r="B270" s="43">
        <v>267</v>
      </c>
      <c r="C270" s="50" t="s">
        <v>738</v>
      </c>
      <c r="D270" s="1">
        <v>2</v>
      </c>
      <c r="E270" s="1" t="s">
        <v>7</v>
      </c>
      <c r="F270" s="1">
        <v>1</v>
      </c>
      <c r="G270" s="6">
        <v>41660</v>
      </c>
      <c r="H270" s="51">
        <v>44462</v>
      </c>
      <c r="I270" s="47">
        <f t="shared" si="36"/>
        <v>7</v>
      </c>
      <c r="J270" s="1">
        <f t="shared" si="37"/>
        <v>92</v>
      </c>
      <c r="K270" s="1">
        <v>21.8</v>
      </c>
      <c r="L270" s="1">
        <v>1.21</v>
      </c>
      <c r="M270" s="1">
        <f t="shared" si="41"/>
        <v>121</v>
      </c>
      <c r="N270" s="1">
        <f>104.6-40</f>
        <v>64.599999999999994</v>
      </c>
      <c r="O270" s="48">
        <f t="shared" si="42"/>
        <v>46.611570247933884</v>
      </c>
      <c r="P270" s="49">
        <f t="shared" si="43"/>
        <v>14.889693326958541</v>
      </c>
      <c r="R270" s="91">
        <v>-0.80587600823397054</v>
      </c>
      <c r="S270" s="91">
        <v>21.015717306019923</v>
      </c>
      <c r="T270" s="39" t="str">
        <f t="shared" si="40"/>
        <v>Normal</v>
      </c>
      <c r="U270" s="91">
        <v>-0.47660106212495235</v>
      </c>
      <c r="V270" s="91">
        <v>31.682311347311444</v>
      </c>
      <c r="W270" s="39" t="str">
        <f t="shared" si="38"/>
        <v>Normal</v>
      </c>
      <c r="X270" s="116">
        <v>-0.54734735625674857</v>
      </c>
      <c r="Y270" s="91">
        <v>29.207005752545967</v>
      </c>
      <c r="Z270" s="39" t="str">
        <f t="shared" si="39"/>
        <v>Normal</v>
      </c>
    </row>
    <row r="271" spans="1:26" ht="15.75" x14ac:dyDescent="0.25">
      <c r="A271" s="33" t="s">
        <v>706</v>
      </c>
      <c r="B271" s="43">
        <v>268</v>
      </c>
      <c r="C271" s="50" t="s">
        <v>803</v>
      </c>
      <c r="D271" s="1">
        <v>2</v>
      </c>
      <c r="E271" s="1" t="s">
        <v>7</v>
      </c>
      <c r="F271" s="1">
        <v>2</v>
      </c>
      <c r="G271" s="6">
        <v>41683</v>
      </c>
      <c r="H271" s="51">
        <v>44462</v>
      </c>
      <c r="I271" s="47">
        <f t="shared" si="36"/>
        <v>7</v>
      </c>
      <c r="J271" s="1">
        <f t="shared" si="37"/>
        <v>91</v>
      </c>
      <c r="K271" s="1">
        <v>21.6</v>
      </c>
      <c r="L271" s="1">
        <v>1.19</v>
      </c>
      <c r="M271" s="1">
        <f t="shared" si="41"/>
        <v>119</v>
      </c>
      <c r="N271" s="1">
        <f>103.8-40</f>
        <v>63.8</v>
      </c>
      <c r="O271" s="48">
        <f t="shared" si="42"/>
        <v>46.386554621848738</v>
      </c>
      <c r="P271" s="49">
        <f t="shared" si="43"/>
        <v>15.253160087564439</v>
      </c>
      <c r="R271" s="91">
        <v>-0.90839489847226518</v>
      </c>
      <c r="S271" s="91">
        <v>18.183481004523692</v>
      </c>
      <c r="T271" s="39" t="str">
        <f t="shared" si="40"/>
        <v>Normal</v>
      </c>
      <c r="U271" s="91">
        <v>-0.82032277502037976</v>
      </c>
      <c r="V271" s="91">
        <v>20.601606314533594</v>
      </c>
      <c r="W271" s="39" t="str">
        <f t="shared" si="38"/>
        <v>Normal</v>
      </c>
      <c r="X271" s="116">
        <v>-0.17502505047015582</v>
      </c>
      <c r="Y271" s="91">
        <v>43.052997498494825</v>
      </c>
      <c r="Z271" s="39" t="str">
        <f t="shared" si="39"/>
        <v>Normal</v>
      </c>
    </row>
    <row r="272" spans="1:26" ht="15.75" x14ac:dyDescent="0.25">
      <c r="A272" s="33" t="s">
        <v>706</v>
      </c>
      <c r="B272" s="43">
        <v>269</v>
      </c>
      <c r="C272" s="50" t="s">
        <v>739</v>
      </c>
      <c r="D272" s="1">
        <v>2</v>
      </c>
      <c r="E272" s="1" t="s">
        <v>7</v>
      </c>
      <c r="F272" s="1">
        <v>2</v>
      </c>
      <c r="G272" s="6">
        <v>41794</v>
      </c>
      <c r="H272" s="51">
        <v>44462</v>
      </c>
      <c r="I272" s="47">
        <f t="shared" si="36"/>
        <v>7</v>
      </c>
      <c r="J272" s="1">
        <f t="shared" si="37"/>
        <v>87</v>
      </c>
      <c r="K272" s="1">
        <v>23.7</v>
      </c>
      <c r="L272" s="1">
        <v>1.2</v>
      </c>
      <c r="M272" s="1">
        <f t="shared" si="41"/>
        <v>120</v>
      </c>
      <c r="N272" s="1">
        <f>106-40</f>
        <v>66</v>
      </c>
      <c r="O272" s="48">
        <f t="shared" si="42"/>
        <v>45</v>
      </c>
      <c r="P272" s="49">
        <f t="shared" si="43"/>
        <v>16.458333333333332</v>
      </c>
      <c r="R272" s="91">
        <v>-0.40235170258089481</v>
      </c>
      <c r="S272" s="91">
        <v>34.371260456426327</v>
      </c>
      <c r="T272" s="39" t="str">
        <f t="shared" si="40"/>
        <v>Normal</v>
      </c>
      <c r="U272" s="91">
        <v>-1.8026090130241887</v>
      </c>
      <c r="V272" s="91">
        <v>3.5724820266997503</v>
      </c>
      <c r="W272" s="39" t="str">
        <f t="shared" si="38"/>
        <v>Piernas cortas</v>
      </c>
      <c r="X272" s="116">
        <v>0.55270601657458329</v>
      </c>
      <c r="Y272" s="91">
        <v>70.976763359448285</v>
      </c>
      <c r="Z272" s="39" t="str">
        <f t="shared" si="39"/>
        <v>Normal</v>
      </c>
    </row>
    <row r="273" spans="1:26" ht="15.75" x14ac:dyDescent="0.25">
      <c r="A273" s="33" t="s">
        <v>706</v>
      </c>
      <c r="B273" s="43">
        <v>270</v>
      </c>
      <c r="C273" s="50" t="s">
        <v>740</v>
      </c>
      <c r="D273" s="1">
        <v>2</v>
      </c>
      <c r="E273" s="1" t="s">
        <v>7</v>
      </c>
      <c r="F273" s="1">
        <v>2</v>
      </c>
      <c r="G273" s="6">
        <v>41587</v>
      </c>
      <c r="H273" s="51">
        <v>44462</v>
      </c>
      <c r="I273" s="47">
        <f t="shared" si="36"/>
        <v>7</v>
      </c>
      <c r="J273" s="1">
        <f t="shared" si="37"/>
        <v>94</v>
      </c>
      <c r="K273" s="1">
        <v>21.7</v>
      </c>
      <c r="L273" s="1">
        <v>1.27</v>
      </c>
      <c r="M273" s="1">
        <f t="shared" si="41"/>
        <v>127</v>
      </c>
      <c r="N273" s="1">
        <f>108.2-40</f>
        <v>68.2</v>
      </c>
      <c r="O273" s="48">
        <f t="shared" si="42"/>
        <v>46.299212598425193</v>
      </c>
      <c r="P273" s="49">
        <f t="shared" si="43"/>
        <v>13.454026908053816</v>
      </c>
      <c r="R273" s="91">
        <v>0.24605225785309945</v>
      </c>
      <c r="S273" s="91">
        <v>59.717911011954698</v>
      </c>
      <c r="T273" s="39" t="str">
        <f t="shared" si="40"/>
        <v>Normal</v>
      </c>
      <c r="U273" s="91">
        <v>-0.88125409904892604</v>
      </c>
      <c r="V273" s="91">
        <v>18.909015198962091</v>
      </c>
      <c r="W273" s="39" t="str">
        <f t="shared" si="38"/>
        <v>Normal</v>
      </c>
      <c r="X273" s="116">
        <v>-1.481927684480675</v>
      </c>
      <c r="Y273" s="91">
        <v>6.9179768901526426</v>
      </c>
      <c r="Z273" s="39" t="str">
        <f>IF(Y273&lt;5,"Desnutricion",IF(AND(Y273&gt;=5,Y273&lt;15),"Bajo Peso",IF(AND(Y273&gt;=15,Y273&lt;=85),"Normal",IF(Y273&gt;85,"Obesidad"))))</f>
        <v>Bajo Peso</v>
      </c>
    </row>
    <row r="274" spans="1:26" ht="15.75" x14ac:dyDescent="0.25">
      <c r="A274" s="33" t="s">
        <v>706</v>
      </c>
      <c r="B274" s="43">
        <v>271</v>
      </c>
      <c r="C274" s="50" t="s">
        <v>741</v>
      </c>
      <c r="D274" s="1">
        <v>2</v>
      </c>
      <c r="E274" s="1" t="s">
        <v>26</v>
      </c>
      <c r="F274" s="1">
        <v>1</v>
      </c>
      <c r="G274" s="6">
        <v>41994</v>
      </c>
      <c r="H274" s="51">
        <v>44462</v>
      </c>
      <c r="I274" s="47">
        <f t="shared" si="36"/>
        <v>6</v>
      </c>
      <c r="J274" s="1">
        <f t="shared" si="37"/>
        <v>81</v>
      </c>
      <c r="K274" s="1">
        <v>24</v>
      </c>
      <c r="L274" s="1">
        <v>1.18</v>
      </c>
      <c r="M274" s="1">
        <f t="shared" si="41"/>
        <v>118</v>
      </c>
      <c r="N274" s="1">
        <f>104-40</f>
        <v>64</v>
      </c>
      <c r="O274" s="48">
        <f t="shared" si="42"/>
        <v>45.762711864406782</v>
      </c>
      <c r="P274" s="49">
        <f t="shared" si="43"/>
        <v>17.236426314277509</v>
      </c>
      <c r="R274" s="91">
        <v>-0.44437634117413966</v>
      </c>
      <c r="S274" s="91">
        <v>32.838525779916296</v>
      </c>
      <c r="T274" s="39" t="str">
        <f t="shared" si="40"/>
        <v>Normal</v>
      </c>
      <c r="U274" s="91">
        <v>-0.62836388161339807</v>
      </c>
      <c r="V274" s="91">
        <v>26.488279609456406</v>
      </c>
      <c r="W274" s="39" t="str">
        <f t="shared" si="38"/>
        <v>Normal</v>
      </c>
      <c r="X274" s="116">
        <v>1.1573150377264163</v>
      </c>
      <c r="Y274" s="91">
        <v>87.642816404559312</v>
      </c>
      <c r="Z274" s="39" t="str">
        <f t="shared" si="39"/>
        <v>Obesidad</v>
      </c>
    </row>
    <row r="275" spans="1:26" ht="15.75" x14ac:dyDescent="0.25">
      <c r="A275" s="33" t="s">
        <v>706</v>
      </c>
      <c r="B275" s="43">
        <v>272</v>
      </c>
      <c r="C275" s="50" t="s">
        <v>742</v>
      </c>
      <c r="D275" s="1">
        <v>2</v>
      </c>
      <c r="E275" s="1" t="s">
        <v>26</v>
      </c>
      <c r="F275" s="1">
        <v>2</v>
      </c>
      <c r="G275" s="6">
        <v>41665</v>
      </c>
      <c r="H275" s="51">
        <v>44462</v>
      </c>
      <c r="I275" s="47">
        <f t="shared" si="36"/>
        <v>7</v>
      </c>
      <c r="J275" s="1">
        <f t="shared" si="37"/>
        <v>91</v>
      </c>
      <c r="K275" s="1">
        <v>22.9</v>
      </c>
      <c r="L275" s="1">
        <v>1.24</v>
      </c>
      <c r="M275" s="1">
        <f t="shared" si="41"/>
        <v>124</v>
      </c>
      <c r="N275" s="1">
        <f>107.5-40</f>
        <v>67.5</v>
      </c>
      <c r="O275" s="48">
        <f t="shared" si="42"/>
        <v>45.564516129032256</v>
      </c>
      <c r="P275" s="49">
        <f t="shared" si="43"/>
        <v>14.893340270551507</v>
      </c>
      <c r="R275" s="91">
        <v>-2.534357303990924E-2</v>
      </c>
      <c r="S275" s="91">
        <v>48.9890459410272</v>
      </c>
      <c r="T275" s="39" t="str">
        <f t="shared" si="40"/>
        <v>Normal</v>
      </c>
      <c r="U275" s="91">
        <v>-1.3987774026824795</v>
      </c>
      <c r="V275" s="91">
        <v>8.0939872338358416</v>
      </c>
      <c r="W275" s="39" t="str">
        <f t="shared" si="38"/>
        <v>Normal</v>
      </c>
      <c r="X275" s="116">
        <v>-0.3999472064664697</v>
      </c>
      <c r="Y275" s="91">
        <v>34.459770087695389</v>
      </c>
      <c r="Z275" s="39" t="str">
        <f t="shared" si="39"/>
        <v>Normal</v>
      </c>
    </row>
    <row r="276" spans="1:26" ht="15.75" x14ac:dyDescent="0.25">
      <c r="A276" s="33" t="s">
        <v>706</v>
      </c>
      <c r="B276" s="43">
        <v>273</v>
      </c>
      <c r="C276" s="50" t="s">
        <v>743</v>
      </c>
      <c r="D276" s="1">
        <v>2</v>
      </c>
      <c r="E276" s="1" t="s">
        <v>26</v>
      </c>
      <c r="F276" s="1">
        <v>2</v>
      </c>
      <c r="G276" s="6">
        <v>41735</v>
      </c>
      <c r="H276" s="51">
        <v>44462</v>
      </c>
      <c r="I276" s="47">
        <f t="shared" si="36"/>
        <v>7</v>
      </c>
      <c r="J276" s="1">
        <f t="shared" si="37"/>
        <v>89</v>
      </c>
      <c r="K276" s="1">
        <v>25.5</v>
      </c>
      <c r="L276" s="1">
        <v>1.19</v>
      </c>
      <c r="M276" s="1">
        <f t="shared" si="41"/>
        <v>119</v>
      </c>
      <c r="N276" s="1">
        <f>105.2</f>
        <v>105.2</v>
      </c>
      <c r="O276" s="48">
        <f t="shared" si="42"/>
        <v>11.596638655462183</v>
      </c>
      <c r="P276" s="49">
        <f t="shared" si="43"/>
        <v>18.007202881152462</v>
      </c>
      <c r="R276" s="91">
        <v>-0.74681185984923282</v>
      </c>
      <c r="S276" s="91">
        <v>22.758856781345909</v>
      </c>
      <c r="T276" s="39" t="str">
        <f t="shared" si="40"/>
        <v>Normal</v>
      </c>
      <c r="U276" s="91">
        <v>-48.351344325517339</v>
      </c>
      <c r="V276" s="91">
        <v>0</v>
      </c>
      <c r="W276" s="39" t="str">
        <f t="shared" si="38"/>
        <v>Piernas cortas</v>
      </c>
      <c r="X276" s="116">
        <v>1.239092647430051</v>
      </c>
      <c r="Y276" s="91">
        <v>89.234440519668482</v>
      </c>
      <c r="Z276" s="39" t="str">
        <f t="shared" si="39"/>
        <v>Obesidad</v>
      </c>
    </row>
    <row r="277" spans="1:26" ht="15.75" x14ac:dyDescent="0.25">
      <c r="A277" s="33" t="s">
        <v>706</v>
      </c>
      <c r="B277" s="43">
        <v>274</v>
      </c>
      <c r="C277" s="50" t="s">
        <v>744</v>
      </c>
      <c r="D277" s="1">
        <v>2</v>
      </c>
      <c r="E277" s="1" t="s">
        <v>26</v>
      </c>
      <c r="F277" s="1">
        <v>2</v>
      </c>
      <c r="G277" s="6">
        <v>41866</v>
      </c>
      <c r="H277" s="51">
        <v>44462</v>
      </c>
      <c r="I277" s="47">
        <f t="shared" si="36"/>
        <v>7</v>
      </c>
      <c r="J277" s="1">
        <f t="shared" si="37"/>
        <v>85</v>
      </c>
      <c r="K277" s="1">
        <v>22.1</v>
      </c>
      <c r="L277" s="1">
        <v>1.17</v>
      </c>
      <c r="M277" s="1">
        <f t="shared" si="41"/>
        <v>117</v>
      </c>
      <c r="N277" s="1">
        <f>105.5-40</f>
        <v>65.5</v>
      </c>
      <c r="O277" s="48">
        <f t="shared" si="42"/>
        <v>44.017094017094017</v>
      </c>
      <c r="P277" s="49">
        <f t="shared" si="43"/>
        <v>16.144349477682816</v>
      </c>
      <c r="R277" s="91">
        <v>-0.77961686557016974</v>
      </c>
      <c r="S277" s="91">
        <v>21.780821282306878</v>
      </c>
      <c r="T277" s="39" t="str">
        <f t="shared" si="40"/>
        <v>Normal</v>
      </c>
      <c r="U277" s="91">
        <v>-2.5190220385049993</v>
      </c>
      <c r="V277" s="91">
        <v>0.58840645346994558</v>
      </c>
      <c r="W277" s="39" t="str">
        <f t="shared" si="38"/>
        <v>Piernas cortas</v>
      </c>
      <c r="X277" s="116">
        <v>0.41258044209962536</v>
      </c>
      <c r="Y277" s="91">
        <v>66.004298352993303</v>
      </c>
      <c r="Z277" s="39" t="str">
        <f t="shared" si="39"/>
        <v>Normal</v>
      </c>
    </row>
    <row r="278" spans="1:26" ht="15.75" x14ac:dyDescent="0.25">
      <c r="A278" s="33" t="s">
        <v>706</v>
      </c>
      <c r="B278" s="43">
        <v>275</v>
      </c>
      <c r="C278" s="50" t="s">
        <v>745</v>
      </c>
      <c r="D278" s="1">
        <v>2</v>
      </c>
      <c r="E278" s="1" t="s">
        <v>26</v>
      </c>
      <c r="F278" s="1">
        <v>1</v>
      </c>
      <c r="G278" s="6">
        <v>41749</v>
      </c>
      <c r="H278" s="51">
        <v>44462</v>
      </c>
      <c r="I278" s="47">
        <f t="shared" si="36"/>
        <v>7</v>
      </c>
      <c r="J278" s="1">
        <f t="shared" si="37"/>
        <v>89</v>
      </c>
      <c r="K278" s="1">
        <v>39.5</v>
      </c>
      <c r="L278" s="1">
        <v>1.23</v>
      </c>
      <c r="M278" s="1">
        <f t="shared" si="41"/>
        <v>123</v>
      </c>
      <c r="N278" s="1">
        <f>106.8-40</f>
        <v>66.8</v>
      </c>
      <c r="O278" s="48">
        <f t="shared" si="42"/>
        <v>45.691056910569102</v>
      </c>
      <c r="P278" s="49">
        <f t="shared" si="43"/>
        <v>26.10879767334259</v>
      </c>
      <c r="R278" s="91">
        <v>-0.1974652803360131</v>
      </c>
      <c r="S278" s="91">
        <v>42.173172438472974</v>
      </c>
      <c r="T278" s="39" t="str">
        <f t="shared" si="40"/>
        <v>Normal</v>
      </c>
      <c r="U278" s="91">
        <v>-1.0822662594868644</v>
      </c>
      <c r="V278" s="91">
        <v>13.956711692053405</v>
      </c>
      <c r="W278" s="39" t="str">
        <f t="shared" si="38"/>
        <v>Normal</v>
      </c>
      <c r="X278" s="116">
        <v>4.0263208597422082</v>
      </c>
      <c r="Y278" s="91">
        <v>99.997167181691765</v>
      </c>
      <c r="Z278" s="39" t="str">
        <f t="shared" si="39"/>
        <v>Obesidad</v>
      </c>
    </row>
    <row r="279" spans="1:26" ht="15.75" x14ac:dyDescent="0.25">
      <c r="A279" s="33" t="s">
        <v>706</v>
      </c>
      <c r="B279" s="43">
        <v>276</v>
      </c>
      <c r="C279" s="50" t="s">
        <v>746</v>
      </c>
      <c r="D279" s="1">
        <v>2</v>
      </c>
      <c r="E279" s="1" t="s">
        <v>26</v>
      </c>
      <c r="F279" s="1">
        <v>1</v>
      </c>
      <c r="G279" s="6">
        <v>41871</v>
      </c>
      <c r="H279" s="51">
        <v>44462</v>
      </c>
      <c r="I279" s="47">
        <f t="shared" si="36"/>
        <v>7</v>
      </c>
      <c r="J279" s="1">
        <f t="shared" si="37"/>
        <v>85</v>
      </c>
      <c r="K279" s="1">
        <v>19.8</v>
      </c>
      <c r="L279" s="1">
        <v>1.1599999999999999</v>
      </c>
      <c r="M279" s="1">
        <f t="shared" si="41"/>
        <v>115.99999999999999</v>
      </c>
      <c r="N279" s="1">
        <f>103.1-40</f>
        <v>63.099999999999994</v>
      </c>
      <c r="O279" s="48">
        <f t="shared" si="42"/>
        <v>45.603448275862071</v>
      </c>
      <c r="P279" s="49">
        <f t="shared" si="43"/>
        <v>14.714625445897742</v>
      </c>
      <c r="R279" s="91">
        <v>-1.1673026841932701</v>
      </c>
      <c r="S279" s="91">
        <v>12.154407753231638</v>
      </c>
      <c r="T279" s="39" t="str">
        <f t="shared" si="40"/>
        <v>Normal</v>
      </c>
      <c r="U279" s="91">
        <v>-1.1405948702820627</v>
      </c>
      <c r="V279" s="91">
        <v>12.701927646377309</v>
      </c>
      <c r="W279" s="39" t="str">
        <f t="shared" si="38"/>
        <v>Normal</v>
      </c>
      <c r="X279" s="116">
        <v>-0.59187236415936895</v>
      </c>
      <c r="Y279" s="91">
        <v>27.69680304877885</v>
      </c>
      <c r="Z279" s="39" t="str">
        <f t="shared" si="39"/>
        <v>Normal</v>
      </c>
    </row>
    <row r="280" spans="1:26" ht="15.75" x14ac:dyDescent="0.25">
      <c r="A280" s="33" t="s">
        <v>706</v>
      </c>
      <c r="B280" s="43">
        <v>277</v>
      </c>
      <c r="C280" s="50" t="s">
        <v>747</v>
      </c>
      <c r="D280" s="1">
        <v>2</v>
      </c>
      <c r="E280" s="1" t="s">
        <v>26</v>
      </c>
      <c r="F280" s="1">
        <v>1</v>
      </c>
      <c r="G280" s="6">
        <v>41666</v>
      </c>
      <c r="H280" s="51">
        <v>44462</v>
      </c>
      <c r="I280" s="47">
        <f t="shared" si="36"/>
        <v>7</v>
      </c>
      <c r="J280" s="1">
        <f t="shared" si="37"/>
        <v>91</v>
      </c>
      <c r="K280" s="1">
        <v>19.3</v>
      </c>
      <c r="L280" s="1">
        <v>1.1399999999999999</v>
      </c>
      <c r="M280" s="1">
        <f t="shared" si="41"/>
        <v>113.99999999999999</v>
      </c>
      <c r="N280" s="1">
        <f>99-40</f>
        <v>59</v>
      </c>
      <c r="O280" s="48">
        <f t="shared" si="42"/>
        <v>48.245614035087712</v>
      </c>
      <c r="P280" s="49">
        <f t="shared" si="43"/>
        <v>14.850723299476764</v>
      </c>
      <c r="R280" s="91">
        <v>-2.0003122702030245</v>
      </c>
      <c r="S280" s="91">
        <v>2.2733277442086481</v>
      </c>
      <c r="T280" s="39" t="str">
        <f t="shared" si="40"/>
        <v>Desnutricion</v>
      </c>
      <c r="U280" s="91">
        <v>0.56739902416297505</v>
      </c>
      <c r="V280" s="91">
        <v>71.477844363424282</v>
      </c>
      <c r="W280" s="39" t="str">
        <f t="shared" si="38"/>
        <v>Normal</v>
      </c>
      <c r="X280" s="116">
        <v>-0.56348076404935088</v>
      </c>
      <c r="Y280" s="91">
        <v>28.655377753512905</v>
      </c>
      <c r="Z280" s="39" t="str">
        <f t="shared" si="39"/>
        <v>Normal</v>
      </c>
    </row>
    <row r="281" spans="1:26" ht="15.75" x14ac:dyDescent="0.25">
      <c r="A281" s="33" t="s">
        <v>706</v>
      </c>
      <c r="B281" s="43">
        <v>278</v>
      </c>
      <c r="C281" s="50" t="s">
        <v>748</v>
      </c>
      <c r="D281" s="1">
        <v>2</v>
      </c>
      <c r="E281" s="1" t="s">
        <v>26</v>
      </c>
      <c r="F281" s="1">
        <v>2</v>
      </c>
      <c r="G281" s="6">
        <v>41645</v>
      </c>
      <c r="H281" s="51">
        <v>44462</v>
      </c>
      <c r="I281" s="47">
        <f t="shared" si="36"/>
        <v>7</v>
      </c>
      <c r="J281" s="1">
        <f t="shared" si="37"/>
        <v>92</v>
      </c>
      <c r="K281" s="1">
        <v>24.4</v>
      </c>
      <c r="L281" s="1">
        <v>1.24</v>
      </c>
      <c r="M281" s="1">
        <f t="shared" si="41"/>
        <v>124</v>
      </c>
      <c r="N281" s="1">
        <f>106.5-40</f>
        <v>66.5</v>
      </c>
      <c r="O281" s="48">
        <f t="shared" si="42"/>
        <v>46.37096774193548</v>
      </c>
      <c r="P281" s="49">
        <f t="shared" si="43"/>
        <v>15.868886576482829</v>
      </c>
      <c r="R281" s="91">
        <v>-0.10957876980485322</v>
      </c>
      <c r="S281" s="91">
        <v>45.637172424492547</v>
      </c>
      <c r="T281" s="39" t="str">
        <f t="shared" si="40"/>
        <v>Normal</v>
      </c>
      <c r="U281" s="91">
        <v>-0.83118733312883264</v>
      </c>
      <c r="V281" s="91">
        <v>20.293390471919178</v>
      </c>
      <c r="W281" s="39" t="str">
        <f t="shared" si="38"/>
        <v>Normal</v>
      </c>
      <c r="X281" s="116">
        <v>0.16767286505655188</v>
      </c>
      <c r="Y281" s="91">
        <v>56.657967776047457</v>
      </c>
      <c r="Z281" s="39" t="str">
        <f t="shared" si="39"/>
        <v>Normal</v>
      </c>
    </row>
    <row r="282" spans="1:26" ht="15.75" x14ac:dyDescent="0.25">
      <c r="A282" s="33" t="s">
        <v>706</v>
      </c>
      <c r="B282" s="43">
        <v>279</v>
      </c>
      <c r="C282" s="50" t="s">
        <v>749</v>
      </c>
      <c r="D282" s="1">
        <v>2</v>
      </c>
      <c r="E282" s="1" t="s">
        <v>26</v>
      </c>
      <c r="F282" s="1">
        <v>2</v>
      </c>
      <c r="G282" s="6">
        <v>41680</v>
      </c>
      <c r="H282" s="51">
        <v>44462</v>
      </c>
      <c r="I282" s="1">
        <f t="shared" ref="I282:I287" si="44">DATEDIF(G282,H282,"y")</f>
        <v>7</v>
      </c>
      <c r="J282" s="1">
        <f t="shared" si="37"/>
        <v>91</v>
      </c>
      <c r="K282" s="1">
        <v>22</v>
      </c>
      <c r="L282" s="1">
        <v>1.22</v>
      </c>
      <c r="M282" s="1">
        <f t="shared" si="41"/>
        <v>122</v>
      </c>
      <c r="N282" s="1">
        <f>105.5-40</f>
        <v>65.5</v>
      </c>
      <c r="O282" s="48">
        <f t="shared" si="42"/>
        <v>46.311475409836063</v>
      </c>
      <c r="P282" s="49">
        <f t="shared" si="43"/>
        <v>14.780972856758936</v>
      </c>
      <c r="R282" s="91">
        <v>-0.37856410321285261</v>
      </c>
      <c r="S282" s="91">
        <v>35.250579147851838</v>
      </c>
      <c r="T282" s="39" t="str">
        <f t="shared" si="40"/>
        <v>Normal</v>
      </c>
      <c r="U282" s="91">
        <v>-0.87269183134020945</v>
      </c>
      <c r="V282" s="91">
        <v>19.141553565985252</v>
      </c>
      <c r="W282" s="39" t="str">
        <f t="shared" si="38"/>
        <v>Normal</v>
      </c>
      <c r="X282" s="116">
        <v>-0.47281829057297453</v>
      </c>
      <c r="Y282" s="91">
        <v>31.817141183173913</v>
      </c>
      <c r="Z282" s="39" t="str">
        <f t="shared" si="39"/>
        <v>Normal</v>
      </c>
    </row>
    <row r="283" spans="1:26" ht="15.75" x14ac:dyDescent="0.25">
      <c r="A283" s="33" t="s">
        <v>706</v>
      </c>
      <c r="B283" s="43">
        <v>280</v>
      </c>
      <c r="C283" s="50" t="s">
        <v>750</v>
      </c>
      <c r="D283" s="1">
        <v>2</v>
      </c>
      <c r="E283" s="1" t="s">
        <v>26</v>
      </c>
      <c r="F283" s="1">
        <v>2</v>
      </c>
      <c r="G283" s="6">
        <v>41803</v>
      </c>
      <c r="H283" s="51">
        <v>44462</v>
      </c>
      <c r="I283" s="1">
        <f t="shared" si="44"/>
        <v>7</v>
      </c>
      <c r="J283" s="1">
        <f t="shared" si="37"/>
        <v>87</v>
      </c>
      <c r="K283" s="1">
        <v>18.8</v>
      </c>
      <c r="L283" s="1">
        <v>1.1599999999999999</v>
      </c>
      <c r="M283" s="1">
        <f t="shared" si="41"/>
        <v>115.99999999999999</v>
      </c>
      <c r="N283" s="1">
        <f>106.3-40</f>
        <v>66.3</v>
      </c>
      <c r="O283" s="48">
        <f t="shared" si="42"/>
        <v>42.84482758620689</v>
      </c>
      <c r="P283" s="49">
        <f t="shared" si="43"/>
        <v>13.971462544589775</v>
      </c>
      <c r="R283" s="91">
        <v>-1.1228310697236956</v>
      </c>
      <c r="S283" s="91">
        <v>13.075462356041589</v>
      </c>
      <c r="T283" s="39" t="str">
        <f t="shared" si="40"/>
        <v>Normal</v>
      </c>
      <c r="U283" s="91">
        <v>-3.3964805198538439</v>
      </c>
      <c r="V283" s="91">
        <v>3.4129207875459026E-2</v>
      </c>
      <c r="W283" s="39" t="str">
        <f t="shared" si="38"/>
        <v>Piernas cortas</v>
      </c>
      <c r="X283" s="116">
        <v>-0.99346490194978265</v>
      </c>
      <c r="Y283" s="91">
        <v>16.024172328779397</v>
      </c>
      <c r="Z283" s="39" t="str">
        <f t="shared" si="39"/>
        <v>Normal</v>
      </c>
    </row>
    <row r="284" spans="1:26" ht="15.75" x14ac:dyDescent="0.25">
      <c r="A284" s="33" t="s">
        <v>706</v>
      </c>
      <c r="B284" s="43">
        <v>281</v>
      </c>
      <c r="C284" s="50" t="s">
        <v>751</v>
      </c>
      <c r="D284" s="1">
        <v>2</v>
      </c>
      <c r="E284" s="1" t="s">
        <v>26</v>
      </c>
      <c r="F284" s="1">
        <v>1</v>
      </c>
      <c r="G284" s="6">
        <v>41310</v>
      </c>
      <c r="H284" s="51">
        <v>44462</v>
      </c>
      <c r="I284" s="1">
        <f t="shared" si="44"/>
        <v>8</v>
      </c>
      <c r="J284" s="1">
        <f t="shared" si="37"/>
        <v>103</v>
      </c>
      <c r="K284" s="1">
        <v>24.8</v>
      </c>
      <c r="L284" s="1">
        <v>1.24</v>
      </c>
      <c r="M284" s="1">
        <f t="shared" si="41"/>
        <v>124</v>
      </c>
      <c r="N284" s="1">
        <f>105.8-40</f>
        <v>65.8</v>
      </c>
      <c r="O284" s="48">
        <f t="shared" si="42"/>
        <v>46.935483870967744</v>
      </c>
      <c r="P284" s="49">
        <f t="shared" si="43"/>
        <v>16.129032258064516</v>
      </c>
      <c r="R284" s="91">
        <v>-1.0870874770828844</v>
      </c>
      <c r="S284" s="91">
        <v>13.849907585261526</v>
      </c>
      <c r="T284" s="39" t="str">
        <f t="shared" si="40"/>
        <v>Normal</v>
      </c>
      <c r="U284" s="91">
        <v>-0.59701403581563484</v>
      </c>
      <c r="V284" s="91">
        <v>27.524900483900971</v>
      </c>
      <c r="W284" s="39" t="str">
        <f t="shared" si="38"/>
        <v>Normal</v>
      </c>
      <c r="X284" s="116">
        <v>0.13673840100194495</v>
      </c>
      <c r="Y284" s="91">
        <v>55.438121250433049</v>
      </c>
      <c r="Z284" s="39" t="str">
        <f t="shared" si="39"/>
        <v>Normal</v>
      </c>
    </row>
    <row r="285" spans="1:26" ht="15.75" x14ac:dyDescent="0.25">
      <c r="A285" s="33" t="s">
        <v>706</v>
      </c>
      <c r="B285" s="43">
        <v>282</v>
      </c>
      <c r="C285" s="50" t="s">
        <v>752</v>
      </c>
      <c r="D285" s="1">
        <v>2</v>
      </c>
      <c r="E285" s="1" t="s">
        <v>26</v>
      </c>
      <c r="F285" s="1">
        <v>1</v>
      </c>
      <c r="G285" s="6">
        <v>41648</v>
      </c>
      <c r="H285" s="51">
        <v>44462</v>
      </c>
      <c r="I285" s="1">
        <f t="shared" si="44"/>
        <v>7</v>
      </c>
      <c r="J285" s="1">
        <f t="shared" si="37"/>
        <v>92</v>
      </c>
      <c r="K285" s="1">
        <v>23.9</v>
      </c>
      <c r="L285" s="1">
        <v>1.24</v>
      </c>
      <c r="M285" s="1">
        <f t="shared" si="41"/>
        <v>124</v>
      </c>
      <c r="N285" s="1">
        <f>106.3-40</f>
        <v>66.3</v>
      </c>
      <c r="O285" s="48">
        <f t="shared" si="42"/>
        <v>46.532258064516128</v>
      </c>
      <c r="P285" s="49">
        <f t="shared" si="43"/>
        <v>15.543704474505722</v>
      </c>
      <c r="R285" s="91">
        <v>-0.26313764821558111</v>
      </c>
      <c r="S285" s="91">
        <v>39.622224352195524</v>
      </c>
      <c r="T285" s="39" t="str">
        <f t="shared" si="40"/>
        <v>Normal</v>
      </c>
      <c r="U285" s="91">
        <v>-0.52827522764158341</v>
      </c>
      <c r="V285" s="91">
        <v>29.865416137426475</v>
      </c>
      <c r="W285" s="39" t="str">
        <f t="shared" si="38"/>
        <v>Normal</v>
      </c>
      <c r="X285" s="116">
        <v>-7.0013381853586187E-2</v>
      </c>
      <c r="Y285" s="91">
        <v>47.209150429831695</v>
      </c>
      <c r="Z285" s="39" t="str">
        <f t="shared" si="39"/>
        <v>Normal</v>
      </c>
    </row>
    <row r="286" spans="1:26" ht="15.75" x14ac:dyDescent="0.25">
      <c r="A286" s="33" t="s">
        <v>706</v>
      </c>
      <c r="B286" s="43">
        <v>283</v>
      </c>
      <c r="C286" s="50" t="s">
        <v>753</v>
      </c>
      <c r="D286" s="1">
        <v>2</v>
      </c>
      <c r="E286" s="1" t="s">
        <v>26</v>
      </c>
      <c r="F286" s="1">
        <v>1</v>
      </c>
      <c r="G286" s="6">
        <v>41938</v>
      </c>
      <c r="H286" s="51">
        <v>44462</v>
      </c>
      <c r="I286" s="1">
        <f t="shared" si="44"/>
        <v>6</v>
      </c>
      <c r="J286" s="1">
        <f t="shared" si="37"/>
        <v>82</v>
      </c>
      <c r="K286" s="1">
        <v>17.399999999999999</v>
      </c>
      <c r="L286" s="1">
        <v>1.0900000000000001</v>
      </c>
      <c r="M286" s="1">
        <f t="shared" si="41"/>
        <v>109.00000000000001</v>
      </c>
      <c r="N286" s="1">
        <f>98-40</f>
        <v>58</v>
      </c>
      <c r="O286" s="48">
        <f t="shared" si="42"/>
        <v>46.788990825688082</v>
      </c>
      <c r="P286" s="49">
        <f t="shared" si="43"/>
        <v>14.645231882838141</v>
      </c>
      <c r="R286" s="91">
        <v>-2.2554855273801748</v>
      </c>
      <c r="S286" s="91">
        <v>1.2051434847085931</v>
      </c>
      <c r="T286" s="39" t="str">
        <f t="shared" si="40"/>
        <v>Desnutricion</v>
      </c>
      <c r="U286" s="91">
        <v>2.4519137579817458E-2</v>
      </c>
      <c r="V286" s="91">
        <v>50.978074063892485</v>
      </c>
      <c r="W286" s="39" t="str">
        <f t="shared" si="38"/>
        <v>Normal</v>
      </c>
      <c r="X286" s="116">
        <v>-0.61203673670848457</v>
      </c>
      <c r="Y286" s="91">
        <v>27.025672604083113</v>
      </c>
      <c r="Z286" s="39" t="str">
        <f t="shared" si="39"/>
        <v>Normal</v>
      </c>
    </row>
    <row r="287" spans="1:26" ht="13.5" customHeight="1" x14ac:dyDescent="0.25">
      <c r="A287" s="33" t="s">
        <v>706</v>
      </c>
      <c r="B287" s="43">
        <v>284</v>
      </c>
      <c r="C287" s="50" t="s">
        <v>754</v>
      </c>
      <c r="D287" s="1">
        <v>2</v>
      </c>
      <c r="E287" s="1" t="s">
        <v>26</v>
      </c>
      <c r="F287" s="1">
        <v>1</v>
      </c>
      <c r="G287" s="6">
        <v>41717</v>
      </c>
      <c r="H287" s="51">
        <v>44462</v>
      </c>
      <c r="I287" s="1">
        <f t="shared" si="44"/>
        <v>7</v>
      </c>
      <c r="J287" s="1">
        <f t="shared" si="37"/>
        <v>90</v>
      </c>
      <c r="K287" s="1">
        <v>19.399999999999999</v>
      </c>
      <c r="L287" s="1">
        <v>1.1499999999999999</v>
      </c>
      <c r="M287" s="1">
        <f t="shared" si="41"/>
        <v>114.99999999999999</v>
      </c>
      <c r="N287" s="1">
        <f>102-40</f>
        <v>62</v>
      </c>
      <c r="O287" s="48">
        <f t="shared" si="42"/>
        <v>46.086956521739125</v>
      </c>
      <c r="P287" s="49">
        <f t="shared" si="43"/>
        <v>14.669187145557657</v>
      </c>
      <c r="R287" s="91">
        <v>-1.7442591716309268</v>
      </c>
      <c r="S287" s="91">
        <v>4.0556953774766802</v>
      </c>
      <c r="T287" s="39" t="str">
        <f t="shared" si="40"/>
        <v>Desnutricion</v>
      </c>
      <c r="U287" s="91">
        <v>-0.82017866074138668</v>
      </c>
      <c r="V287" s="91">
        <v>20.605713250906017</v>
      </c>
      <c r="W287" s="39" t="str">
        <f t="shared" si="38"/>
        <v>Normal</v>
      </c>
      <c r="X287" s="116">
        <v>-0.69252117261317525</v>
      </c>
      <c r="Y287" s="91">
        <v>24.430504715675301</v>
      </c>
      <c r="Z287" s="39" t="str">
        <f t="shared" si="39"/>
        <v>Normal</v>
      </c>
    </row>
    <row r="288" spans="1:26" x14ac:dyDescent="0.25">
      <c r="A288" s="33"/>
      <c r="B288" s="33"/>
      <c r="D288" s="1"/>
      <c r="E288" s="1"/>
      <c r="F288" s="1"/>
      <c r="G288" s="7"/>
      <c r="H288" s="51"/>
      <c r="I288" s="1"/>
      <c r="J288" s="1"/>
      <c r="K288" s="1"/>
      <c r="L288" s="1"/>
      <c r="M288" s="1"/>
      <c r="N288" s="1"/>
      <c r="O288" s="48"/>
      <c r="P288" s="49"/>
    </row>
    <row r="289" spans="1:37" x14ac:dyDescent="0.25">
      <c r="A289" s="33"/>
      <c r="B289" s="33"/>
      <c r="D289" s="1"/>
      <c r="E289" s="1"/>
      <c r="F289" s="1"/>
      <c r="G289" s="7"/>
      <c r="H289" s="51"/>
      <c r="I289" s="1"/>
      <c r="J289" s="1"/>
      <c r="K289" s="1"/>
      <c r="L289" s="1"/>
      <c r="M289" s="1"/>
      <c r="N289" s="1"/>
      <c r="O289" s="48"/>
      <c r="P289" s="49"/>
    </row>
    <row r="290" spans="1:37" ht="15.75" x14ac:dyDescent="0.25">
      <c r="A290" s="180"/>
      <c r="B290" s="180"/>
      <c r="C290" s="156"/>
      <c r="D290" s="138"/>
      <c r="E290" s="138"/>
      <c r="F290" s="138"/>
      <c r="G290" s="138"/>
      <c r="H290" s="182"/>
      <c r="I290" s="138"/>
      <c r="J290" s="138"/>
      <c r="K290" s="138"/>
      <c r="L290" s="138"/>
      <c r="M290" s="138"/>
      <c r="N290" s="138"/>
      <c r="O290" s="183"/>
      <c r="P290" s="184"/>
      <c r="Q290" s="156"/>
      <c r="R290" s="156"/>
      <c r="S290" s="185"/>
      <c r="T290" s="156"/>
      <c r="U290" s="164"/>
      <c r="V290" s="164"/>
      <c r="W290" s="164"/>
      <c r="X290" s="156"/>
      <c r="Y290" s="156"/>
      <c r="Z290" s="156"/>
      <c r="AA290" s="156"/>
      <c r="AB290" s="156"/>
      <c r="AC290" s="156"/>
      <c r="AD290" s="156"/>
      <c r="AE290" s="156"/>
      <c r="AF290" s="156"/>
      <c r="AG290" s="156"/>
      <c r="AH290" s="156"/>
    </row>
    <row r="291" spans="1:37" x14ac:dyDescent="0.25">
      <c r="A291" s="180"/>
      <c r="B291" s="180"/>
      <c r="C291" s="156"/>
      <c r="D291" s="138"/>
      <c r="E291" s="156"/>
      <c r="F291" s="160"/>
      <c r="G291" s="156"/>
      <c r="H291" s="138"/>
      <c r="I291" s="160"/>
      <c r="J291" s="156"/>
      <c r="K291" s="161"/>
      <c r="L291" s="162"/>
      <c r="M291" s="138"/>
      <c r="N291" s="138"/>
      <c r="O291" s="138"/>
      <c r="P291" s="184"/>
      <c r="Q291" s="156"/>
      <c r="R291" s="156"/>
      <c r="S291" s="156"/>
      <c r="T291" s="156"/>
      <c r="U291" s="164"/>
      <c r="V291" s="164"/>
      <c r="W291" s="164"/>
      <c r="X291" s="156"/>
      <c r="Y291" s="156"/>
      <c r="Z291" s="156"/>
      <c r="AA291" s="156"/>
      <c r="AB291" s="156"/>
      <c r="AC291" s="156"/>
      <c r="AD291" s="156"/>
      <c r="AE291" s="156"/>
      <c r="AF291" s="156"/>
      <c r="AG291" s="156"/>
      <c r="AH291" s="156"/>
    </row>
    <row r="292" spans="1:37" x14ac:dyDescent="0.25">
      <c r="A292" s="180"/>
      <c r="B292" s="180"/>
      <c r="C292" s="165"/>
      <c r="D292" s="140"/>
      <c r="E292" s="166"/>
      <c r="F292" s="140"/>
      <c r="G292" s="166"/>
      <c r="H292" s="140"/>
      <c r="I292" s="140"/>
      <c r="J292" s="167"/>
      <c r="K292" s="140"/>
      <c r="L292" s="140"/>
      <c r="M292" s="140"/>
      <c r="N292" s="140"/>
      <c r="O292" s="166"/>
      <c r="P292" s="184"/>
      <c r="Q292" s="156"/>
      <c r="R292" s="156"/>
      <c r="S292" s="156"/>
      <c r="T292" s="138"/>
      <c r="U292" s="138"/>
      <c r="V292" s="132"/>
      <c r="W292" s="132"/>
      <c r="X292" s="132"/>
      <c r="Y292" s="132"/>
      <c r="Z292" s="132"/>
      <c r="AA292" s="132"/>
      <c r="AB292" s="132"/>
      <c r="AC292" s="132"/>
      <c r="AD292" s="132"/>
      <c r="AE292" s="132"/>
      <c r="AF292" s="132"/>
      <c r="AG292" s="132"/>
      <c r="AH292" s="132"/>
      <c r="AI292" s="120"/>
      <c r="AJ292" s="120"/>
      <c r="AK292" s="120"/>
    </row>
    <row r="293" spans="1:37" x14ac:dyDescent="0.25">
      <c r="A293" s="180"/>
      <c r="B293" s="180"/>
      <c r="C293" s="166"/>
      <c r="D293" s="156"/>
      <c r="E293" s="156"/>
      <c r="F293" s="168"/>
      <c r="G293" s="156"/>
      <c r="H293" s="156"/>
      <c r="I293" s="186"/>
      <c r="J293" s="169"/>
      <c r="K293" s="169"/>
      <c r="L293" s="169"/>
      <c r="M293" s="169"/>
      <c r="N293" s="169"/>
      <c r="O293" s="157"/>
      <c r="P293" s="169"/>
      <c r="Q293" s="156"/>
      <c r="R293" s="156"/>
      <c r="S293" s="156"/>
      <c r="T293" s="138"/>
      <c r="U293" s="156"/>
      <c r="V293" s="138"/>
      <c r="W293" s="138"/>
      <c r="X293" s="138"/>
      <c r="Y293" s="156"/>
      <c r="Z293" s="140"/>
      <c r="AA293" s="158"/>
      <c r="AB293" s="156"/>
      <c r="AC293" s="156"/>
      <c r="AD293" s="156"/>
      <c r="AE293" s="156"/>
      <c r="AF293" s="156"/>
      <c r="AG293" s="158"/>
      <c r="AH293" s="156"/>
      <c r="AI293" s="97"/>
      <c r="AJ293" s="105"/>
      <c r="AK293" s="15"/>
    </row>
    <row r="294" spans="1:37" x14ac:dyDescent="0.25">
      <c r="A294" s="180"/>
      <c r="B294" s="180"/>
      <c r="C294" s="168"/>
      <c r="D294" s="187"/>
      <c r="E294" s="188"/>
      <c r="F294" s="176"/>
      <c r="G294" s="169"/>
      <c r="H294" s="176"/>
      <c r="I294" s="157"/>
      <c r="J294" s="189"/>
      <c r="K294" s="157"/>
      <c r="L294" s="189"/>
      <c r="M294" s="157"/>
      <c r="N294" s="189"/>
      <c r="O294" s="157"/>
      <c r="P294" s="189"/>
      <c r="Q294" s="156"/>
      <c r="R294" s="156"/>
      <c r="S294" s="156"/>
      <c r="T294" s="138"/>
      <c r="U294" s="138"/>
      <c r="V294" s="132"/>
      <c r="W294" s="132"/>
      <c r="X294" s="132"/>
      <c r="Y294" s="156"/>
      <c r="Z294" s="190"/>
      <c r="AA294" s="163"/>
      <c r="AB294" s="156"/>
      <c r="AC294" s="156"/>
      <c r="AD294" s="156"/>
      <c r="AE294" s="156"/>
      <c r="AF294" s="156"/>
      <c r="AG294" s="163"/>
      <c r="AH294" s="156"/>
      <c r="AI294" s="11"/>
      <c r="AJ294" s="19"/>
      <c r="AK294" s="37"/>
    </row>
    <row r="295" spans="1:37" x14ac:dyDescent="0.25">
      <c r="A295" s="180"/>
      <c r="B295" s="180"/>
      <c r="C295" s="168"/>
      <c r="D295" s="187"/>
      <c r="E295" s="188"/>
      <c r="F295" s="176"/>
      <c r="G295" s="169"/>
      <c r="H295" s="176"/>
      <c r="I295" s="157"/>
      <c r="J295" s="189"/>
      <c r="K295" s="157"/>
      <c r="L295" s="189"/>
      <c r="M295" s="157"/>
      <c r="N295" s="189"/>
      <c r="O295" s="157"/>
      <c r="P295" s="189"/>
      <c r="Q295" s="156"/>
      <c r="R295" s="156"/>
      <c r="S295" s="156"/>
      <c r="T295" s="138"/>
      <c r="U295" s="138"/>
      <c r="V295" s="138"/>
      <c r="W295" s="138"/>
      <c r="X295" s="138"/>
      <c r="Y295" s="156"/>
      <c r="Z295" s="190"/>
      <c r="AA295" s="163"/>
      <c r="AB295" s="156"/>
      <c r="AC295" s="156"/>
      <c r="AD295" s="156"/>
      <c r="AE295" s="156"/>
      <c r="AF295" s="156"/>
      <c r="AG295" s="163"/>
      <c r="AH295" s="156"/>
      <c r="AI295" s="97"/>
      <c r="AJ295" s="19"/>
      <c r="AK295" s="37"/>
    </row>
    <row r="296" spans="1:37" x14ac:dyDescent="0.25">
      <c r="A296" s="180"/>
      <c r="B296" s="180"/>
      <c r="C296" s="165"/>
      <c r="D296" s="191"/>
      <c r="E296" s="162"/>
      <c r="F296" s="157"/>
      <c r="G296" s="169"/>
      <c r="H296" s="157"/>
      <c r="I296" s="157"/>
      <c r="J296" s="169"/>
      <c r="K296" s="157"/>
      <c r="L296" s="169"/>
      <c r="M296" s="157"/>
      <c r="N296" s="169"/>
      <c r="O296" s="157"/>
      <c r="P296" s="169"/>
      <c r="Q296" s="156"/>
      <c r="R296" s="156"/>
      <c r="S296" s="156"/>
      <c r="T296" s="138"/>
      <c r="U296" s="138"/>
      <c r="V296" s="138"/>
      <c r="W296" s="138"/>
      <c r="X296" s="138"/>
      <c r="Y296" s="156"/>
      <c r="Z296" s="190"/>
      <c r="AA296" s="140"/>
      <c r="AB296" s="173"/>
      <c r="AC296" s="156"/>
      <c r="AD296" s="156"/>
      <c r="AE296" s="156"/>
      <c r="AF296" s="156"/>
      <c r="AG296" s="140"/>
      <c r="AH296" s="173"/>
      <c r="AI296" s="7"/>
      <c r="AJ296" s="97"/>
      <c r="AK296" s="121"/>
    </row>
    <row r="297" spans="1:37" x14ac:dyDescent="0.25">
      <c r="A297" s="180"/>
      <c r="B297" s="180"/>
      <c r="C297" s="168"/>
      <c r="D297" s="191"/>
      <c r="E297" s="162"/>
      <c r="F297" s="179"/>
      <c r="G297" s="169"/>
      <c r="H297" s="179"/>
      <c r="I297" s="157"/>
      <c r="J297" s="175"/>
      <c r="K297" s="157"/>
      <c r="L297" s="175"/>
      <c r="M297" s="157"/>
      <c r="N297" s="175"/>
      <c r="O297" s="157"/>
      <c r="P297" s="175"/>
      <c r="Q297" s="156"/>
      <c r="R297" s="156"/>
      <c r="S297" s="156"/>
      <c r="T297" s="138"/>
      <c r="U297" s="138"/>
      <c r="V297" s="138"/>
      <c r="W297" s="140"/>
      <c r="X297" s="192"/>
      <c r="Y297" s="156"/>
      <c r="Z297" s="156"/>
      <c r="AA297" s="140"/>
      <c r="AB297" s="173"/>
      <c r="AC297" s="156"/>
      <c r="AD297" s="156"/>
      <c r="AE297" s="156"/>
      <c r="AF297" s="156"/>
      <c r="AG297" s="140"/>
      <c r="AH297" s="173"/>
      <c r="AI297" s="7"/>
      <c r="AJ297" s="97"/>
      <c r="AK297" s="121"/>
    </row>
    <row r="298" spans="1:37" x14ac:dyDescent="0.25">
      <c r="A298" s="180"/>
      <c r="B298" s="180"/>
      <c r="C298" s="168"/>
      <c r="D298" s="187"/>
      <c r="E298" s="162"/>
      <c r="F298" s="179"/>
      <c r="G298" s="169"/>
      <c r="H298" s="179"/>
      <c r="I298" s="157"/>
      <c r="J298" s="175"/>
      <c r="K298" s="157"/>
      <c r="L298" s="175"/>
      <c r="M298" s="157"/>
      <c r="N298" s="175"/>
      <c r="O298" s="157"/>
      <c r="P298" s="175"/>
      <c r="Q298" s="156"/>
      <c r="R298" s="156"/>
      <c r="S298" s="156"/>
      <c r="T298" s="138"/>
      <c r="U298" s="138"/>
      <c r="V298" s="138"/>
      <c r="W298" s="140"/>
      <c r="X298" s="192"/>
      <c r="Y298" s="166"/>
      <c r="Z298" s="156"/>
      <c r="AA298" s="140"/>
      <c r="AB298" s="173"/>
      <c r="AC298" s="156"/>
      <c r="AD298" s="156"/>
      <c r="AE298" s="156"/>
      <c r="AF298" s="156"/>
      <c r="AG298" s="140"/>
      <c r="AH298" s="173"/>
      <c r="AI298" s="7"/>
      <c r="AJ298" s="97"/>
      <c r="AK298" s="121"/>
    </row>
    <row r="299" spans="1:37" x14ac:dyDescent="0.25">
      <c r="A299" s="180"/>
      <c r="B299" s="180"/>
      <c r="C299" s="168"/>
      <c r="D299" s="187"/>
      <c r="E299" s="162"/>
      <c r="F299" s="179"/>
      <c r="G299" s="169"/>
      <c r="H299" s="179"/>
      <c r="I299" s="157"/>
      <c r="J299" s="175"/>
      <c r="K299" s="157"/>
      <c r="L299" s="175"/>
      <c r="M299" s="157"/>
      <c r="N299" s="175"/>
      <c r="O299" s="157"/>
      <c r="P299" s="175"/>
      <c r="Q299" s="156"/>
      <c r="R299" s="156"/>
      <c r="S299" s="156"/>
      <c r="T299" s="156"/>
      <c r="U299" s="156"/>
      <c r="V299" s="180"/>
      <c r="W299" s="140"/>
      <c r="X299" s="192"/>
      <c r="Y299" s="156"/>
      <c r="Z299" s="156"/>
      <c r="AA299" s="140"/>
      <c r="AB299" s="173"/>
      <c r="AC299" s="156"/>
      <c r="AD299" s="156"/>
      <c r="AE299" s="156"/>
      <c r="AF299" s="156"/>
      <c r="AG299" s="180"/>
      <c r="AH299" s="173"/>
      <c r="AI299" s="7"/>
      <c r="AJ299" s="97"/>
      <c r="AK299" s="121"/>
    </row>
    <row r="300" spans="1:37" x14ac:dyDescent="0.25">
      <c r="A300" s="180"/>
      <c r="B300" s="180"/>
      <c r="C300" s="168"/>
      <c r="D300" s="187"/>
      <c r="E300" s="162"/>
      <c r="F300" s="179"/>
      <c r="G300" s="169"/>
      <c r="H300" s="179"/>
      <c r="I300" s="157"/>
      <c r="J300" s="175"/>
      <c r="K300" s="157"/>
      <c r="L300" s="175"/>
      <c r="M300" s="157"/>
      <c r="N300" s="175"/>
      <c r="O300" s="157"/>
      <c r="P300" s="175"/>
      <c r="Q300" s="156"/>
      <c r="R300" s="156"/>
      <c r="S300" s="156"/>
      <c r="T300" s="156"/>
      <c r="U300" s="164"/>
      <c r="V300" s="164"/>
      <c r="W300" s="171"/>
      <c r="X300" s="156"/>
      <c r="Y300" s="156"/>
      <c r="Z300" s="181"/>
      <c r="AA300" s="156"/>
      <c r="AB300" s="156"/>
      <c r="AC300" s="156"/>
      <c r="AD300" s="156"/>
      <c r="AE300" s="156"/>
      <c r="AF300" s="156"/>
      <c r="AG300" s="181"/>
      <c r="AH300" s="156"/>
      <c r="AI300" s="11"/>
      <c r="AJ300" s="11"/>
      <c r="AK300" s="11"/>
    </row>
    <row r="301" spans="1:37" x14ac:dyDescent="0.25">
      <c r="A301" s="180"/>
      <c r="B301" s="180"/>
      <c r="C301" s="168"/>
      <c r="D301" s="191"/>
      <c r="E301" s="162"/>
      <c r="F301" s="179"/>
      <c r="G301" s="169"/>
      <c r="H301" s="179"/>
      <c r="I301" s="157"/>
      <c r="J301" s="175"/>
      <c r="K301" s="157"/>
      <c r="L301" s="175"/>
      <c r="M301" s="157"/>
      <c r="N301" s="175"/>
      <c r="O301" s="157"/>
      <c r="P301" s="175"/>
      <c r="Q301" s="156"/>
      <c r="R301" s="156"/>
      <c r="S301" s="156"/>
      <c r="T301" s="156"/>
      <c r="U301" s="164"/>
      <c r="V301" s="164"/>
      <c r="W301" s="164"/>
      <c r="X301" s="156"/>
      <c r="Y301" s="156"/>
      <c r="Z301" s="181"/>
      <c r="AA301" s="156"/>
      <c r="AB301" s="156"/>
      <c r="AC301" s="156"/>
      <c r="AD301" s="156"/>
      <c r="AE301" s="156"/>
      <c r="AF301" s="156"/>
      <c r="AG301" s="181"/>
      <c r="AH301" s="156"/>
      <c r="AI301" s="11"/>
      <c r="AJ301" s="11"/>
      <c r="AK301" s="11"/>
    </row>
    <row r="302" spans="1:37" x14ac:dyDescent="0.25">
      <c r="A302" s="180"/>
      <c r="B302" s="180"/>
      <c r="C302" s="166"/>
      <c r="D302" s="191"/>
      <c r="E302" s="162"/>
      <c r="F302" s="157"/>
      <c r="G302" s="169"/>
      <c r="H302" s="157"/>
      <c r="I302" s="157"/>
      <c r="J302" s="169"/>
      <c r="K302" s="157"/>
      <c r="L302" s="169"/>
      <c r="M302" s="157"/>
      <c r="N302" s="169"/>
      <c r="O302" s="157"/>
      <c r="P302" s="169"/>
      <c r="Q302" s="156"/>
      <c r="R302" s="156"/>
      <c r="S302" s="156"/>
      <c r="T302" s="156"/>
      <c r="U302" s="164"/>
      <c r="V302" s="164"/>
      <c r="W302" s="164"/>
      <c r="X302" s="156"/>
      <c r="Y302" s="156"/>
      <c r="Z302" s="181"/>
      <c r="AA302" s="156"/>
      <c r="AB302" s="156"/>
      <c r="AC302" s="156"/>
      <c r="AD302" s="156"/>
      <c r="AE302" s="156"/>
      <c r="AF302" s="156"/>
      <c r="AG302" s="181"/>
      <c r="AH302" s="156"/>
    </row>
    <row r="303" spans="1:37" x14ac:dyDescent="0.25">
      <c r="A303" s="180"/>
      <c r="B303" s="180"/>
      <c r="C303" s="168"/>
      <c r="D303" s="187"/>
      <c r="E303" s="162"/>
      <c r="F303" s="179"/>
      <c r="G303" s="169"/>
      <c r="H303" s="179"/>
      <c r="I303" s="157"/>
      <c r="J303" s="175"/>
      <c r="K303" s="157"/>
      <c r="L303" s="175"/>
      <c r="M303" s="157"/>
      <c r="N303" s="175"/>
      <c r="O303" s="157"/>
      <c r="P303" s="175"/>
      <c r="Q303" s="156"/>
      <c r="R303" s="156"/>
      <c r="S303" s="156"/>
      <c r="T303" s="156"/>
      <c r="U303" s="164"/>
      <c r="V303" s="164"/>
      <c r="W303" s="164"/>
      <c r="X303" s="156"/>
      <c r="Y303" s="156"/>
      <c r="Z303" s="156"/>
      <c r="AA303" s="156"/>
      <c r="AB303" s="156"/>
      <c r="AC303" s="156"/>
      <c r="AD303" s="156"/>
      <c r="AE303" s="156"/>
      <c r="AF303" s="156"/>
      <c r="AG303" s="156"/>
      <c r="AH303" s="156"/>
    </row>
    <row r="304" spans="1:37" x14ac:dyDescent="0.25">
      <c r="A304" s="180"/>
      <c r="B304" s="180"/>
      <c r="C304" s="168"/>
      <c r="D304" s="187"/>
      <c r="E304" s="162"/>
      <c r="F304" s="179"/>
      <c r="G304" s="169"/>
      <c r="H304" s="179"/>
      <c r="I304" s="157"/>
      <c r="J304" s="175"/>
      <c r="K304" s="157"/>
      <c r="L304" s="175"/>
      <c r="M304" s="157"/>
      <c r="N304" s="175"/>
      <c r="O304" s="157"/>
      <c r="P304" s="175"/>
      <c r="Q304" s="156"/>
      <c r="R304" s="156"/>
      <c r="S304" s="156"/>
      <c r="T304" s="156"/>
      <c r="U304" s="164"/>
      <c r="V304" s="164"/>
      <c r="W304" s="164"/>
      <c r="X304" s="156"/>
      <c r="Y304" s="156"/>
      <c r="Z304" s="156"/>
      <c r="AA304" s="156"/>
      <c r="AB304" s="156"/>
      <c r="AC304" s="156"/>
      <c r="AD304" s="156"/>
      <c r="AE304" s="156"/>
      <c r="AF304" s="156"/>
      <c r="AG304" s="156"/>
      <c r="AH304" s="156"/>
    </row>
    <row r="305" spans="1:34" x14ac:dyDescent="0.25">
      <c r="A305" s="180"/>
      <c r="B305" s="180"/>
      <c r="C305" s="168"/>
      <c r="D305" s="191"/>
      <c r="E305" s="162"/>
      <c r="F305" s="179"/>
      <c r="G305" s="169"/>
      <c r="H305" s="157"/>
      <c r="I305" s="157"/>
      <c r="J305" s="175"/>
      <c r="K305" s="157"/>
      <c r="L305" s="175"/>
      <c r="M305" s="157"/>
      <c r="N305" s="175"/>
      <c r="O305" s="157"/>
      <c r="P305" s="175"/>
      <c r="Q305" s="156"/>
      <c r="R305" s="156"/>
      <c r="S305" s="156"/>
      <c r="T305" s="156"/>
      <c r="U305" s="164"/>
      <c r="V305" s="132"/>
      <c r="W305" s="132"/>
      <c r="X305" s="132"/>
      <c r="Y305" s="132"/>
      <c r="Z305" s="132"/>
      <c r="AA305" s="132"/>
      <c r="AB305" s="132"/>
      <c r="AC305" s="132"/>
      <c r="AD305" s="132"/>
      <c r="AE305" s="132"/>
      <c r="AF305" s="132"/>
      <c r="AG305" s="156"/>
      <c r="AH305" s="156"/>
    </row>
    <row r="306" spans="1:34" x14ac:dyDescent="0.25">
      <c r="A306" s="180"/>
      <c r="B306" s="180"/>
      <c r="C306" s="166"/>
      <c r="D306" s="191"/>
      <c r="E306" s="162"/>
      <c r="F306" s="157"/>
      <c r="G306" s="169"/>
      <c r="H306" s="157"/>
      <c r="I306" s="157"/>
      <c r="J306" s="169"/>
      <c r="K306" s="157"/>
      <c r="L306" s="169"/>
      <c r="M306" s="157"/>
      <c r="N306" s="169"/>
      <c r="O306" s="157"/>
      <c r="P306" s="169"/>
      <c r="Q306" s="156"/>
      <c r="R306" s="156"/>
      <c r="S306" s="156"/>
      <c r="T306" s="156"/>
      <c r="U306" s="164"/>
      <c r="V306" s="140"/>
      <c r="W306" s="158"/>
      <c r="X306" s="156"/>
      <c r="Y306" s="158"/>
      <c r="Z306" s="159"/>
      <c r="AA306" s="156"/>
      <c r="AB306" s="158"/>
      <c r="AC306" s="156"/>
      <c r="AD306" s="140"/>
      <c r="AE306" s="158"/>
      <c r="AF306" s="159"/>
      <c r="AG306" s="156"/>
      <c r="AH306" s="156"/>
    </row>
    <row r="307" spans="1:34" x14ac:dyDescent="0.25">
      <c r="A307" s="180"/>
      <c r="B307" s="180"/>
      <c r="C307" s="168"/>
      <c r="D307" s="191"/>
      <c r="E307" s="162"/>
      <c r="F307" s="179"/>
      <c r="G307" s="169"/>
      <c r="H307" s="179"/>
      <c r="I307" s="157"/>
      <c r="J307" s="175"/>
      <c r="K307" s="157"/>
      <c r="L307" s="175"/>
      <c r="M307" s="157"/>
      <c r="N307" s="175"/>
      <c r="O307" s="157"/>
      <c r="P307" s="175"/>
      <c r="Q307" s="156"/>
      <c r="R307" s="156"/>
      <c r="S307" s="156"/>
      <c r="T307" s="156"/>
      <c r="U307" s="164"/>
      <c r="V307" s="156"/>
      <c r="W307" s="163"/>
      <c r="X307" s="156"/>
      <c r="Y307" s="163"/>
      <c r="Z307" s="164"/>
      <c r="AA307" s="156"/>
      <c r="AB307" s="163"/>
      <c r="AC307" s="156"/>
      <c r="AD307" s="156"/>
      <c r="AE307" s="163"/>
      <c r="AF307" s="164"/>
      <c r="AG307" s="156"/>
      <c r="AH307" s="156"/>
    </row>
    <row r="308" spans="1:34" x14ac:dyDescent="0.25">
      <c r="A308" s="180"/>
      <c r="B308" s="180"/>
      <c r="C308" s="168"/>
      <c r="D308" s="187"/>
      <c r="E308" s="162"/>
      <c r="F308" s="179"/>
      <c r="G308" s="169"/>
      <c r="H308" s="179"/>
      <c r="I308" s="157"/>
      <c r="J308" s="175"/>
      <c r="K308" s="157"/>
      <c r="L308" s="175"/>
      <c r="M308" s="157"/>
      <c r="N308" s="175"/>
      <c r="O308" s="157"/>
      <c r="P308" s="175"/>
      <c r="Q308" s="156"/>
      <c r="R308" s="156"/>
      <c r="S308" s="156"/>
      <c r="T308" s="156"/>
      <c r="U308" s="164"/>
      <c r="V308" s="140"/>
      <c r="W308" s="163"/>
      <c r="X308" s="156"/>
      <c r="Y308" s="163"/>
      <c r="Z308" s="164"/>
      <c r="AA308" s="156"/>
      <c r="AB308" s="163"/>
      <c r="AC308" s="156"/>
      <c r="AD308" s="140"/>
      <c r="AE308" s="163"/>
      <c r="AF308" s="164"/>
      <c r="AG308" s="156"/>
      <c r="AH308" s="156"/>
    </row>
    <row r="309" spans="1:34" x14ac:dyDescent="0.25">
      <c r="A309" s="180"/>
      <c r="B309" s="180"/>
      <c r="C309" s="168"/>
      <c r="D309" s="191"/>
      <c r="E309" s="162"/>
      <c r="F309" s="179"/>
      <c r="G309" s="169"/>
      <c r="H309" s="179"/>
      <c r="I309" s="157"/>
      <c r="J309" s="175"/>
      <c r="K309" s="157"/>
      <c r="L309" s="175"/>
      <c r="M309" s="157"/>
      <c r="N309" s="175"/>
      <c r="O309" s="157"/>
      <c r="P309" s="175"/>
      <c r="Q309" s="156"/>
      <c r="R309" s="156"/>
      <c r="S309" s="156"/>
      <c r="T309" s="156"/>
      <c r="U309" s="164"/>
      <c r="V309" s="156"/>
      <c r="W309" s="140"/>
      <c r="X309" s="173"/>
      <c r="Y309" s="140"/>
      <c r="Z309" s="172"/>
      <c r="AA309" s="156"/>
      <c r="AB309" s="140"/>
      <c r="AC309" s="173"/>
      <c r="AD309" s="138"/>
      <c r="AE309" s="140"/>
      <c r="AF309" s="172"/>
      <c r="AG309" s="156"/>
    </row>
    <row r="310" spans="1:34" x14ac:dyDescent="0.25">
      <c r="A310" s="180"/>
      <c r="B310" s="180"/>
      <c r="C310" s="156"/>
      <c r="D310" s="156"/>
      <c r="E310" s="156"/>
      <c r="F310" s="156"/>
      <c r="G310" s="156"/>
      <c r="H310" s="156"/>
      <c r="I310" s="157"/>
      <c r="J310" s="157"/>
      <c r="K310" s="156"/>
      <c r="L310" s="156"/>
      <c r="M310" s="156"/>
      <c r="N310" s="156"/>
      <c r="O310" s="156"/>
      <c r="P310" s="184"/>
      <c r="Q310" s="156"/>
      <c r="R310" s="156"/>
      <c r="S310" s="156"/>
      <c r="T310" s="156"/>
      <c r="U310" s="164"/>
      <c r="V310" s="156"/>
      <c r="W310" s="140"/>
      <c r="X310" s="173"/>
      <c r="Y310" s="140"/>
      <c r="Z310" s="172"/>
      <c r="AA310" s="156"/>
      <c r="AB310" s="140"/>
      <c r="AC310" s="173"/>
      <c r="AD310" s="138"/>
      <c r="AE310" s="140"/>
      <c r="AF310" s="172"/>
      <c r="AG310" s="156"/>
    </row>
    <row r="311" spans="1:34" x14ac:dyDescent="0.25">
      <c r="A311" s="180"/>
      <c r="B311" s="180"/>
      <c r="C311" s="156"/>
      <c r="D311" s="138"/>
      <c r="E311" s="138"/>
      <c r="F311" s="138"/>
      <c r="G311" s="138"/>
      <c r="H311" s="182"/>
      <c r="I311" s="138"/>
      <c r="J311" s="138"/>
      <c r="K311" s="138"/>
      <c r="L311" s="138"/>
      <c r="M311" s="138"/>
      <c r="N311" s="138"/>
      <c r="O311" s="183"/>
      <c r="P311" s="184"/>
      <c r="Q311" s="156"/>
      <c r="R311" s="156"/>
      <c r="S311" s="156"/>
      <c r="T311" s="156"/>
      <c r="U311" s="164"/>
      <c r="V311" s="156"/>
      <c r="W311" s="140"/>
      <c r="X311" s="173"/>
      <c r="Y311" s="140"/>
      <c r="Z311" s="172"/>
      <c r="AA311" s="156"/>
      <c r="AB311" s="140"/>
      <c r="AC311" s="173"/>
      <c r="AD311" s="138"/>
      <c r="AE311" s="140"/>
      <c r="AF311" s="172"/>
      <c r="AG311" s="156"/>
    </row>
    <row r="312" spans="1:34" x14ac:dyDescent="0.25">
      <c r="A312" s="180"/>
      <c r="B312" s="128"/>
      <c r="C312" s="128"/>
      <c r="D312" s="138"/>
      <c r="E312" s="128"/>
      <c r="F312" s="128"/>
      <c r="G312" s="138"/>
      <c r="H312" s="182"/>
      <c r="I312" s="128"/>
      <c r="J312" s="128"/>
      <c r="K312" s="138"/>
      <c r="L312" s="128"/>
      <c r="M312" s="128"/>
      <c r="N312" s="138"/>
      <c r="O312" s="128"/>
      <c r="P312" s="128"/>
      <c r="Q312" s="156"/>
      <c r="R312" s="128"/>
      <c r="S312" s="128"/>
      <c r="T312" s="156"/>
      <c r="U312" s="164"/>
      <c r="V312" s="164"/>
      <c r="W312" s="164"/>
      <c r="X312" s="156"/>
      <c r="Y312" s="156"/>
      <c r="Z312" s="156"/>
      <c r="AA312" s="156"/>
      <c r="AB312" s="156"/>
      <c r="AC312" s="156"/>
      <c r="AD312" s="156"/>
      <c r="AE312" s="156"/>
      <c r="AF312" s="156"/>
      <c r="AG312" s="156"/>
    </row>
    <row r="313" spans="1:34" x14ac:dyDescent="0.25">
      <c r="A313" s="180"/>
      <c r="B313" s="126"/>
      <c r="C313" s="126"/>
      <c r="D313" s="138"/>
      <c r="E313" s="126"/>
      <c r="F313" s="126"/>
      <c r="G313" s="138"/>
      <c r="H313" s="182"/>
      <c r="I313" s="126"/>
      <c r="J313" s="126"/>
      <c r="K313" s="138"/>
      <c r="L313" s="126"/>
      <c r="M313" s="126"/>
      <c r="N313" s="138"/>
      <c r="O313" s="126"/>
      <c r="P313" s="126"/>
      <c r="Q313" s="156"/>
      <c r="R313" s="126"/>
      <c r="S313" s="126"/>
      <c r="T313" s="156"/>
      <c r="U313" s="164"/>
      <c r="V313" s="164"/>
      <c r="W313" s="164"/>
      <c r="X313" s="156"/>
      <c r="Y313" s="156"/>
      <c r="Z313" s="156"/>
      <c r="AA313" s="156"/>
      <c r="AB313" s="156"/>
      <c r="AC313" s="156"/>
      <c r="AD313" s="156"/>
      <c r="AE313" s="156"/>
      <c r="AF313" s="156"/>
      <c r="AG313" s="156"/>
    </row>
    <row r="314" spans="1:34" x14ac:dyDescent="0.25">
      <c r="A314" s="180"/>
      <c r="B314" s="126"/>
      <c r="C314" s="126"/>
      <c r="D314" s="138"/>
      <c r="E314" s="126"/>
      <c r="F314" s="126"/>
      <c r="G314" s="138"/>
      <c r="H314" s="182"/>
      <c r="I314" s="126"/>
      <c r="J314" s="126"/>
      <c r="K314" s="138"/>
      <c r="L314" s="126"/>
      <c r="M314" s="126"/>
      <c r="N314" s="138"/>
      <c r="O314" s="126"/>
      <c r="P314" s="126"/>
      <c r="Q314" s="156"/>
      <c r="R314" s="126"/>
      <c r="S314" s="126"/>
      <c r="T314" s="156"/>
      <c r="U314" s="164"/>
      <c r="V314" s="164"/>
      <c r="W314" s="164"/>
      <c r="X314" s="156"/>
      <c r="Y314" s="156"/>
      <c r="Z314" s="156"/>
      <c r="AA314" s="156"/>
      <c r="AB314" s="156"/>
      <c r="AC314" s="156"/>
      <c r="AD314" s="156"/>
      <c r="AE314" s="156"/>
      <c r="AF314" s="156"/>
      <c r="AG314" s="156"/>
    </row>
    <row r="315" spans="1:34" x14ac:dyDescent="0.25">
      <c r="A315" s="180"/>
      <c r="B315" s="126"/>
      <c r="C315" s="126"/>
      <c r="D315" s="138"/>
      <c r="E315" s="126"/>
      <c r="F315" s="126"/>
      <c r="G315" s="138"/>
      <c r="H315" s="182"/>
      <c r="I315" s="126"/>
      <c r="J315" s="126"/>
      <c r="K315" s="138"/>
      <c r="L315" s="126"/>
      <c r="M315" s="126"/>
      <c r="N315" s="138"/>
      <c r="O315" s="126"/>
      <c r="P315" s="126"/>
      <c r="Q315" s="156"/>
      <c r="R315" s="126"/>
      <c r="S315" s="126"/>
      <c r="T315" s="156"/>
      <c r="U315" s="164"/>
      <c r="V315" s="164"/>
      <c r="W315" s="164"/>
      <c r="X315" s="156"/>
      <c r="Y315" s="156"/>
      <c r="Z315" s="156"/>
      <c r="AA315" s="156"/>
      <c r="AB315" s="156"/>
      <c r="AC315" s="156"/>
      <c r="AD315" s="156"/>
      <c r="AE315" s="156"/>
      <c r="AF315" s="156"/>
      <c r="AG315" s="156"/>
    </row>
    <row r="316" spans="1:34" x14ac:dyDescent="0.25">
      <c r="A316" s="180"/>
      <c r="B316" s="126"/>
      <c r="C316" s="126"/>
      <c r="D316" s="138"/>
      <c r="E316" s="126"/>
      <c r="F316" s="126"/>
      <c r="G316" s="138"/>
      <c r="H316" s="182"/>
      <c r="I316" s="126"/>
      <c r="J316" s="126"/>
      <c r="K316" s="138"/>
      <c r="L316" s="126"/>
      <c r="M316" s="126"/>
      <c r="N316" s="138"/>
      <c r="O316" s="126"/>
      <c r="P316" s="126"/>
      <c r="Q316" s="156"/>
      <c r="R316" s="126"/>
      <c r="S316" s="126"/>
      <c r="T316" s="156"/>
      <c r="U316" s="164"/>
      <c r="V316" s="164"/>
      <c r="W316" s="164"/>
      <c r="X316" s="156"/>
      <c r="Y316" s="156"/>
      <c r="Z316" s="156"/>
      <c r="AA316" s="156"/>
      <c r="AB316" s="156"/>
      <c r="AC316" s="156"/>
      <c r="AD316" s="156"/>
      <c r="AE316" s="156"/>
      <c r="AF316" s="156"/>
      <c r="AG316" s="156"/>
    </row>
    <row r="317" spans="1:34" x14ac:dyDescent="0.25">
      <c r="A317" s="180"/>
      <c r="B317" s="126"/>
      <c r="C317" s="126"/>
      <c r="D317" s="138"/>
      <c r="E317" s="126"/>
      <c r="F317" s="126"/>
      <c r="G317" s="138"/>
      <c r="H317" s="182"/>
      <c r="I317" s="126"/>
      <c r="J317" s="126"/>
      <c r="K317" s="138"/>
      <c r="L317" s="126"/>
      <c r="M317" s="126"/>
      <c r="N317" s="138"/>
      <c r="O317" s="126"/>
      <c r="P317" s="126"/>
      <c r="Q317" s="156"/>
      <c r="R317" s="126"/>
      <c r="S317" s="126"/>
      <c r="T317" s="156"/>
      <c r="U317" s="164"/>
      <c r="V317" s="164"/>
      <c r="W317" s="164"/>
      <c r="X317" s="156"/>
      <c r="Y317" s="156"/>
      <c r="Z317" s="156"/>
      <c r="AA317" s="156"/>
      <c r="AB317" s="156"/>
      <c r="AC317" s="156"/>
      <c r="AD317" s="156"/>
      <c r="AE317" s="156"/>
      <c r="AF317" s="156"/>
      <c r="AG317" s="156"/>
    </row>
    <row r="318" spans="1:34" x14ac:dyDescent="0.25">
      <c r="A318" s="180"/>
      <c r="B318" s="126"/>
      <c r="C318" s="126"/>
      <c r="D318" s="138"/>
      <c r="E318" s="126"/>
      <c r="F318" s="126"/>
      <c r="G318" s="138"/>
      <c r="H318" s="182"/>
      <c r="I318" s="126"/>
      <c r="J318" s="126"/>
      <c r="K318" s="138"/>
      <c r="L318" s="126"/>
      <c r="M318" s="126"/>
      <c r="N318" s="138"/>
      <c r="O318" s="126"/>
      <c r="P318" s="126"/>
      <c r="Q318" s="156"/>
      <c r="R318" s="126"/>
      <c r="S318" s="126"/>
      <c r="T318" s="156"/>
      <c r="U318" s="164"/>
      <c r="V318" s="164"/>
      <c r="W318" s="164"/>
      <c r="X318" s="156"/>
      <c r="Y318" s="156"/>
      <c r="Z318" s="156"/>
      <c r="AA318" s="156"/>
      <c r="AB318" s="156"/>
      <c r="AC318" s="156"/>
      <c r="AD318" s="156"/>
      <c r="AE318" s="156"/>
      <c r="AF318" s="156"/>
      <c r="AG318" s="156"/>
    </row>
    <row r="319" spans="1:34" x14ac:dyDescent="0.25">
      <c r="A319" s="180"/>
      <c r="B319" s="126"/>
      <c r="C319" s="126"/>
      <c r="D319" s="138"/>
      <c r="E319" s="126"/>
      <c r="F319" s="126"/>
      <c r="G319" s="138"/>
      <c r="H319" s="182"/>
      <c r="I319" s="126"/>
      <c r="J319" s="126"/>
      <c r="K319" s="138"/>
      <c r="L319" s="126"/>
      <c r="M319" s="126"/>
      <c r="N319" s="138"/>
      <c r="O319" s="126"/>
      <c r="P319" s="126"/>
      <c r="Q319" s="156"/>
      <c r="R319" s="126"/>
      <c r="S319" s="126"/>
      <c r="T319" s="156"/>
      <c r="U319" s="164"/>
      <c r="V319" s="164"/>
      <c r="W319" s="164"/>
      <c r="X319" s="156"/>
      <c r="Y319" s="156"/>
      <c r="Z319" s="156"/>
      <c r="AA319" s="156"/>
      <c r="AB319" s="156"/>
      <c r="AC319" s="156"/>
      <c r="AD319" s="156"/>
      <c r="AE319" s="156"/>
      <c r="AF319" s="156"/>
      <c r="AG319" s="156"/>
    </row>
    <row r="320" spans="1:34" x14ac:dyDescent="0.25">
      <c r="A320" s="156"/>
      <c r="B320" s="126"/>
      <c r="C320" s="126"/>
      <c r="D320" s="138"/>
      <c r="E320" s="126"/>
      <c r="F320" s="126"/>
      <c r="G320" s="138"/>
      <c r="H320" s="182"/>
      <c r="I320" s="126"/>
      <c r="J320" s="126"/>
      <c r="K320" s="138"/>
      <c r="L320" s="126"/>
      <c r="M320" s="126"/>
      <c r="N320" s="138"/>
      <c r="O320" s="126"/>
      <c r="P320" s="126"/>
      <c r="Q320" s="156"/>
      <c r="R320" s="126"/>
      <c r="S320" s="126"/>
      <c r="T320" s="156"/>
      <c r="U320" s="164"/>
      <c r="V320" s="164"/>
      <c r="W320" s="164"/>
      <c r="X320" s="156"/>
      <c r="Y320" s="156"/>
      <c r="Z320" s="156"/>
      <c r="AA320" s="156"/>
      <c r="AB320" s="156"/>
      <c r="AC320" s="156"/>
      <c r="AD320" s="156"/>
      <c r="AE320" s="156"/>
      <c r="AF320" s="156"/>
      <c r="AG320" s="156"/>
    </row>
    <row r="321" spans="1:33" x14ac:dyDescent="0.25">
      <c r="A321" s="156"/>
      <c r="B321" s="126"/>
      <c r="C321" s="126"/>
      <c r="D321" s="138"/>
      <c r="E321" s="126"/>
      <c r="F321" s="126"/>
      <c r="G321" s="138"/>
      <c r="H321" s="182"/>
      <c r="I321" s="126"/>
      <c r="J321" s="126"/>
      <c r="K321" s="138"/>
      <c r="L321" s="126"/>
      <c r="M321" s="126"/>
      <c r="N321" s="138"/>
      <c r="O321" s="126"/>
      <c r="P321" s="126"/>
      <c r="Q321" s="156"/>
      <c r="R321" s="126"/>
      <c r="S321" s="126"/>
      <c r="T321" s="156"/>
      <c r="U321" s="164"/>
      <c r="V321" s="164"/>
      <c r="W321" s="164"/>
      <c r="X321" s="156"/>
      <c r="Y321" s="156"/>
      <c r="Z321" s="156"/>
      <c r="AA321" s="156"/>
      <c r="AB321" s="156"/>
      <c r="AC321" s="156"/>
      <c r="AD321" s="156"/>
      <c r="AE321" s="156"/>
      <c r="AF321" s="156"/>
      <c r="AG321" s="156"/>
    </row>
    <row r="322" spans="1:33" x14ac:dyDescent="0.25">
      <c r="A322" s="156"/>
      <c r="B322" s="126"/>
      <c r="C322" s="126"/>
      <c r="D322" s="138"/>
      <c r="E322" s="126"/>
      <c r="F322" s="126"/>
      <c r="G322" s="138"/>
      <c r="H322" s="182"/>
      <c r="I322" s="126"/>
      <c r="J322" s="126"/>
      <c r="K322" s="138"/>
      <c r="L322" s="126"/>
      <c r="M322" s="126"/>
      <c r="N322" s="138"/>
      <c r="O322" s="126"/>
      <c r="P322" s="126"/>
      <c r="Q322" s="156"/>
      <c r="R322" s="126"/>
      <c r="S322" s="126"/>
      <c r="T322" s="156"/>
      <c r="U322" s="164"/>
      <c r="V322" s="164"/>
      <c r="W322" s="164"/>
      <c r="X322" s="156"/>
      <c r="Y322" s="156"/>
      <c r="Z322" s="156"/>
      <c r="AA322" s="156"/>
      <c r="AB322" s="156"/>
      <c r="AC322" s="156"/>
      <c r="AD322" s="156"/>
      <c r="AE322" s="156"/>
      <c r="AF322" s="156"/>
      <c r="AG322" s="156"/>
    </row>
    <row r="323" spans="1:33" x14ac:dyDescent="0.25">
      <c r="A323" s="156"/>
      <c r="B323" s="126"/>
      <c r="C323" s="126"/>
      <c r="D323" s="138"/>
      <c r="E323" s="126"/>
      <c r="F323" s="126"/>
      <c r="G323" s="138"/>
      <c r="H323" s="182"/>
      <c r="I323" s="126"/>
      <c r="J323" s="126"/>
      <c r="K323" s="138"/>
      <c r="L323" s="126"/>
      <c r="M323" s="126"/>
      <c r="N323" s="138"/>
      <c r="O323" s="126"/>
      <c r="P323" s="126"/>
      <c r="Q323" s="156"/>
      <c r="R323" s="126"/>
      <c r="S323" s="126"/>
      <c r="T323" s="156"/>
      <c r="U323" s="164"/>
      <c r="V323" s="164"/>
      <c r="W323" s="164"/>
      <c r="X323" s="156"/>
      <c r="Y323" s="156"/>
      <c r="Z323" s="156"/>
      <c r="AA323" s="156"/>
      <c r="AB323" s="156"/>
      <c r="AC323" s="156"/>
      <c r="AD323" s="156"/>
      <c r="AE323" s="156"/>
      <c r="AF323" s="156"/>
      <c r="AG323" s="156"/>
    </row>
    <row r="324" spans="1:33" x14ac:dyDescent="0.25">
      <c r="A324" s="156"/>
      <c r="B324" s="126"/>
      <c r="C324" s="126"/>
      <c r="D324" s="138"/>
      <c r="E324" s="126"/>
      <c r="F324" s="126"/>
      <c r="G324" s="138"/>
      <c r="H324" s="182"/>
      <c r="I324" s="126"/>
      <c r="J324" s="126"/>
      <c r="K324" s="138"/>
      <c r="L324" s="126"/>
      <c r="M324" s="126"/>
      <c r="N324" s="138"/>
      <c r="O324" s="126"/>
      <c r="P324" s="126"/>
      <c r="Q324" s="156"/>
      <c r="R324" s="126"/>
      <c r="S324" s="126"/>
      <c r="T324" s="156"/>
      <c r="U324" s="164"/>
      <c r="V324" s="164"/>
      <c r="W324" s="164"/>
      <c r="X324" s="156"/>
      <c r="Y324" s="156"/>
      <c r="Z324" s="156"/>
      <c r="AA324" s="156"/>
      <c r="AB324" s="156"/>
      <c r="AC324" s="156"/>
      <c r="AD324" s="156"/>
      <c r="AE324" s="156"/>
      <c r="AF324" s="156"/>
      <c r="AG324" s="156"/>
    </row>
    <row r="325" spans="1:33" x14ac:dyDescent="0.25">
      <c r="A325" s="156"/>
      <c r="B325" s="126"/>
      <c r="C325" s="126"/>
      <c r="D325" s="138"/>
      <c r="E325" s="126"/>
      <c r="F325" s="126"/>
      <c r="G325" s="138"/>
      <c r="H325" s="182"/>
      <c r="I325" s="126"/>
      <c r="J325" s="126"/>
      <c r="K325" s="138"/>
      <c r="L325" s="126"/>
      <c r="M325" s="126"/>
      <c r="N325" s="138"/>
      <c r="O325" s="126"/>
      <c r="P325" s="126"/>
      <c r="Q325" s="156"/>
      <c r="R325" s="126"/>
      <c r="S325" s="126"/>
      <c r="T325" s="156"/>
      <c r="U325" s="164"/>
      <c r="V325" s="164"/>
      <c r="W325" s="164"/>
      <c r="X325" s="156"/>
      <c r="Y325" s="156"/>
      <c r="Z325" s="156"/>
      <c r="AA325" s="156"/>
      <c r="AB325" s="156"/>
      <c r="AC325" s="156"/>
      <c r="AD325" s="156"/>
      <c r="AE325" s="156"/>
      <c r="AF325" s="156"/>
      <c r="AG325" s="156"/>
    </row>
    <row r="326" spans="1:33" x14ac:dyDescent="0.25">
      <c r="A326" s="156"/>
      <c r="B326" s="126"/>
      <c r="C326" s="126"/>
      <c r="D326" s="138"/>
      <c r="E326" s="126"/>
      <c r="F326" s="126"/>
      <c r="G326" s="138"/>
      <c r="H326" s="182"/>
      <c r="I326" s="126"/>
      <c r="J326" s="126"/>
      <c r="K326" s="138"/>
      <c r="L326" s="126"/>
      <c r="M326" s="126"/>
      <c r="N326" s="138"/>
      <c r="O326" s="126"/>
      <c r="P326" s="126"/>
      <c r="Q326" s="156"/>
      <c r="R326" s="126"/>
      <c r="S326" s="126"/>
      <c r="T326" s="156"/>
      <c r="U326" s="164"/>
      <c r="V326" s="164"/>
      <c r="W326" s="164"/>
      <c r="X326" s="156"/>
      <c r="Y326" s="156"/>
      <c r="Z326" s="156"/>
      <c r="AA326" s="156"/>
      <c r="AB326" s="156"/>
      <c r="AC326" s="156"/>
      <c r="AD326" s="156"/>
      <c r="AE326" s="156"/>
      <c r="AF326" s="156"/>
      <c r="AG326" s="156"/>
    </row>
    <row r="327" spans="1:33" x14ac:dyDescent="0.25">
      <c r="A327" s="156"/>
      <c r="B327" s="156"/>
      <c r="C327" s="156"/>
      <c r="D327" s="138"/>
      <c r="E327" s="138"/>
      <c r="F327" s="138"/>
      <c r="G327" s="138"/>
      <c r="H327" s="182"/>
      <c r="I327" s="138"/>
      <c r="J327" s="138"/>
      <c r="K327" s="138"/>
      <c r="L327" s="138"/>
      <c r="M327" s="138"/>
      <c r="N327" s="138"/>
      <c r="O327" s="183"/>
      <c r="P327" s="184"/>
      <c r="Q327" s="156"/>
      <c r="R327" s="156"/>
      <c r="S327" s="156"/>
      <c r="T327" s="156"/>
      <c r="U327" s="164"/>
      <c r="V327" s="164"/>
      <c r="W327" s="164"/>
      <c r="X327" s="156"/>
      <c r="Y327" s="156"/>
      <c r="Z327" s="156"/>
      <c r="AA327" s="156"/>
      <c r="AB327" s="156"/>
      <c r="AC327" s="156"/>
      <c r="AD327" s="156"/>
      <c r="AE327" s="156"/>
      <c r="AF327" s="156"/>
      <c r="AG327" s="156"/>
    </row>
    <row r="328" spans="1:33" x14ac:dyDescent="0.25">
      <c r="A328" s="156"/>
      <c r="B328" s="156"/>
      <c r="C328" s="156"/>
      <c r="D328" s="138"/>
      <c r="E328" s="138"/>
      <c r="F328" s="138"/>
      <c r="G328" s="138"/>
      <c r="H328" s="182"/>
      <c r="I328" s="138"/>
      <c r="J328" s="138"/>
      <c r="K328" s="138"/>
      <c r="L328" s="138"/>
      <c r="M328" s="138"/>
      <c r="N328" s="138"/>
      <c r="O328" s="183"/>
      <c r="P328" s="184"/>
      <c r="Q328" s="156"/>
      <c r="R328" s="156"/>
      <c r="S328" s="156"/>
      <c r="T328" s="156"/>
      <c r="U328" s="164"/>
      <c r="V328" s="164"/>
      <c r="W328" s="164"/>
      <c r="X328" s="156"/>
      <c r="Y328" s="156"/>
      <c r="Z328" s="156"/>
      <c r="AA328" s="156"/>
      <c r="AB328" s="156"/>
      <c r="AC328" s="156"/>
      <c r="AD328" s="156"/>
      <c r="AE328" s="156"/>
      <c r="AF328" s="156"/>
      <c r="AG328" s="156"/>
    </row>
    <row r="329" spans="1:33" x14ac:dyDescent="0.25">
      <c r="A329" s="156"/>
      <c r="B329" s="156"/>
      <c r="C329" s="156"/>
      <c r="D329" s="138"/>
      <c r="E329" s="138"/>
      <c r="F329" s="138"/>
      <c r="G329" s="138"/>
      <c r="H329" s="182"/>
      <c r="I329" s="138"/>
      <c r="J329" s="138"/>
      <c r="K329" s="138"/>
      <c r="L329" s="138"/>
      <c r="M329" s="138"/>
      <c r="N329" s="138"/>
      <c r="O329" s="183"/>
      <c r="P329" s="184"/>
      <c r="Q329" s="156"/>
      <c r="R329" s="156"/>
      <c r="S329" s="156"/>
      <c r="T329" s="156"/>
      <c r="U329" s="164"/>
      <c r="V329" s="164"/>
      <c r="W329" s="164"/>
      <c r="X329" s="156"/>
      <c r="Y329" s="156"/>
      <c r="Z329" s="156"/>
      <c r="AA329" s="156"/>
      <c r="AB329" s="156"/>
      <c r="AC329" s="156"/>
      <c r="AD329" s="156"/>
      <c r="AE329" s="156"/>
      <c r="AF329" s="156"/>
      <c r="AG329" s="156"/>
    </row>
    <row r="330" spans="1:33" x14ac:dyDescent="0.25">
      <c r="A330" s="156"/>
      <c r="B330" s="156"/>
      <c r="C330" s="156"/>
      <c r="D330" s="138"/>
      <c r="E330" s="138"/>
      <c r="F330" s="138"/>
      <c r="G330" s="138"/>
      <c r="H330" s="182"/>
      <c r="I330" s="138"/>
      <c r="J330" s="138"/>
      <c r="K330" s="138"/>
      <c r="L330" s="138"/>
      <c r="M330" s="138"/>
      <c r="N330" s="138"/>
      <c r="O330" s="183"/>
      <c r="P330" s="184"/>
      <c r="Q330" s="156"/>
      <c r="R330" s="156"/>
      <c r="S330" s="156"/>
      <c r="T330" s="156"/>
      <c r="U330" s="164"/>
      <c r="V330" s="164"/>
      <c r="W330" s="164"/>
      <c r="X330" s="156"/>
      <c r="Y330" s="156"/>
      <c r="Z330" s="156"/>
      <c r="AA330" s="156"/>
      <c r="AB330" s="156"/>
      <c r="AC330" s="156"/>
      <c r="AD330" s="156"/>
      <c r="AE330" s="156"/>
      <c r="AF330" s="156"/>
      <c r="AG330" s="156"/>
    </row>
    <row r="331" spans="1:33" x14ac:dyDescent="0.25">
      <c r="A331" s="156"/>
      <c r="B331" s="156"/>
      <c r="C331" s="156"/>
      <c r="D331" s="138"/>
      <c r="E331" s="138"/>
      <c r="F331" s="138"/>
      <c r="G331" s="138"/>
      <c r="H331" s="182"/>
      <c r="I331" s="138"/>
      <c r="J331" s="138"/>
      <c r="K331" s="138"/>
      <c r="L331" s="138"/>
      <c r="M331" s="138"/>
      <c r="N331" s="138"/>
      <c r="O331" s="183"/>
      <c r="P331" s="184"/>
      <c r="Q331" s="156"/>
      <c r="R331" s="156"/>
      <c r="S331" s="156"/>
      <c r="T331" s="156"/>
      <c r="U331" s="164"/>
      <c r="V331" s="164"/>
      <c r="W331" s="164"/>
      <c r="X331" s="156"/>
      <c r="Y331" s="156"/>
      <c r="Z331" s="156"/>
      <c r="AA331" s="156"/>
      <c r="AB331" s="156"/>
      <c r="AC331" s="156"/>
      <c r="AD331" s="156"/>
      <c r="AE331" s="156"/>
      <c r="AF331" s="156"/>
      <c r="AG331" s="156"/>
    </row>
    <row r="332" spans="1:33" x14ac:dyDescent="0.25">
      <c r="A332" s="156"/>
      <c r="B332" s="156"/>
      <c r="C332" s="156"/>
      <c r="D332" s="138"/>
      <c r="E332" s="138"/>
      <c r="F332" s="138"/>
      <c r="G332" s="138"/>
      <c r="H332" s="182"/>
      <c r="I332" s="138"/>
      <c r="J332" s="138"/>
      <c r="K332" s="138"/>
      <c r="L332" s="138"/>
      <c r="M332" s="138"/>
      <c r="N332" s="138"/>
      <c r="O332" s="183"/>
      <c r="P332" s="184"/>
      <c r="Q332" s="156"/>
      <c r="R332" s="156"/>
      <c r="S332" s="156"/>
      <c r="T332" s="156"/>
      <c r="U332" s="164"/>
      <c r="V332" s="164"/>
      <c r="W332" s="164"/>
      <c r="X332" s="156"/>
      <c r="Y332" s="156"/>
      <c r="Z332" s="156"/>
      <c r="AA332" s="156"/>
      <c r="AB332" s="156"/>
      <c r="AC332" s="156"/>
      <c r="AD332" s="156"/>
      <c r="AE332" s="156"/>
      <c r="AF332" s="156"/>
      <c r="AG332" s="156"/>
    </row>
    <row r="333" spans="1:33" x14ac:dyDescent="0.25">
      <c r="A333" s="156"/>
      <c r="B333" s="156"/>
      <c r="C333" s="156"/>
      <c r="D333" s="138"/>
      <c r="E333" s="138"/>
      <c r="F333" s="138"/>
      <c r="G333" s="138"/>
      <c r="H333" s="182"/>
      <c r="I333" s="138"/>
      <c r="J333" s="138"/>
      <c r="K333" s="138"/>
      <c r="L333" s="138"/>
      <c r="M333" s="138"/>
      <c r="N333" s="138"/>
      <c r="O333" s="183"/>
      <c r="P333" s="184"/>
      <c r="Q333" s="156"/>
      <c r="R333" s="156"/>
      <c r="S333" s="156"/>
      <c r="T333" s="156"/>
      <c r="U333" s="164"/>
      <c r="V333" s="164"/>
      <c r="W333" s="164"/>
      <c r="X333" s="156"/>
      <c r="Y333" s="156"/>
      <c r="Z333" s="156"/>
      <c r="AA333" s="156"/>
      <c r="AB333" s="156"/>
      <c r="AC333" s="156"/>
      <c r="AD333" s="156"/>
      <c r="AE333" s="156"/>
      <c r="AF333" s="156"/>
      <c r="AG333" s="156"/>
    </row>
    <row r="334" spans="1:33" x14ac:dyDescent="0.25">
      <c r="A334" s="156"/>
      <c r="B334" s="156"/>
      <c r="C334" s="156"/>
      <c r="D334" s="138"/>
      <c r="E334" s="138"/>
      <c r="F334" s="138"/>
      <c r="G334" s="138"/>
      <c r="H334" s="182"/>
      <c r="I334" s="138"/>
      <c r="J334" s="138"/>
      <c r="K334" s="138"/>
      <c r="L334" s="138"/>
      <c r="M334" s="138"/>
      <c r="N334" s="138"/>
      <c r="O334" s="183"/>
      <c r="P334" s="184"/>
      <c r="Q334" s="156"/>
      <c r="R334" s="156"/>
      <c r="S334" s="156"/>
      <c r="T334" s="156"/>
      <c r="U334" s="164"/>
      <c r="V334" s="164"/>
      <c r="W334" s="164"/>
      <c r="X334" s="156"/>
      <c r="Y334" s="156"/>
      <c r="Z334" s="156"/>
      <c r="AA334" s="156"/>
      <c r="AB334" s="156"/>
      <c r="AC334" s="156"/>
      <c r="AD334" s="156"/>
      <c r="AE334" s="156"/>
      <c r="AF334" s="156"/>
      <c r="AG334" s="156"/>
    </row>
    <row r="335" spans="1:33" x14ac:dyDescent="0.25">
      <c r="A335" s="156"/>
      <c r="B335" s="156"/>
      <c r="C335" s="156"/>
      <c r="D335" s="138"/>
      <c r="E335" s="138"/>
      <c r="F335" s="138"/>
      <c r="G335" s="138"/>
      <c r="H335" s="182"/>
      <c r="I335" s="138"/>
      <c r="J335" s="138"/>
      <c r="K335" s="138"/>
      <c r="L335" s="138"/>
      <c r="M335" s="138"/>
      <c r="N335" s="138"/>
      <c r="O335" s="183"/>
      <c r="P335" s="184"/>
      <c r="Q335" s="156"/>
      <c r="R335" s="156"/>
      <c r="S335" s="156"/>
      <c r="T335" s="156"/>
      <c r="U335" s="164"/>
      <c r="V335" s="164"/>
      <c r="W335" s="164"/>
      <c r="X335" s="156"/>
      <c r="Y335" s="156"/>
      <c r="Z335" s="156"/>
      <c r="AA335" s="156"/>
      <c r="AB335" s="156"/>
      <c r="AC335" s="156"/>
      <c r="AD335" s="156"/>
      <c r="AE335" s="156"/>
      <c r="AF335" s="156"/>
      <c r="AG335" s="156"/>
    </row>
    <row r="336" spans="1:33" x14ac:dyDescent="0.25">
      <c r="A336" s="156"/>
      <c r="B336" s="156"/>
      <c r="C336" s="156"/>
      <c r="D336" s="138"/>
      <c r="E336" s="138"/>
      <c r="F336" s="138"/>
      <c r="G336" s="138"/>
      <c r="H336" s="182"/>
      <c r="I336" s="138"/>
      <c r="J336" s="138"/>
      <c r="K336" s="138"/>
      <c r="L336" s="138"/>
      <c r="M336" s="138"/>
      <c r="N336" s="138"/>
      <c r="O336" s="183"/>
      <c r="P336" s="184"/>
      <c r="Q336" s="156"/>
      <c r="R336" s="156"/>
      <c r="S336" s="156"/>
      <c r="T336" s="156"/>
      <c r="U336" s="164"/>
      <c r="V336" s="164"/>
      <c r="W336" s="164"/>
      <c r="X336" s="156"/>
      <c r="Y336" s="156"/>
      <c r="Z336" s="156"/>
      <c r="AA336" s="156"/>
      <c r="AB336" s="156"/>
      <c r="AC336" s="156"/>
      <c r="AD336" s="156"/>
      <c r="AE336" s="156"/>
      <c r="AF336" s="156"/>
      <c r="AG336" s="156"/>
    </row>
    <row r="337" spans="4:16" x14ac:dyDescent="0.25">
      <c r="D337" s="1"/>
      <c r="E337" s="1"/>
      <c r="F337" s="1"/>
      <c r="G337" s="1"/>
      <c r="H337" s="51"/>
      <c r="I337" s="1"/>
      <c r="J337" s="1"/>
      <c r="K337" s="1"/>
      <c r="L337" s="1"/>
      <c r="M337" s="1"/>
      <c r="N337" s="1"/>
      <c r="O337" s="48"/>
      <c r="P337" s="49"/>
    </row>
    <row r="338" spans="4:16" x14ac:dyDescent="0.25">
      <c r="D338" s="1"/>
      <c r="E338" s="1"/>
      <c r="F338" s="1"/>
      <c r="G338" s="1"/>
      <c r="H338" s="51"/>
      <c r="I338" s="1"/>
      <c r="J338" s="1"/>
      <c r="K338" s="1"/>
      <c r="L338" s="1"/>
      <c r="M338" s="1"/>
      <c r="N338" s="1"/>
      <c r="O338" s="48"/>
      <c r="P338" s="49"/>
    </row>
    <row r="339" spans="4:16" x14ac:dyDescent="0.25">
      <c r="D339" s="1"/>
      <c r="E339" s="1"/>
      <c r="F339" s="1"/>
      <c r="G339" s="1"/>
      <c r="H339" s="51"/>
      <c r="I339" s="1"/>
      <c r="J339" s="1"/>
      <c r="K339" s="1"/>
      <c r="L339" s="1"/>
      <c r="M339" s="1"/>
      <c r="N339" s="1"/>
      <c r="O339" s="48"/>
      <c r="P339" s="49"/>
    </row>
    <row r="340" spans="4:16" x14ac:dyDescent="0.25">
      <c r="P340" s="49"/>
    </row>
    <row r="341" spans="4:16" x14ac:dyDescent="0.25">
      <c r="P341" s="49"/>
    </row>
    <row r="342" spans="4:16" x14ac:dyDescent="0.25">
      <c r="P342" s="49"/>
    </row>
    <row r="343" spans="4:16" x14ac:dyDescent="0.25">
      <c r="P343" s="49"/>
    </row>
    <row r="344" spans="4:16" x14ac:dyDescent="0.25">
      <c r="P344" s="49"/>
    </row>
    <row r="345" spans="4:16" x14ac:dyDescent="0.25">
      <c r="P345" s="49"/>
    </row>
    <row r="346" spans="4:16" x14ac:dyDescent="0.25">
      <c r="P346" s="49"/>
    </row>
    <row r="347" spans="4:16" x14ac:dyDescent="0.25">
      <c r="P347" s="49"/>
    </row>
    <row r="348" spans="4:16" x14ac:dyDescent="0.25">
      <c r="P348" s="49"/>
    </row>
    <row r="349" spans="4:16" x14ac:dyDescent="0.25">
      <c r="P349" s="49"/>
    </row>
    <row r="350" spans="4:16" x14ac:dyDescent="0.25">
      <c r="P350" s="49"/>
    </row>
    <row r="351" spans="4:16" x14ac:dyDescent="0.25">
      <c r="P351" s="49"/>
    </row>
    <row r="352" spans="4:16" x14ac:dyDescent="0.25">
      <c r="P352" s="49"/>
    </row>
    <row r="353" spans="16:16" x14ac:dyDescent="0.25">
      <c r="P353" s="49"/>
    </row>
    <row r="354" spans="16:16" x14ac:dyDescent="0.25">
      <c r="P354" s="49"/>
    </row>
    <row r="355" spans="16:16" x14ac:dyDescent="0.25">
      <c r="P355" s="49"/>
    </row>
    <row r="356" spans="16:16" x14ac:dyDescent="0.25">
      <c r="P356" s="49"/>
    </row>
    <row r="357" spans="16:16" x14ac:dyDescent="0.25">
      <c r="P357" s="49"/>
    </row>
    <row r="358" spans="16:16" x14ac:dyDescent="0.25">
      <c r="P358" s="49"/>
    </row>
    <row r="359" spans="16:16" x14ac:dyDescent="0.25">
      <c r="P359" s="49"/>
    </row>
    <row r="360" spans="16:16" x14ac:dyDescent="0.25">
      <c r="P360" s="49"/>
    </row>
    <row r="361" spans="16:16" x14ac:dyDescent="0.25">
      <c r="P361" s="49"/>
    </row>
    <row r="362" spans="16:16" x14ac:dyDescent="0.25">
      <c r="P362" s="49"/>
    </row>
    <row r="363" spans="16:16" x14ac:dyDescent="0.25">
      <c r="P363" s="49"/>
    </row>
    <row r="364" spans="16:16" x14ac:dyDescent="0.25">
      <c r="P364" s="49"/>
    </row>
    <row r="365" spans="16:16" x14ac:dyDescent="0.25">
      <c r="P365" s="49"/>
    </row>
    <row r="366" spans="16:16" x14ac:dyDescent="0.25">
      <c r="P366" s="49"/>
    </row>
    <row r="367" spans="16:16" x14ac:dyDescent="0.25">
      <c r="P367" s="49"/>
    </row>
    <row r="368" spans="16:16" x14ac:dyDescent="0.25">
      <c r="P368" s="49"/>
    </row>
    <row r="369" spans="16:16" x14ac:dyDescent="0.25">
      <c r="P369" s="49"/>
    </row>
    <row r="370" spans="16:16" x14ac:dyDescent="0.25">
      <c r="P370" s="49"/>
    </row>
    <row r="371" spans="16:16" x14ac:dyDescent="0.25">
      <c r="P371" s="49"/>
    </row>
    <row r="372" spans="16:16" x14ac:dyDescent="0.25">
      <c r="P372" s="49"/>
    </row>
    <row r="373" spans="16:16" x14ac:dyDescent="0.25">
      <c r="P373" s="49"/>
    </row>
    <row r="374" spans="16:16" x14ac:dyDescent="0.25">
      <c r="P374" s="49"/>
    </row>
    <row r="375" spans="16:16" x14ac:dyDescent="0.25">
      <c r="P375" s="49"/>
    </row>
    <row r="376" spans="16:16" x14ac:dyDescent="0.25">
      <c r="P376" s="49"/>
    </row>
    <row r="377" spans="16:16" x14ac:dyDescent="0.25">
      <c r="P377" s="49"/>
    </row>
    <row r="378" spans="16:16" x14ac:dyDescent="0.25">
      <c r="P378" s="49"/>
    </row>
    <row r="379" spans="16:16" x14ac:dyDescent="0.25">
      <c r="P379" s="49"/>
    </row>
    <row r="380" spans="16:16" x14ac:dyDescent="0.25">
      <c r="P380" s="49"/>
    </row>
    <row r="381" spans="16:16" x14ac:dyDescent="0.25">
      <c r="P381" s="49"/>
    </row>
    <row r="382" spans="16:16" x14ac:dyDescent="0.25">
      <c r="P382" s="49"/>
    </row>
    <row r="383" spans="16:16" x14ac:dyDescent="0.25">
      <c r="P383" s="49"/>
    </row>
    <row r="384" spans="16:16" x14ac:dyDescent="0.25">
      <c r="P384" s="49"/>
    </row>
    <row r="385" spans="16:16" x14ac:dyDescent="0.25">
      <c r="P385" s="49"/>
    </row>
    <row r="386" spans="16:16" x14ac:dyDescent="0.25">
      <c r="P386" s="49"/>
    </row>
    <row r="387" spans="16:16" x14ac:dyDescent="0.25">
      <c r="P387" s="49"/>
    </row>
    <row r="388" spans="16:16" x14ac:dyDescent="0.25">
      <c r="P388" s="49"/>
    </row>
    <row r="389" spans="16:16" x14ac:dyDescent="0.25">
      <c r="P389" s="49"/>
    </row>
    <row r="390" spans="16:16" x14ac:dyDescent="0.25">
      <c r="P390" s="49"/>
    </row>
    <row r="391" spans="16:16" x14ac:dyDescent="0.25">
      <c r="P391" s="49"/>
    </row>
  </sheetData>
  <autoFilter ref="A3:Z287"/>
  <mergeCells count="5">
    <mergeCell ref="R2:T2"/>
    <mergeCell ref="U2:W2"/>
    <mergeCell ref="X2:Z2"/>
    <mergeCell ref="AA2:AC2"/>
    <mergeCell ref="AD2:AF2"/>
  </mergeCells>
  <pageMargins left="0.7" right="0.7" top="0.75" bottom="0.75" header="0.3" footer="0.3"/>
  <pageSetup orientation="portrait" horizontalDpi="4294967293" verticalDpi="0" r:id="rId1"/>
  <ignoredErrors>
    <ignoredError sqref="N10 N32 N168 N221 N284 N19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84"/>
  <sheetViews>
    <sheetView zoomScale="84" zoomScaleNormal="84" workbookViewId="0">
      <pane ySplit="3" topLeftCell="A4" activePane="bottomLeft" state="frozen"/>
      <selection pane="bottomLeft" activeCell="H1" activeCellId="1" sqref="E1:E1048576 H1:H1048576"/>
    </sheetView>
  </sheetViews>
  <sheetFormatPr baseColWidth="10" defaultRowHeight="15" x14ac:dyDescent="0.25"/>
  <cols>
    <col min="2" max="2" width="37.28515625" bestFit="1" customWidth="1"/>
    <col min="3" max="4" width="11.42578125" customWidth="1"/>
    <col min="6" max="6" width="16.42578125" customWidth="1"/>
    <col min="7" max="7" width="14.7109375" customWidth="1"/>
    <col min="8" max="8" width="11.7109375" style="9" customWidth="1"/>
    <col min="9" max="9" width="16.140625" style="9" customWidth="1"/>
    <col min="10" max="10" width="11.42578125" customWidth="1"/>
    <col min="11" max="12" width="9.85546875" customWidth="1"/>
    <col min="13" max="13" width="12.42578125" customWidth="1"/>
    <col min="14" max="14" width="13.42578125" customWidth="1"/>
    <col min="15" max="15" width="24.85546875" customWidth="1"/>
    <col min="16" max="16" width="15.5703125" customWidth="1"/>
    <col min="17" max="17" width="11.42578125" customWidth="1"/>
    <col min="20" max="20" width="20.42578125" bestFit="1" customWidth="1"/>
    <col min="21" max="21" width="21.42578125" bestFit="1" customWidth="1"/>
    <col min="22" max="22" width="11.42578125" style="34"/>
    <col min="23" max="23" width="20.42578125" style="34" bestFit="1" customWidth="1"/>
    <col min="24" max="24" width="21.42578125" style="34" bestFit="1" customWidth="1"/>
    <col min="26" max="26" width="20.42578125" bestFit="1" customWidth="1"/>
    <col min="27" max="27" width="21.42578125" bestFit="1" customWidth="1"/>
    <col min="28" max="28" width="0" style="34" hidden="1" customWidth="1"/>
    <col min="29" max="29" width="20.42578125" style="34" hidden="1" customWidth="1"/>
    <col min="30" max="30" width="21.42578125" hidden="1" customWidth="1"/>
    <col min="31" max="33" width="0" hidden="1" customWidth="1"/>
  </cols>
  <sheetData>
    <row r="2" spans="1:33" x14ac:dyDescent="0.25">
      <c r="S2" s="212" t="s">
        <v>165</v>
      </c>
      <c r="T2" s="212"/>
      <c r="U2" s="212"/>
      <c r="V2" s="213" t="s">
        <v>166</v>
      </c>
      <c r="W2" s="213"/>
      <c r="X2" s="213"/>
      <c r="Y2" s="214" t="s">
        <v>8</v>
      </c>
      <c r="Z2" s="214"/>
      <c r="AA2" s="214"/>
      <c r="AB2" s="221" t="s">
        <v>167</v>
      </c>
      <c r="AC2" s="221"/>
      <c r="AD2" s="221"/>
      <c r="AE2" s="220" t="s">
        <v>168</v>
      </c>
      <c r="AF2" s="220"/>
      <c r="AG2" s="220"/>
    </row>
    <row r="3" spans="1:33" s="1" customFormat="1" ht="15" customHeight="1" x14ac:dyDescent="0.25">
      <c r="A3" s="29"/>
      <c r="B3" s="23" t="s">
        <v>1</v>
      </c>
      <c r="C3" s="23" t="s">
        <v>5</v>
      </c>
      <c r="D3" s="23" t="s">
        <v>6</v>
      </c>
      <c r="E3" s="23" t="s">
        <v>4</v>
      </c>
      <c r="F3" s="23" t="s">
        <v>2</v>
      </c>
      <c r="G3" s="23"/>
      <c r="H3" s="23" t="s">
        <v>3</v>
      </c>
      <c r="I3" s="23" t="s">
        <v>161</v>
      </c>
      <c r="J3" s="23" t="s">
        <v>33</v>
      </c>
      <c r="K3" s="23" t="s">
        <v>34</v>
      </c>
      <c r="L3" s="23" t="s">
        <v>163</v>
      </c>
      <c r="M3" s="23" t="s">
        <v>35</v>
      </c>
      <c r="N3" s="23" t="s">
        <v>164</v>
      </c>
      <c r="O3" s="23" t="s">
        <v>36</v>
      </c>
      <c r="P3" s="23" t="s">
        <v>37</v>
      </c>
      <c r="Q3" s="23" t="s">
        <v>8</v>
      </c>
      <c r="S3" s="77" t="s">
        <v>160</v>
      </c>
      <c r="T3" s="77" t="s">
        <v>159</v>
      </c>
      <c r="U3" s="77" t="s">
        <v>157</v>
      </c>
      <c r="V3" s="78" t="s">
        <v>158</v>
      </c>
      <c r="W3" s="78" t="s">
        <v>159</v>
      </c>
      <c r="X3" s="79" t="s">
        <v>157</v>
      </c>
      <c r="Y3" s="80" t="s">
        <v>158</v>
      </c>
      <c r="Z3" s="80" t="s">
        <v>159</v>
      </c>
      <c r="AA3" s="81" t="s">
        <v>157</v>
      </c>
      <c r="AB3" s="94" t="s">
        <v>158</v>
      </c>
      <c r="AC3" s="94" t="s">
        <v>159</v>
      </c>
      <c r="AD3" s="94" t="s">
        <v>157</v>
      </c>
      <c r="AE3" s="26" t="s">
        <v>158</v>
      </c>
      <c r="AF3" s="26" t="s">
        <v>159</v>
      </c>
      <c r="AG3" s="27" t="s">
        <v>157</v>
      </c>
    </row>
    <row r="4" spans="1:33" ht="15.75" x14ac:dyDescent="0.25">
      <c r="A4" s="1">
        <v>1</v>
      </c>
      <c r="B4" t="s">
        <v>38</v>
      </c>
      <c r="C4" s="1">
        <v>2</v>
      </c>
      <c r="D4" s="1" t="s">
        <v>7</v>
      </c>
      <c r="E4" s="1">
        <v>2</v>
      </c>
      <c r="F4" s="2">
        <v>41999</v>
      </c>
      <c r="G4" s="2">
        <v>44375</v>
      </c>
      <c r="H4" s="8">
        <f t="shared" ref="H4:H35" si="0">DATEDIF(F4,G4,"y")</f>
        <v>6</v>
      </c>
      <c r="I4" s="8">
        <f>DATEDIF(F4,G4,"m")</f>
        <v>78</v>
      </c>
      <c r="J4" s="1">
        <v>30.9</v>
      </c>
      <c r="K4" s="1">
        <v>1.26</v>
      </c>
      <c r="L4" s="1">
        <f>K4*100</f>
        <v>126</v>
      </c>
      <c r="M4" s="1">
        <v>68</v>
      </c>
      <c r="N4" s="1">
        <f>((L4-M4)/L4)*100</f>
        <v>46.031746031746032</v>
      </c>
      <c r="O4" s="1">
        <v>0</v>
      </c>
      <c r="P4" s="1">
        <v>64.5</v>
      </c>
      <c r="Q4" s="5">
        <f>J4/(K4*K4)</f>
        <v>19.463340891912317</v>
      </c>
      <c r="R4" s="33"/>
      <c r="S4" s="91">
        <v>1.5149406517897486</v>
      </c>
      <c r="T4" s="91">
        <v>93.510628283011684</v>
      </c>
      <c r="U4" s="39" t="str">
        <f>IF(S4&lt;-1.645,"Desnutricion",IF(AND(S4&gt;=-1.645,S4&lt;=1.645),"Normal",IF(S4&gt;1.645,"Alto")))</f>
        <v>Normal</v>
      </c>
      <c r="V4" s="91">
        <v>-0.58441954072222968</v>
      </c>
      <c r="W4" s="91">
        <v>27.946904153191614</v>
      </c>
      <c r="X4" s="40" t="str">
        <f>IF(V4&lt;-1.645,"Piernas cortas",IF(AND(V4&gt;=-1.645,V4&lt;=1.645),"Normal",IF(V4&gt;1.645,"Piernas largas")))</f>
        <v>Normal</v>
      </c>
      <c r="Y4" s="155">
        <v>1.9932049431640997</v>
      </c>
      <c r="Z4" s="91">
        <v>97.688049497247476</v>
      </c>
      <c r="AA4" s="39" t="str">
        <f>IF(Z4&lt;5,"Desnutricion",IF(AND(Z4&gt;=5,Z4&lt;15),"Bajo Peso",IF(AND(Z4&gt;=15,Z4&lt;=85),"Normal",IF(Z4&gt;85,"Obesidad"))))</f>
        <v>Obesidad</v>
      </c>
      <c r="AB4" s="36">
        <v>1.8734500629694824</v>
      </c>
      <c r="AC4" s="36">
        <v>96.949686881349322</v>
      </c>
      <c r="AD4" s="39" t="str">
        <f>IF(AB4&lt;-1.645,"Bajo",IF(AND(AB4&gt;=-1.645,AB4&lt;-1.036),"Debajo del promedio",IF(AND(AB4&gt;=-1.036,AB4&lt;=1.036),"Normal",IF(AND(AB4&gt;1.036,AB4&lt;=1.645),"Arriba del promedio",IF(AB4&gt;1.645,"Alto","")))))</f>
        <v>Alto</v>
      </c>
      <c r="AE4" s="34" t="s">
        <v>172</v>
      </c>
      <c r="AF4" s="34" t="s">
        <v>172</v>
      </c>
      <c r="AG4" s="34" t="s">
        <v>172</v>
      </c>
    </row>
    <row r="5" spans="1:33" ht="15.75" x14ac:dyDescent="0.25">
      <c r="A5" s="1">
        <v>2</v>
      </c>
      <c r="B5" t="s">
        <v>39</v>
      </c>
      <c r="C5" s="95">
        <v>2</v>
      </c>
      <c r="D5" s="1" t="s">
        <v>7</v>
      </c>
      <c r="E5" s="1">
        <v>2</v>
      </c>
      <c r="F5" s="2">
        <v>41793</v>
      </c>
      <c r="G5" s="2">
        <v>44375</v>
      </c>
      <c r="H5" s="8">
        <f t="shared" si="0"/>
        <v>7</v>
      </c>
      <c r="I5" s="8">
        <f t="shared" ref="I5:I68" si="1">DATEDIF(F5,G5,"m")</f>
        <v>84</v>
      </c>
      <c r="J5" s="1">
        <v>23.9</v>
      </c>
      <c r="K5" s="1">
        <v>1.28</v>
      </c>
      <c r="L5" s="1">
        <f t="shared" ref="L5:L68" si="2">K5*100</f>
        <v>128</v>
      </c>
      <c r="M5" s="1">
        <v>69</v>
      </c>
      <c r="N5" s="1">
        <f t="shared" ref="N5:N68" si="3">((L5-M5)/L5)*100</f>
        <v>46.09375</v>
      </c>
      <c r="O5" s="1">
        <v>0</v>
      </c>
      <c r="P5" s="1">
        <v>56.5</v>
      </c>
      <c r="Q5" s="5">
        <f t="shared" ref="Q5:Q68" si="4">J5/(K5*K5)</f>
        <v>14.587402343749998</v>
      </c>
      <c r="R5" s="33"/>
      <c r="S5" s="91">
        <v>1.3151504041499074</v>
      </c>
      <c r="T5" s="91">
        <v>90.577032023155539</v>
      </c>
      <c r="U5" s="39" t="str">
        <f t="shared" ref="U5:U68" si="5">IF(S5&lt;-1.645,"Desnutricion",IF(AND(S5&gt;=-1.645,S5&lt;=1.645),"Normal",IF(S5&gt;1.645,"Alto")))</f>
        <v>Normal</v>
      </c>
      <c r="V5" s="91">
        <v>-1.0250811244890421</v>
      </c>
      <c r="W5" s="91">
        <v>15.266245551964774</v>
      </c>
      <c r="X5" s="40" t="str">
        <f>IF(V5&lt;-1.645,"Piernas cortas",IF(AND(V5&gt;=-1.645,V5&lt;=1.645),"Normal",IF(V5&gt;1.645,"Piernas largas")))</f>
        <v>Normal</v>
      </c>
      <c r="Y5" s="155">
        <v>-0.5243653251927145</v>
      </c>
      <c r="Z5" s="91">
        <v>30.001223455206627</v>
      </c>
      <c r="AA5" s="39" t="str">
        <f>IF(Z5&lt;5,"Desnutricion",IF(AND(Z5&gt;=5,Z5&lt;15),"Bajo Peso",IF(AND(Z5&gt;=15,Z5&lt;=85),"Normal",IF(Z5&gt;85,"Obesidad"))))</f>
        <v>Normal</v>
      </c>
      <c r="AB5" s="36">
        <v>0.62753938739647708</v>
      </c>
      <c r="AC5" s="36">
        <v>73.484713693958071</v>
      </c>
      <c r="AD5" s="39" t="str">
        <f t="shared" ref="AD5:AD68" si="6">IF(AB5&lt;-1.645,"Bajo",IF(AND(AB5&gt;=-1.645,AB5&lt;-1.036),"Debajo del promedio",IF(AND(AB5&gt;=-1.036,AB5&lt;=1.036),"Normal",IF(AND(AB5&gt;1.036,AB5&lt;=1.645),"Arriba del promedio",IF(AB5&gt;1.645,"Alto","")))))</f>
        <v>Normal</v>
      </c>
      <c r="AE5" s="34" t="s">
        <v>172</v>
      </c>
      <c r="AF5" s="34" t="s">
        <v>172</v>
      </c>
      <c r="AG5" s="34" t="s">
        <v>172</v>
      </c>
    </row>
    <row r="6" spans="1:33" ht="15.75" x14ac:dyDescent="0.25">
      <c r="A6" s="1">
        <v>3</v>
      </c>
      <c r="B6" t="s">
        <v>40</v>
      </c>
      <c r="C6" s="95">
        <v>2</v>
      </c>
      <c r="D6" s="1" t="s">
        <v>7</v>
      </c>
      <c r="E6" s="1">
        <v>2</v>
      </c>
      <c r="F6" s="2">
        <v>42000</v>
      </c>
      <c r="G6" s="2">
        <v>44375</v>
      </c>
      <c r="H6" s="8">
        <f t="shared" si="0"/>
        <v>6</v>
      </c>
      <c r="I6" s="8">
        <f t="shared" si="1"/>
        <v>78</v>
      </c>
      <c r="J6" s="1">
        <v>26.4</v>
      </c>
      <c r="K6" s="1">
        <v>1.18</v>
      </c>
      <c r="L6" s="1">
        <f t="shared" si="2"/>
        <v>118</v>
      </c>
      <c r="M6" s="1">
        <v>65</v>
      </c>
      <c r="N6" s="1">
        <f t="shared" si="3"/>
        <v>44.915254237288138</v>
      </c>
      <c r="O6" s="1">
        <v>0</v>
      </c>
      <c r="P6" s="1">
        <v>60.5</v>
      </c>
      <c r="Q6" s="5">
        <f t="shared" si="4"/>
        <v>18.96006894570526</v>
      </c>
      <c r="R6" s="33"/>
      <c r="S6" s="91">
        <v>4.3617964448086849E-3</v>
      </c>
      <c r="T6" s="91">
        <v>50.174009950269372</v>
      </c>
      <c r="U6" s="39" t="str">
        <f t="shared" si="5"/>
        <v>Normal</v>
      </c>
      <c r="V6" s="91">
        <v>-1.3537745906753984</v>
      </c>
      <c r="W6" s="91">
        <v>8.7904151261252839</v>
      </c>
      <c r="X6" s="40" t="str">
        <f t="shared" ref="X6:X68" si="7">IF(V6&lt;-1.645,"Piernas cortas",IF(AND(V6&gt;=-1.645,V6&lt;=1.645),"Normal",IF(V6&gt;1.645,"Piernas largas")))</f>
        <v>Normal</v>
      </c>
      <c r="Y6" s="155">
        <v>1.801320549913445</v>
      </c>
      <c r="Z6" s="91">
        <v>96.417381466999871</v>
      </c>
      <c r="AA6" s="39" t="str">
        <f t="shared" ref="AA6:AA69" si="8">IF(Z6&lt;5,"Desnutricion",IF(AND(Z6&gt;=5,Z6&lt;15),"Bajo Peso",IF(AND(Z6&gt;=15,Z6&lt;=85),"Normal",IF(Z6&gt;85,"Obesidad"))))</f>
        <v>Obesidad</v>
      </c>
      <c r="AB6" s="36">
        <v>1.4258193790861478</v>
      </c>
      <c r="AC6" s="36">
        <v>92.303975721307793</v>
      </c>
      <c r="AD6" s="39" t="str">
        <f t="shared" si="6"/>
        <v>Arriba del promedio</v>
      </c>
      <c r="AE6" s="34" t="s">
        <v>172</v>
      </c>
      <c r="AF6" s="34" t="s">
        <v>172</v>
      </c>
      <c r="AG6" s="34" t="s">
        <v>172</v>
      </c>
    </row>
    <row r="7" spans="1:33" ht="15.75" x14ac:dyDescent="0.25">
      <c r="A7" s="1">
        <v>4</v>
      </c>
      <c r="B7" t="s">
        <v>41</v>
      </c>
      <c r="C7" s="95">
        <v>2</v>
      </c>
      <c r="D7" s="1" t="s">
        <v>7</v>
      </c>
      <c r="E7" s="1">
        <v>2</v>
      </c>
      <c r="F7" s="2">
        <v>41813</v>
      </c>
      <c r="G7" s="2">
        <v>44375</v>
      </c>
      <c r="H7" s="8">
        <f t="shared" si="0"/>
        <v>7</v>
      </c>
      <c r="I7" s="8">
        <f t="shared" si="1"/>
        <v>84</v>
      </c>
      <c r="J7" s="1">
        <v>29.3</v>
      </c>
      <c r="K7" s="1">
        <v>1.28</v>
      </c>
      <c r="L7" s="1">
        <f t="shared" si="2"/>
        <v>128</v>
      </c>
      <c r="M7" s="1">
        <v>67.400000000000006</v>
      </c>
      <c r="N7" s="1">
        <f t="shared" si="3"/>
        <v>47.343749999999993</v>
      </c>
      <c r="O7" s="1">
        <v>51.3</v>
      </c>
      <c r="P7" s="1">
        <v>63.5</v>
      </c>
      <c r="Q7" s="5">
        <f t="shared" si="4"/>
        <v>17.88330078125</v>
      </c>
      <c r="R7" s="33"/>
      <c r="S7" s="91">
        <v>1.3151504041499074</v>
      </c>
      <c r="T7" s="91">
        <v>90.577032023155539</v>
      </c>
      <c r="U7" s="39" t="str">
        <f t="shared" si="5"/>
        <v>Normal</v>
      </c>
      <c r="V7" s="91">
        <v>-0.16060424171956358</v>
      </c>
      <c r="W7" s="91">
        <v>43.620255693096254</v>
      </c>
      <c r="X7" s="40" t="str">
        <f t="shared" si="7"/>
        <v>Normal</v>
      </c>
      <c r="Y7" s="155">
        <v>1.2665552565955891</v>
      </c>
      <c r="Z7" s="91">
        <v>89.73428201329277</v>
      </c>
      <c r="AA7" s="39" t="str">
        <f t="shared" si="8"/>
        <v>Obesidad</v>
      </c>
      <c r="AB7" s="36">
        <v>1.3911161436895596</v>
      </c>
      <c r="AC7" s="36">
        <v>91.790489488756677</v>
      </c>
      <c r="AD7" s="39" t="str">
        <f t="shared" si="6"/>
        <v>Arriba del promedio</v>
      </c>
      <c r="AE7" s="34" t="s">
        <v>172</v>
      </c>
      <c r="AF7" s="34" t="s">
        <v>172</v>
      </c>
      <c r="AG7" s="34" t="s">
        <v>172</v>
      </c>
    </row>
    <row r="8" spans="1:33" ht="15.75" x14ac:dyDescent="0.25">
      <c r="A8" s="1">
        <v>5</v>
      </c>
      <c r="B8" t="s">
        <v>42</v>
      </c>
      <c r="C8" s="95">
        <v>2</v>
      </c>
      <c r="D8" s="1" t="s">
        <v>7</v>
      </c>
      <c r="E8" s="1">
        <v>2</v>
      </c>
      <c r="F8" s="2">
        <v>41917</v>
      </c>
      <c r="G8" s="2">
        <v>44375</v>
      </c>
      <c r="H8" s="8">
        <f t="shared" si="0"/>
        <v>6</v>
      </c>
      <c r="I8" s="8">
        <f t="shared" si="1"/>
        <v>80</v>
      </c>
      <c r="J8" s="1">
        <v>22.6</v>
      </c>
      <c r="K8" s="1">
        <v>1.18</v>
      </c>
      <c r="L8" s="1">
        <f t="shared" si="2"/>
        <v>118</v>
      </c>
      <c r="M8" s="1">
        <v>62.5</v>
      </c>
      <c r="N8" s="1">
        <f t="shared" si="3"/>
        <v>47.033898305084747</v>
      </c>
      <c r="O8" s="1">
        <v>51.2</v>
      </c>
      <c r="P8" s="1">
        <v>56</v>
      </c>
      <c r="Q8" s="5">
        <f t="shared" si="4"/>
        <v>16.230968112611322</v>
      </c>
      <c r="R8" s="33"/>
      <c r="S8" s="91">
        <v>-0.17198952530893982</v>
      </c>
      <c r="T8" s="91">
        <v>43.172288194217401</v>
      </c>
      <c r="U8" s="39" t="str">
        <f t="shared" si="5"/>
        <v>Normal</v>
      </c>
      <c r="V8" s="91">
        <v>8.9079905479468549E-2</v>
      </c>
      <c r="W8" s="91">
        <v>53.549079649885179</v>
      </c>
      <c r="X8" s="40" t="str">
        <f t="shared" si="7"/>
        <v>Normal</v>
      </c>
      <c r="Y8" s="155">
        <v>0.51455018084405801</v>
      </c>
      <c r="Z8" s="91">
        <v>69.656630705155536</v>
      </c>
      <c r="AA8" s="39" t="str">
        <f t="shared" si="8"/>
        <v>Normal</v>
      </c>
      <c r="AB8" s="36">
        <v>0.84260986775454749</v>
      </c>
      <c r="AC8" s="36">
        <v>80.027666476280984</v>
      </c>
      <c r="AD8" s="39" t="str">
        <f t="shared" si="6"/>
        <v>Normal</v>
      </c>
      <c r="AE8" s="34" t="s">
        <v>172</v>
      </c>
      <c r="AF8" s="34" t="s">
        <v>172</v>
      </c>
      <c r="AG8" s="34" t="s">
        <v>172</v>
      </c>
    </row>
    <row r="9" spans="1:33" ht="15.75" x14ac:dyDescent="0.25">
      <c r="A9" s="1">
        <v>6</v>
      </c>
      <c r="B9" t="s">
        <v>43</v>
      </c>
      <c r="C9" s="95">
        <v>2</v>
      </c>
      <c r="D9" s="1" t="s">
        <v>7</v>
      </c>
      <c r="E9" s="1">
        <v>1</v>
      </c>
      <c r="F9" s="2">
        <v>41728</v>
      </c>
      <c r="G9" s="2">
        <v>44375</v>
      </c>
      <c r="H9" s="8">
        <f t="shared" si="0"/>
        <v>7</v>
      </c>
      <c r="I9" s="8">
        <f t="shared" si="1"/>
        <v>86</v>
      </c>
      <c r="J9" s="1">
        <v>21.1</v>
      </c>
      <c r="K9" s="1">
        <v>1.1499999999999999</v>
      </c>
      <c r="L9" s="1">
        <f t="shared" si="2"/>
        <v>114.99999999999999</v>
      </c>
      <c r="M9" s="1">
        <v>63.9</v>
      </c>
      <c r="N9" s="1">
        <f t="shared" si="3"/>
        <v>44.434782608695642</v>
      </c>
      <c r="O9" s="1">
        <v>0</v>
      </c>
      <c r="P9" s="1">
        <v>50</v>
      </c>
      <c r="Q9" s="5">
        <f t="shared" si="4"/>
        <v>15.954631379962196</v>
      </c>
      <c r="R9" s="33"/>
      <c r="S9" s="91">
        <v>-1.4356054275424708</v>
      </c>
      <c r="T9" s="91">
        <v>7.5557324723698267</v>
      </c>
      <c r="U9" s="39" t="str">
        <f t="shared" si="5"/>
        <v>Normal</v>
      </c>
      <c r="V9" s="91">
        <v>-1.9304506895881572</v>
      </c>
      <c r="W9" s="91">
        <v>2.6775509705148819</v>
      </c>
      <c r="X9" s="40" t="str">
        <f t="shared" si="7"/>
        <v>Piernas cortas</v>
      </c>
      <c r="Y9" s="155">
        <v>0.29623712539838798</v>
      </c>
      <c r="Z9" s="91">
        <v>61.647550072605164</v>
      </c>
      <c r="AA9" s="39" t="str">
        <f t="shared" si="8"/>
        <v>Normal</v>
      </c>
      <c r="AB9" s="36">
        <v>-0.63079388844723705</v>
      </c>
      <c r="AC9" s="36">
        <v>26.408764998717249</v>
      </c>
      <c r="AD9" s="39" t="str">
        <f t="shared" si="6"/>
        <v>Normal</v>
      </c>
      <c r="AE9" s="34" t="s">
        <v>172</v>
      </c>
      <c r="AF9" s="34" t="s">
        <v>172</v>
      </c>
      <c r="AG9" s="34" t="s">
        <v>172</v>
      </c>
    </row>
    <row r="10" spans="1:33" ht="15.75" x14ac:dyDescent="0.25">
      <c r="A10" s="1">
        <v>7</v>
      </c>
      <c r="B10" t="s">
        <v>44</v>
      </c>
      <c r="C10" s="95">
        <v>2</v>
      </c>
      <c r="D10" s="1" t="s">
        <v>7</v>
      </c>
      <c r="E10" s="1">
        <v>2</v>
      </c>
      <c r="F10" s="2">
        <v>41993</v>
      </c>
      <c r="G10" s="2">
        <v>44375</v>
      </c>
      <c r="H10" s="8">
        <f t="shared" si="0"/>
        <v>6</v>
      </c>
      <c r="I10" s="8">
        <f t="shared" si="1"/>
        <v>78</v>
      </c>
      <c r="J10" s="1">
        <v>20.3</v>
      </c>
      <c r="K10" s="1">
        <v>1.1299999999999999</v>
      </c>
      <c r="L10" s="1">
        <f t="shared" si="2"/>
        <v>112.99999999999999</v>
      </c>
      <c r="M10" s="1">
        <v>59</v>
      </c>
      <c r="N10" s="1">
        <f t="shared" si="3"/>
        <v>47.787610619469021</v>
      </c>
      <c r="O10" s="1">
        <v>49.9</v>
      </c>
      <c r="P10" s="1">
        <v>55.5</v>
      </c>
      <c r="Q10" s="5">
        <f t="shared" si="4"/>
        <v>15.897877672488061</v>
      </c>
      <c r="R10" s="33"/>
      <c r="S10" s="91">
        <v>-0.93974998814578248</v>
      </c>
      <c r="T10" s="91">
        <v>17.36729087369784</v>
      </c>
      <c r="U10" s="39" t="str">
        <f t="shared" si="5"/>
        <v>Normal</v>
      </c>
      <c r="V10" s="91">
        <v>0.58542545862880857</v>
      </c>
      <c r="W10" s="91">
        <v>72.086916272294147</v>
      </c>
      <c r="X10" s="40" t="str">
        <f t="shared" si="7"/>
        <v>Normal</v>
      </c>
      <c r="Y10" s="155">
        <v>0.3460418087002049</v>
      </c>
      <c r="Z10" s="91">
        <v>63.534435268212377</v>
      </c>
      <c r="AA10" s="39" t="str">
        <f t="shared" si="8"/>
        <v>Normal</v>
      </c>
      <c r="AB10" s="36">
        <v>0.77173746957518863</v>
      </c>
      <c r="AC10" s="36">
        <v>77.9865033201215</v>
      </c>
      <c r="AD10" s="39" t="str">
        <f t="shared" si="6"/>
        <v>Normal</v>
      </c>
      <c r="AE10" s="34" t="s">
        <v>172</v>
      </c>
      <c r="AF10" s="34" t="s">
        <v>172</v>
      </c>
      <c r="AG10" s="34" t="s">
        <v>172</v>
      </c>
    </row>
    <row r="11" spans="1:33" ht="15.75" x14ac:dyDescent="0.25">
      <c r="A11" s="1">
        <v>8</v>
      </c>
      <c r="B11" t="s">
        <v>45</v>
      </c>
      <c r="C11" s="95">
        <v>2</v>
      </c>
      <c r="D11" s="1" t="s">
        <v>7</v>
      </c>
      <c r="E11" s="1">
        <v>1</v>
      </c>
      <c r="F11" s="2">
        <v>41872</v>
      </c>
      <c r="G11" s="2">
        <v>44375</v>
      </c>
      <c r="H11" s="8">
        <f t="shared" si="0"/>
        <v>6</v>
      </c>
      <c r="I11" s="8">
        <f t="shared" si="1"/>
        <v>82</v>
      </c>
      <c r="J11" s="1">
        <v>16.5</v>
      </c>
      <c r="K11" s="1">
        <v>1.1399999999999999</v>
      </c>
      <c r="L11" s="1">
        <f t="shared" si="2"/>
        <v>113.99999999999999</v>
      </c>
      <c r="M11" s="1">
        <v>100.7</v>
      </c>
      <c r="N11" s="1">
        <f t="shared" si="3"/>
        <v>11.666666666666654</v>
      </c>
      <c r="O11" s="1">
        <v>50.5</v>
      </c>
      <c r="P11" s="1">
        <v>48</v>
      </c>
      <c r="Q11" s="5">
        <f t="shared" si="4"/>
        <v>12.696214219759927</v>
      </c>
      <c r="R11" s="33"/>
      <c r="S11" s="91">
        <v>-1.2985792426949461</v>
      </c>
      <c r="T11" s="91">
        <v>9.7044182666681209</v>
      </c>
      <c r="U11" s="39" t="str">
        <f t="shared" si="5"/>
        <v>Normal</v>
      </c>
      <c r="V11" s="91">
        <v>-43.378947318639611</v>
      </c>
      <c r="W11" s="91">
        <v>0</v>
      </c>
      <c r="X11" s="40" t="str">
        <f t="shared" si="7"/>
        <v>Piernas cortas</v>
      </c>
      <c r="Y11" s="155">
        <v>-2.4590839121571348</v>
      </c>
      <c r="Z11" s="91">
        <v>0.69646028312162511</v>
      </c>
      <c r="AA11" s="39" t="str">
        <f t="shared" si="8"/>
        <v>Desnutricion</v>
      </c>
      <c r="AB11" s="36">
        <v>-0.71247433325670495</v>
      </c>
      <c r="AC11" s="36">
        <v>23.808554989588693</v>
      </c>
      <c r="AD11" s="39" t="str">
        <f t="shared" si="6"/>
        <v>Normal</v>
      </c>
      <c r="AE11" s="34" t="s">
        <v>172</v>
      </c>
      <c r="AF11" s="34" t="s">
        <v>172</v>
      </c>
      <c r="AG11" s="34" t="s">
        <v>172</v>
      </c>
    </row>
    <row r="12" spans="1:33" ht="15.75" x14ac:dyDescent="0.25">
      <c r="A12" s="1">
        <v>9</v>
      </c>
      <c r="B12" t="s">
        <v>46</v>
      </c>
      <c r="C12" s="95">
        <v>2</v>
      </c>
      <c r="D12" s="1" t="s">
        <v>7</v>
      </c>
      <c r="E12" s="1">
        <v>2</v>
      </c>
      <c r="F12" s="2">
        <v>41470</v>
      </c>
      <c r="G12" s="2">
        <v>44375</v>
      </c>
      <c r="H12" s="8">
        <f t="shared" si="0"/>
        <v>7</v>
      </c>
      <c r="I12" s="8">
        <f t="shared" si="1"/>
        <v>95</v>
      </c>
      <c r="J12" s="1">
        <v>26.3</v>
      </c>
      <c r="K12" s="1">
        <v>1.1399999999999999</v>
      </c>
      <c r="L12" s="1">
        <f t="shared" si="2"/>
        <v>113.99999999999999</v>
      </c>
      <c r="M12" s="1">
        <v>101.5</v>
      </c>
      <c r="N12" s="1">
        <f t="shared" si="3"/>
        <v>10.964912280701743</v>
      </c>
      <c r="O12" s="1">
        <v>0</v>
      </c>
      <c r="P12" s="1">
        <v>61.5</v>
      </c>
      <c r="Q12" s="5">
        <f t="shared" si="4"/>
        <v>20.236995998768855</v>
      </c>
      <c r="R12" s="33"/>
      <c r="S12" s="91">
        <v>-2.0918672762665014</v>
      </c>
      <c r="T12" s="91">
        <v>1.8225195051683865</v>
      </c>
      <c r="U12" s="39" t="str">
        <f>IF(S12&lt;-1.645,"Desnutricion",IF(AND(S12&gt;=-1.645,S12&lt;=1.645),"Normal",IF(S12&gt;1.645,"Alto")))</f>
        <v>Desnutricion</v>
      </c>
      <c r="V12" s="91">
        <v>-50.390791935680902</v>
      </c>
      <c r="W12" s="91">
        <v>0</v>
      </c>
      <c r="X12" s="40" t="str">
        <f t="shared" si="7"/>
        <v>Piernas cortas</v>
      </c>
      <c r="Y12" s="155">
        <v>1.9235316863428213</v>
      </c>
      <c r="Z12" s="91">
        <v>97.279334447661483</v>
      </c>
      <c r="AA12" s="39" t="str">
        <f t="shared" si="8"/>
        <v>Obesidad</v>
      </c>
      <c r="AB12" s="36">
        <v>1.1913618643466244</v>
      </c>
      <c r="AC12" s="36">
        <v>88.324422140562234</v>
      </c>
      <c r="AD12" s="39" t="str">
        <f t="shared" si="6"/>
        <v>Arriba del promedio</v>
      </c>
      <c r="AE12" s="34" t="s">
        <v>172</v>
      </c>
      <c r="AF12" s="34" t="s">
        <v>172</v>
      </c>
      <c r="AG12" s="34" t="s">
        <v>172</v>
      </c>
    </row>
    <row r="13" spans="1:33" ht="15.75" x14ac:dyDescent="0.25">
      <c r="A13" s="1">
        <v>10</v>
      </c>
      <c r="B13" t="s">
        <v>47</v>
      </c>
      <c r="C13" s="95">
        <v>2</v>
      </c>
      <c r="D13" s="1" t="s">
        <v>7</v>
      </c>
      <c r="E13" s="1">
        <v>2</v>
      </c>
      <c r="F13" s="2">
        <v>41890</v>
      </c>
      <c r="G13" s="2">
        <v>44375</v>
      </c>
      <c r="H13" s="8">
        <f t="shared" si="0"/>
        <v>6</v>
      </c>
      <c r="I13" s="8">
        <f t="shared" si="1"/>
        <v>81</v>
      </c>
      <c r="J13" s="1">
        <v>25.8</v>
      </c>
      <c r="K13" s="1">
        <v>1.1599999999999999</v>
      </c>
      <c r="L13" s="1">
        <f t="shared" si="2"/>
        <v>115.99999999999999</v>
      </c>
      <c r="M13" s="1">
        <v>102</v>
      </c>
      <c r="N13" s="1">
        <f t="shared" si="3"/>
        <v>12.068965517241368</v>
      </c>
      <c r="O13" s="1">
        <v>0</v>
      </c>
      <c r="P13" s="1">
        <v>60</v>
      </c>
      <c r="Q13" s="5">
        <f t="shared" si="4"/>
        <v>19.173602853745543</v>
      </c>
      <c r="R13" s="33"/>
      <c r="S13" s="91">
        <v>-0.63033488105152691</v>
      </c>
      <c r="T13" s="91">
        <v>26.423775303780577</v>
      </c>
      <c r="U13" s="39" t="str">
        <f t="shared" si="5"/>
        <v>Normal</v>
      </c>
      <c r="V13" s="91">
        <v>-44.996144946529775</v>
      </c>
      <c r="W13" s="91">
        <v>0</v>
      </c>
      <c r="X13" s="40" t="str">
        <f t="shared" si="7"/>
        <v>Piernas cortas</v>
      </c>
      <c r="Y13" s="155">
        <v>1.8337195802119275</v>
      </c>
      <c r="Z13" s="91">
        <v>96.665218470945632</v>
      </c>
      <c r="AA13" s="39" t="str">
        <f t="shared" si="8"/>
        <v>Obesidad</v>
      </c>
      <c r="AB13" s="36">
        <v>1.3655020490938083</v>
      </c>
      <c r="AC13" s="36">
        <v>91.395234524901397</v>
      </c>
      <c r="AD13" s="39" t="str">
        <f t="shared" si="6"/>
        <v>Arriba del promedio</v>
      </c>
      <c r="AE13" s="34" t="s">
        <v>172</v>
      </c>
      <c r="AF13" s="34" t="s">
        <v>172</v>
      </c>
      <c r="AG13" s="34" t="s">
        <v>172</v>
      </c>
    </row>
    <row r="14" spans="1:33" ht="15.75" x14ac:dyDescent="0.25">
      <c r="A14" s="1">
        <v>11</v>
      </c>
      <c r="B14" t="s">
        <v>48</v>
      </c>
      <c r="C14" s="95">
        <v>2</v>
      </c>
      <c r="D14" s="1" t="s">
        <v>7</v>
      </c>
      <c r="E14" s="1">
        <v>1</v>
      </c>
      <c r="F14" s="2">
        <v>41870</v>
      </c>
      <c r="G14" s="2">
        <v>44375</v>
      </c>
      <c r="H14" s="8">
        <f t="shared" si="0"/>
        <v>6</v>
      </c>
      <c r="I14" s="8">
        <f t="shared" si="1"/>
        <v>82</v>
      </c>
      <c r="J14" s="1">
        <v>22.1</v>
      </c>
      <c r="K14" s="1">
        <v>1.17</v>
      </c>
      <c r="L14" s="1">
        <f t="shared" si="2"/>
        <v>117</v>
      </c>
      <c r="M14" s="1">
        <v>103</v>
      </c>
      <c r="N14" s="1">
        <f t="shared" si="3"/>
        <v>11.965811965811966</v>
      </c>
      <c r="O14" s="1">
        <v>51</v>
      </c>
      <c r="P14" s="1">
        <v>54</v>
      </c>
      <c r="Q14" s="5">
        <f t="shared" si="4"/>
        <v>16.144349477682816</v>
      </c>
      <c r="R14" s="33"/>
      <c r="S14" s="91">
        <v>-0.72443547188380331</v>
      </c>
      <c r="T14" s="91">
        <v>23.439921465076132</v>
      </c>
      <c r="U14" s="39" t="str">
        <f t="shared" si="5"/>
        <v>Normal</v>
      </c>
      <c r="V14" s="91">
        <v>-42.540188222394093</v>
      </c>
      <c r="W14" s="91">
        <v>0</v>
      </c>
      <c r="X14" s="40" t="str">
        <f>IF(V14&lt;-1.645,"Piernas cortas",IF(AND(V14&gt;=-1.645,V14&lt;=1.645),"Normal",IF(V14&gt;1.645,"Piernas largas")))</f>
        <v>Piernas cortas</v>
      </c>
      <c r="Y14" s="155">
        <v>0.47768189867550614</v>
      </c>
      <c r="Z14" s="91">
        <v>68.356168511020073</v>
      </c>
      <c r="AA14" s="39" t="str">
        <f t="shared" si="8"/>
        <v>Normal</v>
      </c>
      <c r="AB14" s="36">
        <v>0.29152577358899978</v>
      </c>
      <c r="AC14" s="36">
        <v>61.467538250008346</v>
      </c>
      <c r="AD14" s="39" t="str">
        <f t="shared" si="6"/>
        <v>Normal</v>
      </c>
      <c r="AE14" s="34" t="s">
        <v>172</v>
      </c>
      <c r="AF14" s="34" t="s">
        <v>172</v>
      </c>
      <c r="AG14" s="34" t="s">
        <v>172</v>
      </c>
    </row>
    <row r="15" spans="1:33" ht="15.75" x14ac:dyDescent="0.25">
      <c r="A15" s="1">
        <v>12</v>
      </c>
      <c r="B15" t="s">
        <v>49</v>
      </c>
      <c r="C15" s="95">
        <v>2</v>
      </c>
      <c r="D15" s="1" t="s">
        <v>7</v>
      </c>
      <c r="E15" s="1">
        <v>1</v>
      </c>
      <c r="F15" s="2">
        <v>41867</v>
      </c>
      <c r="G15" s="2">
        <v>44375</v>
      </c>
      <c r="H15" s="8">
        <f t="shared" si="0"/>
        <v>6</v>
      </c>
      <c r="I15" s="8">
        <f t="shared" si="1"/>
        <v>82</v>
      </c>
      <c r="J15" s="1">
        <v>20.8</v>
      </c>
      <c r="K15" s="1">
        <v>1.1499999999999999</v>
      </c>
      <c r="L15" s="1">
        <f t="shared" si="2"/>
        <v>114.99999999999999</v>
      </c>
      <c r="M15" s="1">
        <v>60</v>
      </c>
      <c r="N15" s="1">
        <f t="shared" si="3"/>
        <v>47.826086956521735</v>
      </c>
      <c r="O15" s="1">
        <v>52.5</v>
      </c>
      <c r="P15" s="1">
        <v>54</v>
      </c>
      <c r="Q15" s="5">
        <f t="shared" si="4"/>
        <v>15.72778827977316</v>
      </c>
      <c r="R15" s="33"/>
      <c r="S15" s="91">
        <v>-1.1071979857578993</v>
      </c>
      <c r="T15" s="91">
        <v>13.410416911373826</v>
      </c>
      <c r="U15" s="39" t="str">
        <f t="shared" si="5"/>
        <v>Normal</v>
      </c>
      <c r="V15" s="91">
        <v>0.6686645497008894</v>
      </c>
      <c r="W15" s="91">
        <v>74.81452569386397</v>
      </c>
      <c r="X15" s="40" t="str">
        <f t="shared" si="7"/>
        <v>Normal</v>
      </c>
      <c r="Y15" s="155">
        <v>0.19783302245829601</v>
      </c>
      <c r="Z15" s="91">
        <v>57.841214571478041</v>
      </c>
      <c r="AA15" s="39" t="str">
        <f t="shared" si="8"/>
        <v>Normal</v>
      </c>
      <c r="AB15" s="36">
        <v>0.29152577358899978</v>
      </c>
      <c r="AC15" s="36">
        <v>61.467538250008346</v>
      </c>
      <c r="AD15" s="39" t="str">
        <f t="shared" si="6"/>
        <v>Normal</v>
      </c>
      <c r="AE15" s="34" t="s">
        <v>172</v>
      </c>
      <c r="AF15" s="34" t="s">
        <v>172</v>
      </c>
      <c r="AG15" s="34" t="s">
        <v>172</v>
      </c>
    </row>
    <row r="16" spans="1:33" ht="15.75" x14ac:dyDescent="0.25">
      <c r="A16" s="1">
        <v>13</v>
      </c>
      <c r="B16" t="s">
        <v>50</v>
      </c>
      <c r="C16" s="95">
        <v>2</v>
      </c>
      <c r="D16" s="1" t="s">
        <v>7</v>
      </c>
      <c r="E16" s="1">
        <v>1</v>
      </c>
      <c r="F16" s="2">
        <v>41678</v>
      </c>
      <c r="G16" s="2">
        <v>44375</v>
      </c>
      <c r="H16" s="8">
        <f t="shared" si="0"/>
        <v>7</v>
      </c>
      <c r="I16" s="8">
        <f t="shared" si="1"/>
        <v>88</v>
      </c>
      <c r="J16" s="1">
        <v>25.3</v>
      </c>
      <c r="K16" s="1">
        <v>1.33</v>
      </c>
      <c r="L16" s="1">
        <f t="shared" si="2"/>
        <v>133</v>
      </c>
      <c r="M16" s="1">
        <v>70.5</v>
      </c>
      <c r="N16" s="1">
        <f t="shared" si="3"/>
        <v>46.992481203007522</v>
      </c>
      <c r="O16" s="1">
        <v>0</v>
      </c>
      <c r="P16" s="1">
        <v>54</v>
      </c>
      <c r="Q16" s="5">
        <f t="shared" si="4"/>
        <v>14.302673978178529</v>
      </c>
      <c r="R16" s="33"/>
      <c r="S16" s="91">
        <v>1.736892808127545</v>
      </c>
      <c r="T16" s="91">
        <v>95.879695344767242</v>
      </c>
      <c r="U16" s="39" t="str">
        <f t="shared" si="5"/>
        <v>Alto</v>
      </c>
      <c r="V16" s="91">
        <v>-0.22974201848820147</v>
      </c>
      <c r="W16" s="91">
        <v>40.914612102246352</v>
      </c>
      <c r="X16" s="40" t="str">
        <f t="shared" si="7"/>
        <v>Normal</v>
      </c>
      <c r="Y16" s="155">
        <v>-0.96808138475192007</v>
      </c>
      <c r="Z16" s="91">
        <v>16.650186297280769</v>
      </c>
      <c r="AA16" s="39" t="str">
        <f t="shared" si="8"/>
        <v>Normal</v>
      </c>
      <c r="AB16" s="36">
        <v>-1.9789506420175726E-2</v>
      </c>
      <c r="AC16" s="36">
        <v>49.210564445467107</v>
      </c>
      <c r="AD16" s="39" t="str">
        <f t="shared" si="6"/>
        <v>Normal</v>
      </c>
      <c r="AE16" s="34" t="s">
        <v>172</v>
      </c>
      <c r="AF16" s="34" t="s">
        <v>172</v>
      </c>
      <c r="AG16" s="34" t="s">
        <v>172</v>
      </c>
    </row>
    <row r="17" spans="1:33" ht="15.75" x14ac:dyDescent="0.25">
      <c r="A17" s="1">
        <v>14</v>
      </c>
      <c r="B17" t="s">
        <v>51</v>
      </c>
      <c r="C17" s="95">
        <v>2</v>
      </c>
      <c r="D17" s="1" t="s">
        <v>7</v>
      </c>
      <c r="E17" s="1">
        <v>2</v>
      </c>
      <c r="F17" s="2">
        <v>41994</v>
      </c>
      <c r="G17" s="2">
        <v>44375</v>
      </c>
      <c r="H17" s="8">
        <f t="shared" si="0"/>
        <v>6</v>
      </c>
      <c r="I17" s="8">
        <f t="shared" si="1"/>
        <v>78</v>
      </c>
      <c r="J17" s="1">
        <v>19</v>
      </c>
      <c r="K17" s="1">
        <v>1.1200000000000001</v>
      </c>
      <c r="L17" s="1">
        <f t="shared" si="2"/>
        <v>112.00000000000001</v>
      </c>
      <c r="M17" s="1">
        <v>59.5</v>
      </c>
      <c r="N17" s="1">
        <f t="shared" si="3"/>
        <v>46.875000000000007</v>
      </c>
      <c r="O17" s="1">
        <v>52</v>
      </c>
      <c r="P17" s="1">
        <v>52</v>
      </c>
      <c r="Q17" s="5">
        <f t="shared" si="4"/>
        <v>15.146683673469386</v>
      </c>
      <c r="R17" s="33"/>
      <c r="S17" s="91">
        <v>-1.1285723450638938</v>
      </c>
      <c r="T17" s="91">
        <v>12.953914115787679</v>
      </c>
      <c r="U17" s="39" t="str">
        <f t="shared" si="5"/>
        <v>Normal</v>
      </c>
      <c r="V17" s="91">
        <v>-1.6662606248169013E-2</v>
      </c>
      <c r="W17" s="91">
        <v>49.335288945402041</v>
      </c>
      <c r="X17" s="40" t="str">
        <f t="shared" si="7"/>
        <v>Normal</v>
      </c>
      <c r="Y17" s="155">
        <v>-0.10938595437892651</v>
      </c>
      <c r="Z17" s="91">
        <v>45.644818683942248</v>
      </c>
      <c r="AA17" s="39" t="str">
        <f t="shared" si="8"/>
        <v>Normal</v>
      </c>
      <c r="AB17" s="36">
        <v>0.23591920905857633</v>
      </c>
      <c r="AC17" s="36">
        <v>59.32523188757439</v>
      </c>
      <c r="AD17" s="39" t="str">
        <f t="shared" si="6"/>
        <v>Normal</v>
      </c>
      <c r="AE17" s="34" t="s">
        <v>172</v>
      </c>
      <c r="AF17" s="34" t="s">
        <v>172</v>
      </c>
      <c r="AG17" s="34" t="s">
        <v>172</v>
      </c>
    </row>
    <row r="18" spans="1:33" ht="15.75" x14ac:dyDescent="0.25">
      <c r="A18" s="1">
        <v>15</v>
      </c>
      <c r="B18" t="s">
        <v>52</v>
      </c>
      <c r="C18" s="95">
        <v>2</v>
      </c>
      <c r="D18" s="1" t="s">
        <v>7</v>
      </c>
      <c r="E18" s="1">
        <v>2</v>
      </c>
      <c r="F18" s="2">
        <v>41936</v>
      </c>
      <c r="G18" s="2">
        <v>44375</v>
      </c>
      <c r="H18" s="8">
        <f t="shared" si="0"/>
        <v>6</v>
      </c>
      <c r="I18" s="8">
        <f t="shared" si="1"/>
        <v>80</v>
      </c>
      <c r="J18" s="1">
        <v>21.5</v>
      </c>
      <c r="K18" s="1">
        <v>1.1599999999999999</v>
      </c>
      <c r="L18" s="1">
        <f t="shared" si="2"/>
        <v>115.99999999999999</v>
      </c>
      <c r="M18" s="1">
        <v>62</v>
      </c>
      <c r="N18" s="1">
        <f t="shared" si="3"/>
        <v>46.551724137931025</v>
      </c>
      <c r="O18" s="1">
        <v>53.5</v>
      </c>
      <c r="P18" s="1">
        <v>56</v>
      </c>
      <c r="Q18" s="5">
        <f t="shared" si="4"/>
        <v>15.978002378121285</v>
      </c>
      <c r="R18" s="33"/>
      <c r="S18" s="91">
        <v>-0.54555495821280986</v>
      </c>
      <c r="T18" s="91">
        <v>29.268594645056485</v>
      </c>
      <c r="U18" s="39" t="str">
        <f t="shared" si="5"/>
        <v>Normal</v>
      </c>
      <c r="V18" s="91">
        <v>-0.23300081541267378</v>
      </c>
      <c r="W18" s="91">
        <v>40.788038629297731</v>
      </c>
      <c r="X18" s="40" t="str">
        <f t="shared" si="7"/>
        <v>Normal</v>
      </c>
      <c r="Y18" s="155">
        <v>0.37422133973449434</v>
      </c>
      <c r="Z18" s="91">
        <v>64.588017563797735</v>
      </c>
      <c r="AA18" s="39" t="str">
        <f t="shared" si="8"/>
        <v>Normal</v>
      </c>
      <c r="AB18" s="36">
        <v>0.84260986775454749</v>
      </c>
      <c r="AC18" s="36">
        <v>80.027666476280984</v>
      </c>
      <c r="AD18" s="39" t="str">
        <f t="shared" si="6"/>
        <v>Normal</v>
      </c>
      <c r="AE18" s="34" t="s">
        <v>172</v>
      </c>
      <c r="AF18" s="34" t="s">
        <v>172</v>
      </c>
      <c r="AG18" s="34" t="s">
        <v>172</v>
      </c>
    </row>
    <row r="19" spans="1:33" ht="15.75" x14ac:dyDescent="0.25">
      <c r="A19" s="1">
        <v>16</v>
      </c>
      <c r="B19" t="s">
        <v>53</v>
      </c>
      <c r="C19" s="95">
        <v>2</v>
      </c>
      <c r="D19" s="1" t="s">
        <v>7</v>
      </c>
      <c r="E19" s="1">
        <v>1</v>
      </c>
      <c r="F19" s="2">
        <v>41726</v>
      </c>
      <c r="G19" s="2">
        <v>44375</v>
      </c>
      <c r="H19" s="8">
        <f t="shared" si="0"/>
        <v>7</v>
      </c>
      <c r="I19" s="8">
        <f t="shared" si="1"/>
        <v>87</v>
      </c>
      <c r="J19" s="1">
        <v>22.8</v>
      </c>
      <c r="K19" s="1">
        <v>1.23</v>
      </c>
      <c r="L19" s="1">
        <f t="shared" si="2"/>
        <v>123</v>
      </c>
      <c r="M19" s="1">
        <v>65</v>
      </c>
      <c r="N19" s="1">
        <f t="shared" si="3"/>
        <v>47.154471544715449</v>
      </c>
      <c r="O19" s="1">
        <v>0</v>
      </c>
      <c r="P19" s="1">
        <v>54</v>
      </c>
      <c r="Q19" s="5">
        <f t="shared" si="4"/>
        <v>15.07039460638509</v>
      </c>
      <c r="R19" s="33"/>
      <c r="S19" s="91">
        <v>-2.657902957858858E-2</v>
      </c>
      <c r="T19" s="91">
        <v>48.939774966121604</v>
      </c>
      <c r="U19" s="39" t="str">
        <f t="shared" si="5"/>
        <v>Normal</v>
      </c>
      <c r="V19" s="91">
        <v>-0.12541389296353</v>
      </c>
      <c r="W19" s="91">
        <v>45.009794497928503</v>
      </c>
      <c r="X19" s="40" t="str">
        <f t="shared" si="7"/>
        <v>Normal</v>
      </c>
      <c r="Y19" s="155">
        <v>-0.34169803711318891</v>
      </c>
      <c r="Z19" s="91">
        <v>36.628907472604652</v>
      </c>
      <c r="AA19" s="39" t="str">
        <f t="shared" si="8"/>
        <v>Normal</v>
      </c>
      <c r="AB19" s="36">
        <v>-1.9789506420175726E-2</v>
      </c>
      <c r="AC19" s="36">
        <v>49.210564445467107</v>
      </c>
      <c r="AD19" s="39" t="str">
        <f t="shared" si="6"/>
        <v>Normal</v>
      </c>
      <c r="AE19" s="34" t="s">
        <v>172</v>
      </c>
      <c r="AF19" s="34" t="s">
        <v>172</v>
      </c>
      <c r="AG19" s="34" t="s">
        <v>172</v>
      </c>
    </row>
    <row r="20" spans="1:33" ht="15.75" x14ac:dyDescent="0.25">
      <c r="A20" s="1">
        <v>17</v>
      </c>
      <c r="B20" t="s">
        <v>54</v>
      </c>
      <c r="C20" s="95">
        <v>2</v>
      </c>
      <c r="D20" s="1" t="s">
        <v>7</v>
      </c>
      <c r="E20" s="1">
        <v>2</v>
      </c>
      <c r="F20" s="2">
        <v>41727</v>
      </c>
      <c r="G20" s="2">
        <v>44375</v>
      </c>
      <c r="H20" s="8">
        <f t="shared" si="0"/>
        <v>7</v>
      </c>
      <c r="I20" s="8">
        <f t="shared" si="1"/>
        <v>86</v>
      </c>
      <c r="J20" s="1">
        <v>26.1</v>
      </c>
      <c r="K20" s="1">
        <v>1.23</v>
      </c>
      <c r="L20" s="1">
        <f t="shared" si="2"/>
        <v>123</v>
      </c>
      <c r="M20" s="1">
        <v>66.5</v>
      </c>
      <c r="N20" s="1">
        <f t="shared" si="3"/>
        <v>45.934959349593498</v>
      </c>
      <c r="O20" s="1">
        <v>0</v>
      </c>
      <c r="P20" s="1">
        <v>56</v>
      </c>
      <c r="Q20" s="5">
        <f t="shared" si="4"/>
        <v>17.251635930993459</v>
      </c>
      <c r="R20" s="33"/>
      <c r="S20" s="91">
        <v>0.2247520734221615</v>
      </c>
      <c r="T20" s="91">
        <v>58.891392398353723</v>
      </c>
      <c r="U20" s="39" t="str">
        <f t="shared" si="5"/>
        <v>Normal</v>
      </c>
      <c r="V20" s="91">
        <v>-1.1367140049412863</v>
      </c>
      <c r="W20" s="91">
        <v>12.782893137588754</v>
      </c>
      <c r="X20" s="40" t="str">
        <f t="shared" si="7"/>
        <v>Normal</v>
      </c>
      <c r="Y20" s="155">
        <v>0.95445221121680568</v>
      </c>
      <c r="Z20" s="91">
        <v>83.007260581376158</v>
      </c>
      <c r="AA20" s="39" t="str">
        <f t="shared" si="8"/>
        <v>Normal</v>
      </c>
      <c r="AB20" s="36">
        <v>0.56539765227098981</v>
      </c>
      <c r="AC20" s="36">
        <v>71.409833945918223</v>
      </c>
      <c r="AD20" s="39" t="str">
        <f t="shared" si="6"/>
        <v>Normal</v>
      </c>
      <c r="AE20" s="34" t="s">
        <v>172</v>
      </c>
      <c r="AF20" s="34" t="s">
        <v>172</v>
      </c>
      <c r="AG20" s="34" t="s">
        <v>172</v>
      </c>
    </row>
    <row r="21" spans="1:33" ht="15.75" x14ac:dyDescent="0.25">
      <c r="A21" s="1">
        <v>18</v>
      </c>
      <c r="B21" t="s">
        <v>55</v>
      </c>
      <c r="C21" s="95">
        <v>2</v>
      </c>
      <c r="D21" s="1" t="s">
        <v>7</v>
      </c>
      <c r="E21" s="1">
        <v>1</v>
      </c>
      <c r="F21" s="2">
        <v>41809</v>
      </c>
      <c r="G21" s="2">
        <v>44375</v>
      </c>
      <c r="H21" s="8">
        <f t="shared" si="0"/>
        <v>7</v>
      </c>
      <c r="I21" s="8">
        <f t="shared" si="1"/>
        <v>84</v>
      </c>
      <c r="J21" s="1">
        <v>27.2</v>
      </c>
      <c r="K21" s="1">
        <v>1.1599999999999999</v>
      </c>
      <c r="L21" s="1">
        <f t="shared" si="2"/>
        <v>115.99999999999999</v>
      </c>
      <c r="M21" s="1">
        <v>64</v>
      </c>
      <c r="N21" s="1">
        <f t="shared" si="3"/>
        <v>44.827586206896548</v>
      </c>
      <c r="O21" s="1">
        <v>53.2</v>
      </c>
      <c r="P21" s="1">
        <v>61.5</v>
      </c>
      <c r="Q21" s="5">
        <f t="shared" si="4"/>
        <v>20.214030915576696</v>
      </c>
      <c r="R21" s="33"/>
      <c r="S21" s="91">
        <v>-1.0847796818368971</v>
      </c>
      <c r="T21" s="91">
        <v>13.900962328448127</v>
      </c>
      <c r="U21" s="39" t="str">
        <f t="shared" si="5"/>
        <v>Normal</v>
      </c>
      <c r="V21" s="91">
        <v>-1.6624932589192525</v>
      </c>
      <c r="W21" s="91">
        <v>4.82069569318893</v>
      </c>
      <c r="X21" s="40" t="str">
        <f t="shared" si="7"/>
        <v>Piernas cortas</v>
      </c>
      <c r="Y21" s="155">
        <v>2.5017287031719269</v>
      </c>
      <c r="Z21" s="91">
        <v>99.382057050477854</v>
      </c>
      <c r="AA21" s="39" t="str">
        <f t="shared" si="8"/>
        <v>Obesidad</v>
      </c>
      <c r="AB21" s="42">
        <v>0.91639253181264513</v>
      </c>
      <c r="AC21" s="42">
        <v>82.026947452982</v>
      </c>
      <c r="AD21" s="39" t="str">
        <f t="shared" si="6"/>
        <v>Normal</v>
      </c>
      <c r="AE21" s="34" t="s">
        <v>172</v>
      </c>
      <c r="AF21" s="34" t="s">
        <v>172</v>
      </c>
      <c r="AG21" s="34" t="s">
        <v>172</v>
      </c>
    </row>
    <row r="22" spans="1:33" ht="15.75" x14ac:dyDescent="0.25">
      <c r="A22" s="1">
        <v>19</v>
      </c>
      <c r="B22" t="s">
        <v>56</v>
      </c>
      <c r="C22" s="95">
        <v>2</v>
      </c>
      <c r="D22" s="1" t="s">
        <v>7</v>
      </c>
      <c r="E22" s="1">
        <v>1</v>
      </c>
      <c r="F22" s="2">
        <v>41652</v>
      </c>
      <c r="G22" s="2">
        <v>44375</v>
      </c>
      <c r="H22" s="8">
        <f t="shared" si="0"/>
        <v>7</v>
      </c>
      <c r="I22" s="8">
        <f t="shared" si="1"/>
        <v>89</v>
      </c>
      <c r="J22" s="1">
        <v>21.7</v>
      </c>
      <c r="K22" s="1">
        <v>1.25</v>
      </c>
      <c r="L22" s="1">
        <f t="shared" si="2"/>
        <v>125</v>
      </c>
      <c r="M22" s="1">
        <v>68</v>
      </c>
      <c r="N22" s="1">
        <f t="shared" si="3"/>
        <v>45.6</v>
      </c>
      <c r="O22" s="1">
        <v>0</v>
      </c>
      <c r="P22" s="1">
        <v>51</v>
      </c>
      <c r="Q22" s="5">
        <f t="shared" si="4"/>
        <v>13.888</v>
      </c>
      <c r="R22" s="33"/>
      <c r="S22" s="91">
        <v>0.17039105412004696</v>
      </c>
      <c r="T22" s="91">
        <v>56.764869647573427</v>
      </c>
      <c r="U22" s="39" t="str">
        <f t="shared" si="5"/>
        <v>Normal</v>
      </c>
      <c r="V22" s="91">
        <v>-1.1428931578696528</v>
      </c>
      <c r="W22" s="91">
        <v>12.654147684631706</v>
      </c>
      <c r="X22" s="40" t="str">
        <f t="shared" si="7"/>
        <v>Normal</v>
      </c>
      <c r="Y22" s="155">
        <v>-1.3447820618214055</v>
      </c>
      <c r="Z22" s="91">
        <v>8.9347812387703769</v>
      </c>
      <c r="AA22" s="39" t="str">
        <f t="shared" si="8"/>
        <v>Bajo Peso</v>
      </c>
      <c r="AB22" s="36">
        <v>-0.46928389672656157</v>
      </c>
      <c r="AC22" s="36">
        <v>31.943336203910288</v>
      </c>
      <c r="AD22" s="39" t="str">
        <f t="shared" si="6"/>
        <v>Normal</v>
      </c>
      <c r="AE22" s="34" t="s">
        <v>172</v>
      </c>
      <c r="AF22" s="34" t="s">
        <v>172</v>
      </c>
      <c r="AG22" s="34" t="s">
        <v>172</v>
      </c>
    </row>
    <row r="23" spans="1:33" ht="15.75" x14ac:dyDescent="0.25">
      <c r="A23" s="1">
        <v>20</v>
      </c>
      <c r="B23" t="s">
        <v>57</v>
      </c>
      <c r="C23" s="95">
        <v>2</v>
      </c>
      <c r="D23" s="1" t="s">
        <v>7</v>
      </c>
      <c r="E23" s="1">
        <v>1</v>
      </c>
      <c r="F23" s="2">
        <v>41856</v>
      </c>
      <c r="G23" s="2">
        <v>44375</v>
      </c>
      <c r="H23" s="8">
        <f t="shared" si="0"/>
        <v>6</v>
      </c>
      <c r="I23" s="8">
        <f t="shared" si="1"/>
        <v>82</v>
      </c>
      <c r="J23" s="1">
        <v>22.6</v>
      </c>
      <c r="K23" s="1">
        <v>1.19</v>
      </c>
      <c r="L23" s="1">
        <f t="shared" si="2"/>
        <v>119</v>
      </c>
      <c r="M23" s="1">
        <v>63.5</v>
      </c>
      <c r="N23" s="1">
        <f t="shared" si="3"/>
        <v>46.638655462184872</v>
      </c>
      <c r="O23" s="1">
        <v>51.5</v>
      </c>
      <c r="P23" s="1">
        <v>53</v>
      </c>
      <c r="Q23" s="5">
        <f t="shared" si="4"/>
        <v>15.959324906433164</v>
      </c>
      <c r="R23" s="33"/>
      <c r="S23" s="91">
        <v>-0.34167295800970976</v>
      </c>
      <c r="T23" s="91">
        <v>36.629851251702107</v>
      </c>
      <c r="U23" s="39" t="str">
        <f t="shared" si="5"/>
        <v>Normal</v>
      </c>
      <c r="V23" s="91">
        <v>-7.0140827664831942E-2</v>
      </c>
      <c r="W23" s="91">
        <v>47.204078546384373</v>
      </c>
      <c r="X23" s="40" t="str">
        <f t="shared" si="7"/>
        <v>Normal</v>
      </c>
      <c r="Y23" s="155">
        <v>0.35536990517656741</v>
      </c>
      <c r="Z23" s="91">
        <v>63.884375420474683</v>
      </c>
      <c r="AA23" s="39" t="str">
        <f t="shared" si="8"/>
        <v>Normal</v>
      </c>
      <c r="AB23" s="36">
        <v>0.13681328965135556</v>
      </c>
      <c r="AC23" s="36">
        <v>55.441081059889456</v>
      </c>
      <c r="AD23" s="39" t="str">
        <f t="shared" si="6"/>
        <v>Normal</v>
      </c>
      <c r="AE23" s="34" t="s">
        <v>172</v>
      </c>
      <c r="AF23" s="34" t="s">
        <v>172</v>
      </c>
      <c r="AG23" s="34" t="s">
        <v>172</v>
      </c>
    </row>
    <row r="24" spans="1:33" ht="15.75" x14ac:dyDescent="0.25">
      <c r="A24" s="1">
        <v>21</v>
      </c>
      <c r="B24" t="s">
        <v>58</v>
      </c>
      <c r="C24" s="95">
        <v>2</v>
      </c>
      <c r="D24" s="1" t="s">
        <v>7</v>
      </c>
      <c r="E24" s="1">
        <v>1</v>
      </c>
      <c r="F24" s="2">
        <v>41661</v>
      </c>
      <c r="G24" s="2">
        <v>44375</v>
      </c>
      <c r="H24" s="8">
        <f t="shared" si="0"/>
        <v>7</v>
      </c>
      <c r="I24" s="8">
        <f t="shared" si="1"/>
        <v>89</v>
      </c>
      <c r="J24" s="1">
        <v>22.9</v>
      </c>
      <c r="K24" s="1">
        <v>1.19</v>
      </c>
      <c r="L24" s="1">
        <f t="shared" si="2"/>
        <v>119</v>
      </c>
      <c r="M24" s="1">
        <v>63.5</v>
      </c>
      <c r="N24" s="1">
        <f t="shared" si="3"/>
        <v>46.638655462184872</v>
      </c>
      <c r="O24" s="1">
        <v>0</v>
      </c>
      <c r="P24" s="1">
        <v>62.5</v>
      </c>
      <c r="Q24" s="5">
        <f t="shared" si="4"/>
        <v>16.171174352093779</v>
      </c>
      <c r="R24" s="33"/>
      <c r="S24" s="91">
        <v>-0.93317794924813824</v>
      </c>
      <c r="T24" s="91">
        <v>17.536404894693604</v>
      </c>
      <c r="U24" s="39" t="str">
        <f t="shared" si="5"/>
        <v>Normal</v>
      </c>
      <c r="V24" s="91">
        <v>-0.45897600416008222</v>
      </c>
      <c r="W24" s="91">
        <v>32.312569891845499</v>
      </c>
      <c r="X24" s="40" t="str">
        <f t="shared" si="7"/>
        <v>Normal</v>
      </c>
      <c r="Y24" s="155">
        <v>0.39176113402271212</v>
      </c>
      <c r="Z24" s="91">
        <v>65.238264263913649</v>
      </c>
      <c r="AA24" s="39" t="str">
        <f t="shared" si="8"/>
        <v>Normal</v>
      </c>
      <c r="AB24" s="36">
        <v>1.0246413607379141</v>
      </c>
      <c r="AC24" s="36">
        <v>84.72337794688984</v>
      </c>
      <c r="AD24" s="39" t="str">
        <f t="shared" si="6"/>
        <v>Normal</v>
      </c>
      <c r="AE24" s="34" t="s">
        <v>172</v>
      </c>
      <c r="AF24" s="34" t="s">
        <v>172</v>
      </c>
      <c r="AG24" s="34" t="s">
        <v>172</v>
      </c>
    </row>
    <row r="25" spans="1:33" ht="15.75" x14ac:dyDescent="0.25">
      <c r="A25" s="1">
        <v>22</v>
      </c>
      <c r="B25" t="s">
        <v>59</v>
      </c>
      <c r="C25" s="95">
        <v>2</v>
      </c>
      <c r="D25" s="1" t="s">
        <v>7</v>
      </c>
      <c r="E25" s="1">
        <v>1</v>
      </c>
      <c r="F25" s="2">
        <v>41861</v>
      </c>
      <c r="G25" s="2">
        <v>44375</v>
      </c>
      <c r="H25" s="8">
        <f t="shared" si="0"/>
        <v>6</v>
      </c>
      <c r="I25" s="8">
        <f t="shared" si="1"/>
        <v>82</v>
      </c>
      <c r="J25" s="1">
        <v>23.1</v>
      </c>
      <c r="K25" s="1">
        <v>1.2</v>
      </c>
      <c r="L25" s="1">
        <f t="shared" si="2"/>
        <v>120</v>
      </c>
      <c r="M25" s="1">
        <v>64</v>
      </c>
      <c r="N25" s="1">
        <f t="shared" si="3"/>
        <v>46.666666666666664</v>
      </c>
      <c r="O25" s="1">
        <v>52.5</v>
      </c>
      <c r="P25" s="1">
        <v>55.5</v>
      </c>
      <c r="Q25" s="5">
        <f t="shared" si="4"/>
        <v>16.041666666666668</v>
      </c>
      <c r="R25" s="33"/>
      <c r="S25" s="91">
        <v>-0.15029170107266301</v>
      </c>
      <c r="T25" s="91">
        <v>44.026724010483747</v>
      </c>
      <c r="U25" s="39" t="str">
        <f t="shared" si="5"/>
        <v>Normal</v>
      </c>
      <c r="V25" s="91">
        <v>-5.2478221275578718E-2</v>
      </c>
      <c r="W25" s="91">
        <v>47.907382416159003</v>
      </c>
      <c r="X25" s="40" t="str">
        <f t="shared" si="7"/>
        <v>Normal</v>
      </c>
      <c r="Y25" s="155">
        <v>0.41018692131024675</v>
      </c>
      <c r="Z25" s="91">
        <v>65.916558290914736</v>
      </c>
      <c r="AA25" s="39" t="str">
        <f t="shared" si="8"/>
        <v>Normal</v>
      </c>
      <c r="AB25" s="36">
        <v>0.51524143518652521</v>
      </c>
      <c r="AC25" s="36">
        <v>69.680784109757795</v>
      </c>
      <c r="AD25" s="39" t="str">
        <f t="shared" si="6"/>
        <v>Normal</v>
      </c>
      <c r="AE25" s="34" t="s">
        <v>172</v>
      </c>
      <c r="AF25" s="34" t="s">
        <v>172</v>
      </c>
      <c r="AG25" s="34" t="s">
        <v>172</v>
      </c>
    </row>
    <row r="26" spans="1:33" ht="15.75" x14ac:dyDescent="0.25">
      <c r="A26" s="1">
        <v>23</v>
      </c>
      <c r="B26" t="s">
        <v>60</v>
      </c>
      <c r="C26" s="1">
        <v>3</v>
      </c>
      <c r="D26" s="1" t="s">
        <v>7</v>
      </c>
      <c r="E26" s="1">
        <v>2</v>
      </c>
      <c r="F26" s="2">
        <v>41585</v>
      </c>
      <c r="G26" s="2">
        <v>44375</v>
      </c>
      <c r="H26" s="8">
        <f t="shared" si="0"/>
        <v>7</v>
      </c>
      <c r="I26" s="8">
        <f t="shared" si="1"/>
        <v>91</v>
      </c>
      <c r="J26" s="1">
        <v>26.7</v>
      </c>
      <c r="K26" s="1">
        <v>1.27</v>
      </c>
      <c r="L26" s="1">
        <f t="shared" si="2"/>
        <v>127</v>
      </c>
      <c r="M26" s="1">
        <v>67.5</v>
      </c>
      <c r="N26" s="1">
        <f t="shared" si="3"/>
        <v>46.8503937007874</v>
      </c>
      <c r="O26" s="1">
        <v>0</v>
      </c>
      <c r="P26" s="1">
        <v>53.5</v>
      </c>
      <c r="Q26" s="5">
        <f t="shared" si="4"/>
        <v>16.554033108066214</v>
      </c>
      <c r="R26" s="33"/>
      <c r="S26" s="91">
        <v>0.50448722221950582</v>
      </c>
      <c r="T26" s="91">
        <v>69.304048043978668</v>
      </c>
      <c r="U26" s="39" t="str">
        <f t="shared" si="5"/>
        <v>Normal</v>
      </c>
      <c r="V26" s="91">
        <v>-0.49881083790957498</v>
      </c>
      <c r="W26" s="91">
        <v>30.895632585634825</v>
      </c>
      <c r="X26" s="40" t="str">
        <f t="shared" si="7"/>
        <v>Normal</v>
      </c>
      <c r="Y26" s="155">
        <v>0.54370352571062408</v>
      </c>
      <c r="Z26" s="91">
        <v>70.667724707305197</v>
      </c>
      <c r="AA26" s="39" t="str">
        <f t="shared" si="8"/>
        <v>Normal</v>
      </c>
      <c r="AB26" s="36">
        <v>0.23656807983140474</v>
      </c>
      <c r="AC26" s="36">
        <v>59.350405703581011</v>
      </c>
      <c r="AD26" s="39" t="str">
        <f t="shared" si="6"/>
        <v>Normal</v>
      </c>
      <c r="AE26" s="34" t="s">
        <v>172</v>
      </c>
      <c r="AF26" s="34" t="s">
        <v>172</v>
      </c>
      <c r="AG26" s="34" t="s">
        <v>172</v>
      </c>
    </row>
    <row r="27" spans="1:33" ht="15.75" x14ac:dyDescent="0.25">
      <c r="A27" s="1">
        <v>24</v>
      </c>
      <c r="B27" t="s">
        <v>61</v>
      </c>
      <c r="C27" s="95">
        <v>3</v>
      </c>
      <c r="D27" s="1" t="s">
        <v>7</v>
      </c>
      <c r="E27" s="1">
        <v>1</v>
      </c>
      <c r="F27" s="2">
        <v>41504</v>
      </c>
      <c r="G27" s="2">
        <v>44375</v>
      </c>
      <c r="H27" s="8">
        <f t="shared" si="0"/>
        <v>7</v>
      </c>
      <c r="I27" s="8">
        <f t="shared" si="1"/>
        <v>94</v>
      </c>
      <c r="J27" s="1">
        <v>23.6</v>
      </c>
      <c r="K27" s="1">
        <v>1.22</v>
      </c>
      <c r="L27" s="1">
        <f t="shared" si="2"/>
        <v>122</v>
      </c>
      <c r="M27" s="1">
        <v>63.2</v>
      </c>
      <c r="N27" s="1">
        <f t="shared" si="3"/>
        <v>48.196721311475407</v>
      </c>
      <c r="O27" s="1">
        <v>0</v>
      </c>
      <c r="P27" s="1">
        <v>54.2</v>
      </c>
      <c r="Q27" s="5">
        <f t="shared" si="4"/>
        <v>15.85595270088686</v>
      </c>
      <c r="R27" s="33"/>
      <c r="S27" s="91">
        <v>-0.780984903139475</v>
      </c>
      <c r="T27" s="91">
        <v>21.740568699577874</v>
      </c>
      <c r="U27" s="39" t="str">
        <f t="shared" si="5"/>
        <v>Normal</v>
      </c>
      <c r="V27" s="91">
        <v>0.53671842710756945</v>
      </c>
      <c r="W27" s="91">
        <v>70.42689372419116</v>
      </c>
      <c r="X27" s="40" t="str">
        <f t="shared" si="7"/>
        <v>Normal</v>
      </c>
      <c r="Y27" s="155">
        <v>0.11036372492586176</v>
      </c>
      <c r="Z27" s="91">
        <v>54.393953966872388</v>
      </c>
      <c r="AA27" s="39" t="str">
        <f t="shared" si="8"/>
        <v>Normal</v>
      </c>
      <c r="AB27" s="36">
        <v>8.4506992593222016E-3</v>
      </c>
      <c r="AC27" s="36">
        <v>50.33713011069247</v>
      </c>
      <c r="AD27" s="39" t="str">
        <f t="shared" si="6"/>
        <v>Normal</v>
      </c>
      <c r="AE27" s="34" t="s">
        <v>172</v>
      </c>
      <c r="AF27" s="34" t="s">
        <v>172</v>
      </c>
      <c r="AG27" s="34" t="s">
        <v>172</v>
      </c>
    </row>
    <row r="28" spans="1:33" ht="15.75" x14ac:dyDescent="0.25">
      <c r="A28" s="1">
        <v>25</v>
      </c>
      <c r="B28" t="s">
        <v>62</v>
      </c>
      <c r="C28" s="95">
        <v>3</v>
      </c>
      <c r="D28" s="1" t="s">
        <v>7</v>
      </c>
      <c r="E28" s="1">
        <v>2</v>
      </c>
      <c r="F28" s="2">
        <v>41546</v>
      </c>
      <c r="G28" s="2">
        <v>44375</v>
      </c>
      <c r="H28" s="8">
        <f t="shared" si="0"/>
        <v>7</v>
      </c>
      <c r="I28" s="8">
        <f t="shared" si="1"/>
        <v>92</v>
      </c>
      <c r="J28" s="1">
        <v>20.2</v>
      </c>
      <c r="K28" s="1">
        <v>1.23</v>
      </c>
      <c r="L28" s="1">
        <f t="shared" si="2"/>
        <v>123</v>
      </c>
      <c r="M28" s="1">
        <v>64.599999999999994</v>
      </c>
      <c r="N28" s="1">
        <f t="shared" si="3"/>
        <v>47.479674796747972</v>
      </c>
      <c r="O28" s="1">
        <v>0</v>
      </c>
      <c r="P28" s="1">
        <v>48</v>
      </c>
      <c r="Q28" s="5">
        <f t="shared" si="4"/>
        <v>13.351840835481525</v>
      </c>
      <c r="R28" s="33"/>
      <c r="S28" s="91">
        <v>-0.28535478809945419</v>
      </c>
      <c r="T28" s="91">
        <v>38.768617099293024</v>
      </c>
      <c r="U28" s="39" t="str">
        <f t="shared" si="5"/>
        <v>Normal</v>
      </c>
      <c r="V28" s="91">
        <v>-6.8095862485643421E-2</v>
      </c>
      <c r="W28" s="91">
        <v>47.28546619858345</v>
      </c>
      <c r="X28" s="40" t="str">
        <f t="shared" si="7"/>
        <v>Normal</v>
      </c>
      <c r="Y28" s="155">
        <v>-1.5389631125534005</v>
      </c>
      <c r="Z28" s="91">
        <v>6.1906650927891702</v>
      </c>
      <c r="AA28" s="39" t="str">
        <f t="shared" si="8"/>
        <v>Bajo Peso</v>
      </c>
      <c r="AB28" s="36">
        <v>-0.61253290311492326</v>
      </c>
      <c r="AC28" s="36">
        <v>27.009261775697702</v>
      </c>
      <c r="AD28" s="39" t="str">
        <f t="shared" si="6"/>
        <v>Normal</v>
      </c>
      <c r="AE28" s="34" t="s">
        <v>172</v>
      </c>
      <c r="AF28" s="34" t="s">
        <v>172</v>
      </c>
      <c r="AG28" s="34" t="s">
        <v>172</v>
      </c>
    </row>
    <row r="29" spans="1:33" ht="15.75" x14ac:dyDescent="0.25">
      <c r="A29" s="1">
        <v>26</v>
      </c>
      <c r="B29" t="s">
        <v>63</v>
      </c>
      <c r="C29" s="95">
        <v>3</v>
      </c>
      <c r="D29" s="1" t="s">
        <v>7</v>
      </c>
      <c r="E29" s="1">
        <v>2</v>
      </c>
      <c r="F29" s="2">
        <v>41535</v>
      </c>
      <c r="G29" s="2">
        <v>44375</v>
      </c>
      <c r="H29" s="8">
        <f t="shared" si="0"/>
        <v>7</v>
      </c>
      <c r="I29" s="8">
        <f t="shared" si="1"/>
        <v>93</v>
      </c>
      <c r="J29" s="1">
        <v>25.1</v>
      </c>
      <c r="K29" s="1">
        <v>1.2</v>
      </c>
      <c r="L29" s="1">
        <f t="shared" si="2"/>
        <v>120</v>
      </c>
      <c r="M29" s="1">
        <v>64.900000000000006</v>
      </c>
      <c r="N29" s="1">
        <f t="shared" si="3"/>
        <v>45.916666666666664</v>
      </c>
      <c r="O29" s="1">
        <v>0</v>
      </c>
      <c r="P29" s="1">
        <v>55</v>
      </c>
      <c r="Q29" s="5">
        <f t="shared" si="4"/>
        <v>17.430555555555557</v>
      </c>
      <c r="R29" s="33"/>
      <c r="S29" s="91">
        <v>-0.89301575006078837</v>
      </c>
      <c r="T29" s="91">
        <v>18.59243691215368</v>
      </c>
      <c r="U29" s="39" t="str">
        <f t="shared" si="5"/>
        <v>Normal</v>
      </c>
      <c r="V29" s="91">
        <v>-1.1496009786319135</v>
      </c>
      <c r="W29" s="91">
        <v>12.515412746308</v>
      </c>
      <c r="X29" s="40" t="str">
        <f t="shared" si="7"/>
        <v>Normal</v>
      </c>
      <c r="Y29" s="155">
        <v>0.92420149123151352</v>
      </c>
      <c r="Z29" s="91">
        <v>82.23092903124703</v>
      </c>
      <c r="AA29" s="39" t="str">
        <f t="shared" si="8"/>
        <v>Normal</v>
      </c>
      <c r="AB29" s="36">
        <v>0.437591404979215</v>
      </c>
      <c r="AC29" s="36">
        <v>66.915874855541318</v>
      </c>
      <c r="AD29" s="39" t="str">
        <f t="shared" si="6"/>
        <v>Normal</v>
      </c>
      <c r="AE29" s="34" t="s">
        <v>172</v>
      </c>
      <c r="AF29" s="34" t="s">
        <v>172</v>
      </c>
      <c r="AG29" s="34" t="s">
        <v>172</v>
      </c>
    </row>
    <row r="30" spans="1:33" ht="15.75" x14ac:dyDescent="0.25">
      <c r="A30" s="1">
        <v>27</v>
      </c>
      <c r="B30" t="s">
        <v>64</v>
      </c>
      <c r="C30" s="95">
        <v>3</v>
      </c>
      <c r="D30" s="1" t="s">
        <v>7</v>
      </c>
      <c r="E30" s="1">
        <v>1</v>
      </c>
      <c r="F30" s="2">
        <v>41441</v>
      </c>
      <c r="G30" s="2">
        <v>44375</v>
      </c>
      <c r="H30" s="8">
        <f t="shared" si="0"/>
        <v>8</v>
      </c>
      <c r="I30" s="8">
        <f t="shared" si="1"/>
        <v>96</v>
      </c>
      <c r="J30" s="1">
        <v>22.9</v>
      </c>
      <c r="K30" s="1">
        <v>1.27</v>
      </c>
      <c r="L30" s="1">
        <f t="shared" si="2"/>
        <v>127</v>
      </c>
      <c r="M30" s="1">
        <v>67.3</v>
      </c>
      <c r="N30" s="1">
        <f t="shared" si="3"/>
        <v>47.007874015748037</v>
      </c>
      <c r="O30" s="1">
        <v>0</v>
      </c>
      <c r="P30" s="1">
        <v>54</v>
      </c>
      <c r="Q30" s="5">
        <f t="shared" si="4"/>
        <v>14.198028396056792</v>
      </c>
      <c r="R30" s="33"/>
      <c r="S30" s="91">
        <v>-4.6936759933381506E-2</v>
      </c>
      <c r="T30" s="91">
        <v>48.128181508870568</v>
      </c>
      <c r="U30" s="39" t="str">
        <f t="shared" si="5"/>
        <v>Normal</v>
      </c>
      <c r="V30" s="91">
        <v>-0.54877423819066662</v>
      </c>
      <c r="W30" s="91">
        <v>29.158019589446432</v>
      </c>
      <c r="X30" s="40" t="str">
        <f t="shared" si="7"/>
        <v>Normal</v>
      </c>
      <c r="Y30" s="155">
        <v>-1.1657275213210243</v>
      </c>
      <c r="Z30" s="91">
        <v>12.186231463741724</v>
      </c>
      <c r="AA30" s="39" t="str">
        <f t="shared" si="8"/>
        <v>Bajo Peso</v>
      </c>
      <c r="AB30" s="36">
        <v>-0.29679441705082582</v>
      </c>
      <c r="AC30" s="36">
        <v>38.331173404004964</v>
      </c>
      <c r="AD30" s="39" t="str">
        <f t="shared" si="6"/>
        <v>Normal</v>
      </c>
      <c r="AE30" s="34" t="s">
        <v>172</v>
      </c>
      <c r="AF30" s="34" t="s">
        <v>172</v>
      </c>
      <c r="AG30" s="34" t="s">
        <v>172</v>
      </c>
    </row>
    <row r="31" spans="1:33" ht="15.75" x14ac:dyDescent="0.25">
      <c r="A31" s="1">
        <v>28</v>
      </c>
      <c r="B31" t="s">
        <v>65</v>
      </c>
      <c r="C31" s="95">
        <v>3</v>
      </c>
      <c r="D31" s="1" t="s">
        <v>7</v>
      </c>
      <c r="E31" s="1">
        <v>1</v>
      </c>
      <c r="F31" s="2">
        <v>41453</v>
      </c>
      <c r="G31" s="2">
        <v>44375</v>
      </c>
      <c r="H31" s="8">
        <f t="shared" si="0"/>
        <v>8</v>
      </c>
      <c r="I31" s="8">
        <f t="shared" si="1"/>
        <v>96</v>
      </c>
      <c r="J31" s="1">
        <v>28.9</v>
      </c>
      <c r="K31" s="1">
        <v>1.28</v>
      </c>
      <c r="L31" s="1">
        <f t="shared" si="2"/>
        <v>128</v>
      </c>
      <c r="M31" s="1">
        <f>108.5-40</f>
        <v>68.5</v>
      </c>
      <c r="N31" s="1">
        <f t="shared" si="3"/>
        <v>46.484375</v>
      </c>
      <c r="O31" s="1">
        <v>0</v>
      </c>
      <c r="P31" s="1">
        <v>62</v>
      </c>
      <c r="Q31" s="5">
        <f t="shared" si="4"/>
        <v>17.63916015625</v>
      </c>
      <c r="R31" s="33"/>
      <c r="S31" s="91">
        <v>0.13011627640528184</v>
      </c>
      <c r="T31" s="91">
        <v>55.176278355753048</v>
      </c>
      <c r="U31" s="39" t="str">
        <f t="shared" si="5"/>
        <v>Normal</v>
      </c>
      <c r="V31" s="91">
        <v>-0.89946517627688249</v>
      </c>
      <c r="W31" s="91">
        <v>18.42024682990181</v>
      </c>
      <c r="X31" s="40" t="str">
        <f t="shared" si="7"/>
        <v>Normal</v>
      </c>
      <c r="Y31" s="155">
        <v>1.1033208869359261</v>
      </c>
      <c r="Z31" s="91">
        <v>86.505608038836201</v>
      </c>
      <c r="AA31" s="39" t="str">
        <f t="shared" si="8"/>
        <v>Obesidad</v>
      </c>
      <c r="AB31" s="42">
        <v>0.67113383415715966</v>
      </c>
      <c r="AC31" s="42">
        <v>74.893236264652316</v>
      </c>
      <c r="AD31" s="39" t="str">
        <f t="shared" si="6"/>
        <v>Normal</v>
      </c>
      <c r="AE31" s="34" t="s">
        <v>172</v>
      </c>
      <c r="AF31" s="34" t="s">
        <v>172</v>
      </c>
      <c r="AG31" s="34" t="s">
        <v>172</v>
      </c>
    </row>
    <row r="32" spans="1:33" ht="15.75" x14ac:dyDescent="0.25">
      <c r="A32" s="1">
        <v>29</v>
      </c>
      <c r="B32" t="s">
        <v>66</v>
      </c>
      <c r="C32" s="95">
        <v>3</v>
      </c>
      <c r="D32" s="1" t="s">
        <v>7</v>
      </c>
      <c r="E32" s="1">
        <v>2</v>
      </c>
      <c r="F32" s="2">
        <v>41467</v>
      </c>
      <c r="G32" s="2">
        <v>44375</v>
      </c>
      <c r="H32" s="8">
        <f t="shared" si="0"/>
        <v>7</v>
      </c>
      <c r="I32" s="8">
        <f t="shared" si="1"/>
        <v>95</v>
      </c>
      <c r="J32" s="1">
        <v>28.8</v>
      </c>
      <c r="K32" s="1">
        <v>1.3</v>
      </c>
      <c r="L32" s="1">
        <f t="shared" si="2"/>
        <v>130</v>
      </c>
      <c r="M32" s="1">
        <f>110-40</f>
        <v>70</v>
      </c>
      <c r="N32" s="1">
        <f t="shared" si="3"/>
        <v>46.153846153846153</v>
      </c>
      <c r="O32" s="1">
        <v>0</v>
      </c>
      <c r="P32" s="1">
        <v>59</v>
      </c>
      <c r="Q32" s="5">
        <f t="shared" si="4"/>
        <v>17.041420118343193</v>
      </c>
      <c r="R32" s="33"/>
      <c r="S32" s="91">
        <v>0.68097553355770268</v>
      </c>
      <c r="T32" s="91">
        <v>75.205651408690741</v>
      </c>
      <c r="U32" s="39" t="str">
        <f t="shared" si="5"/>
        <v>Normal</v>
      </c>
      <c r="V32" s="91">
        <v>-0.982941079792371</v>
      </c>
      <c r="W32" s="91">
        <v>16.281821905834438</v>
      </c>
      <c r="X32" s="40" t="str">
        <f t="shared" si="7"/>
        <v>Normal</v>
      </c>
      <c r="Y32" s="155">
        <v>0.71343776726980379</v>
      </c>
      <c r="Z32" s="91">
        <v>76.221254512026135</v>
      </c>
      <c r="AA32" s="39" t="str">
        <f t="shared" si="8"/>
        <v>Normal</v>
      </c>
      <c r="AB32" s="36">
        <v>0.92185786154056126</v>
      </c>
      <c r="AC32" s="36">
        <v>82.16986392535415</v>
      </c>
      <c r="AD32" s="39" t="str">
        <f t="shared" si="6"/>
        <v>Normal</v>
      </c>
      <c r="AE32" s="34" t="s">
        <v>172</v>
      </c>
      <c r="AF32" s="34" t="s">
        <v>172</v>
      </c>
      <c r="AG32" s="34" t="s">
        <v>172</v>
      </c>
    </row>
    <row r="33" spans="1:33" ht="15.75" x14ac:dyDescent="0.25">
      <c r="A33" s="1">
        <v>30</v>
      </c>
      <c r="B33" t="s">
        <v>67</v>
      </c>
      <c r="C33" s="95">
        <v>3</v>
      </c>
      <c r="D33" s="1" t="s">
        <v>7</v>
      </c>
      <c r="E33" s="1">
        <v>2</v>
      </c>
      <c r="F33" s="2">
        <v>41561</v>
      </c>
      <c r="G33" s="2">
        <v>44375</v>
      </c>
      <c r="H33" s="8">
        <f t="shared" si="0"/>
        <v>7</v>
      </c>
      <c r="I33" s="8">
        <f t="shared" si="1"/>
        <v>92</v>
      </c>
      <c r="J33" s="1">
        <v>24.6</v>
      </c>
      <c r="K33" s="1">
        <v>1.18</v>
      </c>
      <c r="L33" s="1">
        <f t="shared" si="2"/>
        <v>118</v>
      </c>
      <c r="M33" s="1">
        <f>102.5-40</f>
        <v>62.5</v>
      </c>
      <c r="N33" s="1">
        <f t="shared" si="3"/>
        <v>47.033898305084747</v>
      </c>
      <c r="O33" s="1">
        <v>0</v>
      </c>
      <c r="P33" s="1">
        <v>60</v>
      </c>
      <c r="Q33" s="5">
        <f t="shared" si="4"/>
        <v>17.667336972134446</v>
      </c>
      <c r="R33" s="33"/>
      <c r="S33" s="91">
        <v>-1.1642348795724493</v>
      </c>
      <c r="T33" s="91">
        <v>12.216441935853403</v>
      </c>
      <c r="U33" s="39" t="str">
        <f t="shared" si="5"/>
        <v>Normal</v>
      </c>
      <c r="V33" s="91">
        <v>-0.37256537485161045</v>
      </c>
      <c r="W33" s="91">
        <v>35.473597359625927</v>
      </c>
      <c r="X33" s="40" t="str">
        <f t="shared" si="7"/>
        <v>Normal</v>
      </c>
      <c r="Y33" s="155">
        <v>1.0446072592916507</v>
      </c>
      <c r="Z33" s="91">
        <v>85.189773843611931</v>
      </c>
      <c r="AA33" s="39" t="str">
        <f t="shared" si="8"/>
        <v>Obesidad</v>
      </c>
      <c r="AB33" s="42">
        <v>1.0324590774034126</v>
      </c>
      <c r="AC33" s="42">
        <v>84.907144560663284</v>
      </c>
      <c r="AD33" s="39" t="str">
        <f t="shared" si="6"/>
        <v>Normal</v>
      </c>
      <c r="AE33" s="34" t="s">
        <v>172</v>
      </c>
      <c r="AF33" s="34" t="s">
        <v>172</v>
      </c>
      <c r="AG33" s="34" t="s">
        <v>172</v>
      </c>
    </row>
    <row r="34" spans="1:33" ht="15.75" x14ac:dyDescent="0.25">
      <c r="A34" s="1">
        <v>31</v>
      </c>
      <c r="B34" s="4" t="s">
        <v>68</v>
      </c>
      <c r="C34" s="95">
        <v>3</v>
      </c>
      <c r="D34" s="1" t="s">
        <v>7</v>
      </c>
      <c r="E34" s="1">
        <v>2</v>
      </c>
      <c r="F34" s="2">
        <v>41468</v>
      </c>
      <c r="G34" s="2">
        <v>44375</v>
      </c>
      <c r="H34" s="8">
        <f t="shared" si="0"/>
        <v>7</v>
      </c>
      <c r="I34" s="8">
        <f t="shared" si="1"/>
        <v>95</v>
      </c>
      <c r="J34" s="1">
        <v>26.4</v>
      </c>
      <c r="K34" s="1">
        <v>1.3</v>
      </c>
      <c r="L34" s="1">
        <f t="shared" si="2"/>
        <v>130</v>
      </c>
      <c r="M34" s="1">
        <f>109.5-40</f>
        <v>69.5</v>
      </c>
      <c r="N34" s="1">
        <f t="shared" si="3"/>
        <v>46.53846153846154</v>
      </c>
      <c r="O34" s="1">
        <v>0</v>
      </c>
      <c r="P34" s="1">
        <v>58</v>
      </c>
      <c r="Q34" s="5">
        <f t="shared" si="4"/>
        <v>15.621301775147927</v>
      </c>
      <c r="R34" s="33"/>
      <c r="S34" s="91">
        <v>0.68097553355770268</v>
      </c>
      <c r="T34" s="91">
        <v>75.205651408690741</v>
      </c>
      <c r="U34" s="39" t="str">
        <f t="shared" si="5"/>
        <v>Normal</v>
      </c>
      <c r="V34" s="91">
        <v>-0.71464553130983199</v>
      </c>
      <c r="W34" s="91">
        <v>23.741405133400896</v>
      </c>
      <c r="X34" s="40" t="str">
        <f t="shared" si="7"/>
        <v>Normal</v>
      </c>
      <c r="Y34" s="155">
        <v>-1.7651626734995936E-2</v>
      </c>
      <c r="Z34" s="91">
        <v>49.295838545040176</v>
      </c>
      <c r="AA34" s="39" t="str">
        <f t="shared" si="8"/>
        <v>Normal</v>
      </c>
      <c r="AB34" s="42">
        <v>0.80729259324809477</v>
      </c>
      <c r="AC34" s="42">
        <v>79.025103486083665</v>
      </c>
      <c r="AD34" s="39" t="str">
        <f t="shared" si="6"/>
        <v>Normal</v>
      </c>
      <c r="AE34" s="34" t="s">
        <v>172</v>
      </c>
      <c r="AF34" s="34" t="s">
        <v>172</v>
      </c>
      <c r="AG34" s="34" t="s">
        <v>172</v>
      </c>
    </row>
    <row r="35" spans="1:33" ht="15.75" x14ac:dyDescent="0.25">
      <c r="A35" s="1">
        <v>32</v>
      </c>
      <c r="B35" t="s">
        <v>69</v>
      </c>
      <c r="C35" s="95">
        <v>3</v>
      </c>
      <c r="D35" s="1" t="s">
        <v>7</v>
      </c>
      <c r="E35" s="1">
        <v>1</v>
      </c>
      <c r="F35" s="2">
        <v>41537</v>
      </c>
      <c r="G35" s="2">
        <v>44375</v>
      </c>
      <c r="H35" s="8">
        <f t="shared" si="0"/>
        <v>7</v>
      </c>
      <c r="I35" s="8">
        <f t="shared" si="1"/>
        <v>93</v>
      </c>
      <c r="J35" s="1">
        <v>28.1</v>
      </c>
      <c r="K35" s="1">
        <v>1.24</v>
      </c>
      <c r="L35" s="1">
        <f t="shared" si="2"/>
        <v>124</v>
      </c>
      <c r="M35" s="1">
        <f>106.5-40</f>
        <v>66.5</v>
      </c>
      <c r="N35" s="1">
        <f t="shared" si="3"/>
        <v>46.37096774193548</v>
      </c>
      <c r="O35" s="1">
        <v>0</v>
      </c>
      <c r="P35" s="1">
        <v>60</v>
      </c>
      <c r="Q35" s="5">
        <f t="shared" si="4"/>
        <v>18.275234131113425</v>
      </c>
      <c r="R35" s="33"/>
      <c r="S35" s="91">
        <v>-0.34374024090075989</v>
      </c>
      <c r="T35" s="91">
        <v>36.552082265171343</v>
      </c>
      <c r="U35" s="39" t="str">
        <f t="shared" si="5"/>
        <v>Normal</v>
      </c>
      <c r="V35" s="91">
        <v>-0.63365439113007249</v>
      </c>
      <c r="W35" s="91">
        <v>26.315319801421921</v>
      </c>
      <c r="X35" s="40" t="str">
        <f t="shared" si="7"/>
        <v>Normal</v>
      </c>
      <c r="Y35" s="155">
        <v>1.4709434519528031</v>
      </c>
      <c r="Z35" s="91">
        <v>92.934679487112362</v>
      </c>
      <c r="AA35" s="39" t="str">
        <f t="shared" si="8"/>
        <v>Obesidad</v>
      </c>
      <c r="AB35" s="42">
        <v>0.74742585038753573</v>
      </c>
      <c r="AC35" s="42">
        <v>77.259672691535442</v>
      </c>
      <c r="AD35" s="39" t="str">
        <f t="shared" si="6"/>
        <v>Normal</v>
      </c>
      <c r="AE35" s="34" t="s">
        <v>172</v>
      </c>
      <c r="AF35" s="34" t="s">
        <v>172</v>
      </c>
      <c r="AG35" s="34" t="s">
        <v>172</v>
      </c>
    </row>
    <row r="36" spans="1:33" ht="15.75" x14ac:dyDescent="0.25">
      <c r="A36" s="1">
        <v>33</v>
      </c>
      <c r="B36" t="s">
        <v>70</v>
      </c>
      <c r="C36" s="95">
        <v>3</v>
      </c>
      <c r="D36" s="1" t="s">
        <v>7</v>
      </c>
      <c r="E36" s="1">
        <v>1</v>
      </c>
      <c r="F36" s="2">
        <v>41800</v>
      </c>
      <c r="G36" s="2">
        <v>44375</v>
      </c>
      <c r="H36" s="8">
        <f t="shared" ref="H36:H67" si="9">DATEDIF(F36,G36,"y")</f>
        <v>7</v>
      </c>
      <c r="I36" s="8">
        <f t="shared" si="1"/>
        <v>84</v>
      </c>
      <c r="J36" s="1">
        <v>28.2</v>
      </c>
      <c r="K36" s="1">
        <v>1.36</v>
      </c>
      <c r="L36" s="1">
        <f t="shared" si="2"/>
        <v>136</v>
      </c>
      <c r="M36" s="1">
        <f>109.3-40</f>
        <v>69.3</v>
      </c>
      <c r="N36" s="1">
        <f t="shared" si="3"/>
        <v>49.044117647058826</v>
      </c>
      <c r="O36" s="1">
        <v>0</v>
      </c>
      <c r="P36" s="1">
        <v>56</v>
      </c>
      <c r="Q36" s="5">
        <f t="shared" si="4"/>
        <v>15.246539792387541</v>
      </c>
      <c r="R36" s="33"/>
      <c r="S36" s="91">
        <v>2.699027503055822</v>
      </c>
      <c r="T36" s="91">
        <v>99.652287855458141</v>
      </c>
      <c r="U36" s="39" t="str">
        <f t="shared" si="5"/>
        <v>Alto</v>
      </c>
      <c r="V36" s="91">
        <v>1.0637699649632013</v>
      </c>
      <c r="W36" s="91">
        <v>85.628353967571087</v>
      </c>
      <c r="X36" s="40" t="str">
        <f t="shared" si="7"/>
        <v>Normal</v>
      </c>
      <c r="Y36" s="155">
        <v>-0.17150137659111583</v>
      </c>
      <c r="Z36" s="91">
        <v>43.191477405778876</v>
      </c>
      <c r="AA36" s="39" t="str">
        <f t="shared" si="8"/>
        <v>Normal</v>
      </c>
      <c r="AB36" s="36">
        <v>0.25375638225417108</v>
      </c>
      <c r="AC36" s="36">
        <v>60.015811372956193</v>
      </c>
      <c r="AD36" s="39" t="str">
        <f t="shared" si="6"/>
        <v>Normal</v>
      </c>
      <c r="AE36" s="34" t="s">
        <v>172</v>
      </c>
      <c r="AF36" s="34" t="s">
        <v>172</v>
      </c>
      <c r="AG36" s="34" t="s">
        <v>172</v>
      </c>
    </row>
    <row r="37" spans="1:33" ht="15.75" x14ac:dyDescent="0.25">
      <c r="A37" s="1">
        <v>34</v>
      </c>
      <c r="B37" t="s">
        <v>71</v>
      </c>
      <c r="C37" s="95">
        <v>3</v>
      </c>
      <c r="D37" s="1" t="s">
        <v>7</v>
      </c>
      <c r="E37" s="1">
        <v>2</v>
      </c>
      <c r="F37" s="2">
        <v>41569</v>
      </c>
      <c r="G37" s="2">
        <v>44375</v>
      </c>
      <c r="H37" s="8">
        <f t="shared" si="9"/>
        <v>7</v>
      </c>
      <c r="I37" s="8">
        <f t="shared" si="1"/>
        <v>92</v>
      </c>
      <c r="J37" s="1">
        <v>21.6</v>
      </c>
      <c r="K37" s="1">
        <v>1.23</v>
      </c>
      <c r="L37" s="1">
        <f t="shared" si="2"/>
        <v>123</v>
      </c>
      <c r="M37" s="1">
        <v>64</v>
      </c>
      <c r="N37" s="1">
        <f t="shared" si="3"/>
        <v>47.967479674796749</v>
      </c>
      <c r="O37" s="1">
        <v>0</v>
      </c>
      <c r="P37" s="1">
        <v>53</v>
      </c>
      <c r="Q37" s="5">
        <f t="shared" si="4"/>
        <v>14.277215942891138</v>
      </c>
      <c r="R37" s="33"/>
      <c r="S37" s="91">
        <v>-0.28535478809945419</v>
      </c>
      <c r="T37" s="91">
        <v>38.768617099293024</v>
      </c>
      <c r="U37" s="39" t="str">
        <f t="shared" si="5"/>
        <v>Normal</v>
      </c>
      <c r="V37" s="91">
        <v>0.26154854054756677</v>
      </c>
      <c r="W37" s="91">
        <v>60.31652390831637</v>
      </c>
      <c r="X37" s="40" t="str">
        <f t="shared" si="7"/>
        <v>Normal</v>
      </c>
      <c r="Y37" s="155">
        <v>-0.82918178782178065</v>
      </c>
      <c r="Z37" s="91">
        <v>20.350077442912085</v>
      </c>
      <c r="AA37" s="39" t="str">
        <f t="shared" si="8"/>
        <v>Normal</v>
      </c>
      <c r="AB37" s="36">
        <v>0.16693227340181316</v>
      </c>
      <c r="AC37" s="36">
        <v>56.628833053518271</v>
      </c>
      <c r="AD37" s="39" t="str">
        <f t="shared" si="6"/>
        <v>Normal</v>
      </c>
      <c r="AE37" s="34" t="s">
        <v>172</v>
      </c>
      <c r="AF37" s="34" t="s">
        <v>172</v>
      </c>
      <c r="AG37" s="34" t="s">
        <v>172</v>
      </c>
    </row>
    <row r="38" spans="1:33" ht="15.75" x14ac:dyDescent="0.25">
      <c r="A38" s="1">
        <v>35</v>
      </c>
      <c r="B38" t="s">
        <v>72</v>
      </c>
      <c r="C38" s="95">
        <v>3</v>
      </c>
      <c r="D38" s="1" t="s">
        <v>7</v>
      </c>
      <c r="E38" s="1">
        <v>2</v>
      </c>
      <c r="F38" s="2">
        <v>41518</v>
      </c>
      <c r="G38" s="2">
        <v>44375</v>
      </c>
      <c r="H38" s="8">
        <f t="shared" si="9"/>
        <v>7</v>
      </c>
      <c r="I38" s="8">
        <f t="shared" si="1"/>
        <v>93</v>
      </c>
      <c r="J38" s="1">
        <v>24.2</v>
      </c>
      <c r="K38" s="1">
        <v>1.22</v>
      </c>
      <c r="L38" s="1">
        <f t="shared" si="2"/>
        <v>122</v>
      </c>
      <c r="M38" s="1">
        <v>75</v>
      </c>
      <c r="N38" s="1">
        <f t="shared" si="3"/>
        <v>38.524590163934427</v>
      </c>
      <c r="O38" s="1">
        <v>0</v>
      </c>
      <c r="P38" s="1">
        <v>53</v>
      </c>
      <c r="Q38" s="5">
        <f t="shared" si="4"/>
        <v>16.25907014243483</v>
      </c>
      <c r="R38" s="33"/>
      <c r="S38" s="91">
        <v>-0.54312222471617533</v>
      </c>
      <c r="T38" s="91">
        <v>29.352282574005716</v>
      </c>
      <c r="U38" s="39" t="str">
        <f t="shared" si="5"/>
        <v>Normal</v>
      </c>
      <c r="V38" s="91">
        <v>-6.8709861240870422</v>
      </c>
      <c r="W38" s="91">
        <v>3.1879798185324245E-10</v>
      </c>
      <c r="X38" s="40" t="str">
        <f t="shared" si="7"/>
        <v>Piernas cortas</v>
      </c>
      <c r="Y38" s="155">
        <v>0.36181802220021664</v>
      </c>
      <c r="Z38" s="91">
        <v>64.125598822049795</v>
      </c>
      <c r="AA38" s="39" t="str">
        <f t="shared" si="8"/>
        <v>Normal</v>
      </c>
      <c r="AB38" s="36">
        <v>0.16693227340181316</v>
      </c>
      <c r="AC38" s="36">
        <v>56.628833053518271</v>
      </c>
      <c r="AD38" s="39" t="str">
        <f t="shared" si="6"/>
        <v>Normal</v>
      </c>
      <c r="AE38" s="34" t="s">
        <v>172</v>
      </c>
      <c r="AF38" s="34" t="s">
        <v>172</v>
      </c>
      <c r="AG38" s="34" t="s">
        <v>172</v>
      </c>
    </row>
    <row r="39" spans="1:33" ht="15.75" x14ac:dyDescent="0.25">
      <c r="A39" s="1">
        <v>36</v>
      </c>
      <c r="B39" t="s">
        <v>170</v>
      </c>
      <c r="C39" s="95">
        <v>3</v>
      </c>
      <c r="D39" s="1" t="s">
        <v>7</v>
      </c>
      <c r="E39" s="1">
        <v>1</v>
      </c>
      <c r="F39" s="2">
        <v>41314</v>
      </c>
      <c r="G39" s="2">
        <v>44375</v>
      </c>
      <c r="H39" s="8">
        <f t="shared" si="9"/>
        <v>8</v>
      </c>
      <c r="I39" s="8">
        <f t="shared" si="1"/>
        <v>100</v>
      </c>
      <c r="J39" s="1">
        <v>33.700000000000003</v>
      </c>
      <c r="K39" s="1">
        <v>1.36</v>
      </c>
      <c r="L39" s="1">
        <f t="shared" si="2"/>
        <v>136</v>
      </c>
      <c r="M39" s="1">
        <v>72.5</v>
      </c>
      <c r="N39" s="1">
        <f t="shared" si="3"/>
        <v>46.691176470588239</v>
      </c>
      <c r="O39" s="1">
        <v>0</v>
      </c>
      <c r="P39" s="1">
        <v>63.5</v>
      </c>
      <c r="Q39" s="5">
        <f t="shared" si="4"/>
        <v>18.22015570934256</v>
      </c>
      <c r="R39" s="33"/>
      <c r="S39" s="91">
        <v>1.2054331302015349</v>
      </c>
      <c r="T39" s="91">
        <v>88.598193089968618</v>
      </c>
      <c r="U39" s="39" t="str">
        <f t="shared" si="5"/>
        <v>Normal</v>
      </c>
      <c r="V39" s="91">
        <v>-0.76041758469430742</v>
      </c>
      <c r="W39" s="91">
        <v>22.350250770118528</v>
      </c>
      <c r="X39" s="40" t="str">
        <f t="shared" si="7"/>
        <v>Normal</v>
      </c>
      <c r="Y39" s="155">
        <v>1.3034144036023374</v>
      </c>
      <c r="Z39" s="91">
        <v>90.378333914181354</v>
      </c>
      <c r="AA39" s="39" t="str">
        <f t="shared" si="8"/>
        <v>Obesidad</v>
      </c>
      <c r="AB39" s="42">
        <v>0.82610462702913801</v>
      </c>
      <c r="AC39" s="42">
        <v>79.562762842074235</v>
      </c>
      <c r="AD39" s="39" t="str">
        <f t="shared" si="6"/>
        <v>Normal</v>
      </c>
      <c r="AE39" s="34" t="s">
        <v>172</v>
      </c>
      <c r="AF39" s="34" t="s">
        <v>172</v>
      </c>
      <c r="AG39" s="34" t="s">
        <v>172</v>
      </c>
    </row>
    <row r="40" spans="1:33" ht="15.75" x14ac:dyDescent="0.25">
      <c r="A40" s="1">
        <v>37</v>
      </c>
      <c r="B40" t="s">
        <v>73</v>
      </c>
      <c r="C40" s="95">
        <v>3</v>
      </c>
      <c r="D40" s="1" t="s">
        <v>7</v>
      </c>
      <c r="E40" s="1">
        <v>2</v>
      </c>
      <c r="F40" s="2">
        <v>41612</v>
      </c>
      <c r="G40" s="2">
        <v>44375</v>
      </c>
      <c r="H40" s="8">
        <f t="shared" si="9"/>
        <v>7</v>
      </c>
      <c r="I40" s="8">
        <f t="shared" si="1"/>
        <v>90</v>
      </c>
      <c r="J40" s="1">
        <v>18.399999999999999</v>
      </c>
      <c r="K40" s="1">
        <v>1.1399999999999999</v>
      </c>
      <c r="L40" s="1">
        <f t="shared" si="2"/>
        <v>113.99999999999999</v>
      </c>
      <c r="M40" s="1">
        <f>101-40</f>
        <v>61</v>
      </c>
      <c r="N40" s="1">
        <f t="shared" si="3"/>
        <v>46.491228070175431</v>
      </c>
      <c r="O40" s="1">
        <v>0</v>
      </c>
      <c r="P40" s="1">
        <v>50</v>
      </c>
      <c r="Q40" s="5">
        <f t="shared" si="4"/>
        <v>14.158202523853493</v>
      </c>
      <c r="R40" s="33"/>
      <c r="S40" s="91">
        <v>-1.7153579971912409</v>
      </c>
      <c r="T40" s="91">
        <v>4.313980563732474</v>
      </c>
      <c r="U40" s="39" t="str">
        <f t="shared" si="5"/>
        <v>Desnutricion</v>
      </c>
      <c r="V40" s="91">
        <v>-0.74746437955606138</v>
      </c>
      <c r="W40" s="91">
        <v>22.739164829396525</v>
      </c>
      <c r="X40" s="40" t="str">
        <f t="shared" si="7"/>
        <v>Normal</v>
      </c>
      <c r="Y40" s="155">
        <v>-0.88897040775737191</v>
      </c>
      <c r="Z40" s="91">
        <v>18.700949192518674</v>
      </c>
      <c r="AA40" s="39" t="str">
        <f t="shared" si="8"/>
        <v>Normal</v>
      </c>
      <c r="AB40" s="36">
        <v>-0.28131165063551861</v>
      </c>
      <c r="AC40" s="36">
        <v>38.923568753558321</v>
      </c>
      <c r="AD40" s="39" t="str">
        <f t="shared" si="6"/>
        <v>Normal</v>
      </c>
      <c r="AE40" s="34" t="s">
        <v>172</v>
      </c>
      <c r="AF40" s="34" t="s">
        <v>172</v>
      </c>
      <c r="AG40" s="34" t="s">
        <v>172</v>
      </c>
    </row>
    <row r="41" spans="1:33" ht="15.75" x14ac:dyDescent="0.25">
      <c r="A41" s="1">
        <v>38</v>
      </c>
      <c r="B41" t="s">
        <v>74</v>
      </c>
      <c r="C41" s="95">
        <v>3</v>
      </c>
      <c r="D41" s="1" t="s">
        <v>7</v>
      </c>
      <c r="E41" s="1">
        <v>1</v>
      </c>
      <c r="F41" s="2">
        <v>41581</v>
      </c>
      <c r="G41" s="2">
        <v>44375</v>
      </c>
      <c r="H41" s="8">
        <f t="shared" si="9"/>
        <v>7</v>
      </c>
      <c r="I41" s="8">
        <f t="shared" si="1"/>
        <v>91</v>
      </c>
      <c r="J41" s="1">
        <v>24</v>
      </c>
      <c r="K41" s="1">
        <v>1.21</v>
      </c>
      <c r="L41" s="1">
        <f t="shared" si="2"/>
        <v>121</v>
      </c>
      <c r="M41" s="1">
        <v>63</v>
      </c>
      <c r="N41" s="1">
        <f t="shared" si="3"/>
        <v>47.933884297520663</v>
      </c>
      <c r="O41" s="1">
        <v>0</v>
      </c>
      <c r="P41" s="1">
        <v>58.5</v>
      </c>
      <c r="Q41" s="5">
        <f t="shared" si="4"/>
        <v>16.392322928761697</v>
      </c>
      <c r="R41" s="33"/>
      <c r="S41" s="91">
        <v>-0.72696954972894268</v>
      </c>
      <c r="T41" s="91">
        <v>23.362230477493245</v>
      </c>
      <c r="U41" s="39" t="str">
        <f t="shared" si="5"/>
        <v>Normal</v>
      </c>
      <c r="V41" s="91">
        <v>0.37120814573179539</v>
      </c>
      <c r="W41" s="91">
        <v>64.475874676914273</v>
      </c>
      <c r="X41" s="40" t="str">
        <f t="shared" si="7"/>
        <v>Normal</v>
      </c>
      <c r="Y41" s="155">
        <v>0.49823082809600822</v>
      </c>
      <c r="Z41" s="91">
        <v>69.083932194501315</v>
      </c>
      <c r="AA41" s="39" t="str">
        <f t="shared" si="8"/>
        <v>Normal</v>
      </c>
      <c r="AB41" s="36">
        <v>0.57001534200442627</v>
      </c>
      <c r="AC41" s="36">
        <v>71.566635377764072</v>
      </c>
      <c r="AD41" s="39" t="str">
        <f t="shared" si="6"/>
        <v>Normal</v>
      </c>
      <c r="AE41" s="34" t="s">
        <v>172</v>
      </c>
      <c r="AF41" s="34" t="s">
        <v>172</v>
      </c>
      <c r="AG41" s="34" t="s">
        <v>172</v>
      </c>
    </row>
    <row r="42" spans="1:33" ht="15.75" x14ac:dyDescent="0.25">
      <c r="A42" s="1">
        <v>39</v>
      </c>
      <c r="B42" t="s">
        <v>75</v>
      </c>
      <c r="C42" s="95">
        <v>3</v>
      </c>
      <c r="D42" s="1" t="s">
        <v>7</v>
      </c>
      <c r="E42" s="1">
        <v>2</v>
      </c>
      <c r="F42" s="2">
        <v>41348</v>
      </c>
      <c r="G42" s="2">
        <v>44375</v>
      </c>
      <c r="H42" s="8">
        <f t="shared" si="9"/>
        <v>8</v>
      </c>
      <c r="I42" s="8">
        <f t="shared" si="1"/>
        <v>99</v>
      </c>
      <c r="J42" s="1">
        <v>24.1</v>
      </c>
      <c r="K42" s="1">
        <v>1.24</v>
      </c>
      <c r="L42" s="1">
        <f t="shared" si="2"/>
        <v>124</v>
      </c>
      <c r="M42" s="1">
        <v>54</v>
      </c>
      <c r="N42" s="1">
        <f t="shared" si="3"/>
        <v>56.451612903225815</v>
      </c>
      <c r="O42" s="1">
        <v>0</v>
      </c>
      <c r="P42" s="1">
        <v>53.5</v>
      </c>
      <c r="Q42" s="5">
        <f t="shared" si="4"/>
        <v>15.673777315296567</v>
      </c>
      <c r="R42" s="33"/>
      <c r="S42" s="91">
        <v>-0.68395963711608043</v>
      </c>
      <c r="T42" s="91">
        <v>24.700032686396284</v>
      </c>
      <c r="U42" s="39" t="str">
        <f t="shared" si="5"/>
        <v>Normal</v>
      </c>
      <c r="V42" s="91">
        <v>5.1451791800910263</v>
      </c>
      <c r="W42" s="91">
        <v>99.999986636720593</v>
      </c>
      <c r="X42" s="40" t="str">
        <f t="shared" si="7"/>
        <v>Piernas largas</v>
      </c>
      <c r="Y42" s="155">
        <v>-5.559819986965548E-2</v>
      </c>
      <c r="Z42" s="91">
        <v>47.783094929222699</v>
      </c>
      <c r="AA42" s="39" t="str">
        <f t="shared" si="8"/>
        <v>Normal</v>
      </c>
      <c r="AB42" s="36">
        <v>-2.6326562212102946E-3</v>
      </c>
      <c r="AC42" s="36">
        <v>49.894972333682084</v>
      </c>
      <c r="AD42" s="39" t="str">
        <f t="shared" si="6"/>
        <v>Normal</v>
      </c>
      <c r="AE42" s="34" t="s">
        <v>172</v>
      </c>
      <c r="AF42" s="34" t="s">
        <v>172</v>
      </c>
      <c r="AG42" s="34" t="s">
        <v>172</v>
      </c>
    </row>
    <row r="43" spans="1:33" ht="15.75" x14ac:dyDescent="0.25">
      <c r="A43" s="1">
        <v>40</v>
      </c>
      <c r="B43" t="s">
        <v>76</v>
      </c>
      <c r="C43" s="95">
        <v>3</v>
      </c>
      <c r="D43" s="1" t="s">
        <v>7</v>
      </c>
      <c r="E43" s="1">
        <v>1</v>
      </c>
      <c r="F43" s="2">
        <v>41392</v>
      </c>
      <c r="G43" s="2">
        <v>44375</v>
      </c>
      <c r="H43" s="8">
        <f t="shared" si="9"/>
        <v>8</v>
      </c>
      <c r="I43" s="8">
        <f t="shared" si="1"/>
        <v>98</v>
      </c>
      <c r="J43" s="1">
        <v>41.9</v>
      </c>
      <c r="K43" s="1">
        <v>1.3</v>
      </c>
      <c r="L43" s="1">
        <f t="shared" si="2"/>
        <v>130</v>
      </c>
      <c r="M43" s="1">
        <v>39</v>
      </c>
      <c r="N43" s="1">
        <f t="shared" si="3"/>
        <v>70</v>
      </c>
      <c r="O43" s="1">
        <v>0</v>
      </c>
      <c r="P43" s="1">
        <v>81</v>
      </c>
      <c r="Q43" s="5">
        <f t="shared" si="4"/>
        <v>24.792899408284022</v>
      </c>
      <c r="R43" s="33"/>
      <c r="S43" s="91">
        <v>0.32251837709187081</v>
      </c>
      <c r="T43" s="91">
        <v>62.646999098903656</v>
      </c>
      <c r="U43" s="39" t="str">
        <f t="shared" si="5"/>
        <v>Normal</v>
      </c>
      <c r="V43" s="91">
        <v>11.694454387787303</v>
      </c>
      <c r="W43" s="91">
        <v>100</v>
      </c>
      <c r="X43" s="40" t="str">
        <f t="shared" si="7"/>
        <v>Piernas largas</v>
      </c>
      <c r="Y43" s="155">
        <v>3.4170639802505618</v>
      </c>
      <c r="Z43" s="91">
        <v>99.968349799311426</v>
      </c>
      <c r="AA43" s="39" t="str">
        <f t="shared" si="8"/>
        <v>Obesidad</v>
      </c>
      <c r="AB43" s="36">
        <v>2.2189138448719881</v>
      </c>
      <c r="AC43" s="36">
        <v>98.675370678473001</v>
      </c>
      <c r="AD43" s="39" t="str">
        <f t="shared" si="6"/>
        <v>Alto</v>
      </c>
      <c r="AE43" s="34" t="s">
        <v>172</v>
      </c>
      <c r="AF43" s="34" t="s">
        <v>172</v>
      </c>
      <c r="AG43" s="34" t="s">
        <v>172</v>
      </c>
    </row>
    <row r="44" spans="1:33" ht="15.75" x14ac:dyDescent="0.25">
      <c r="A44" s="1">
        <v>41</v>
      </c>
      <c r="B44" t="s">
        <v>77</v>
      </c>
      <c r="C44" s="95">
        <v>3</v>
      </c>
      <c r="D44" s="1" t="s">
        <v>7</v>
      </c>
      <c r="E44" s="1">
        <v>2</v>
      </c>
      <c r="F44" s="2">
        <v>41474</v>
      </c>
      <c r="G44" s="2">
        <v>44375</v>
      </c>
      <c r="H44" s="8">
        <f t="shared" si="9"/>
        <v>7</v>
      </c>
      <c r="I44" s="8">
        <f t="shared" si="1"/>
        <v>95</v>
      </c>
      <c r="J44" s="1">
        <v>26.5</v>
      </c>
      <c r="K44" s="1">
        <v>1.26</v>
      </c>
      <c r="L44" s="1">
        <f t="shared" si="2"/>
        <v>126</v>
      </c>
      <c r="M44" s="1">
        <v>67</v>
      </c>
      <c r="N44" s="1">
        <f t="shared" si="3"/>
        <v>46.825396825396822</v>
      </c>
      <c r="O44" s="1">
        <v>0</v>
      </c>
      <c r="P44" s="1">
        <v>57.3</v>
      </c>
      <c r="Q44" s="5">
        <f t="shared" si="4"/>
        <v>16.691861929957167</v>
      </c>
      <c r="R44" s="33"/>
      <c r="S44" s="91">
        <v>-1.2235168898350083E-2</v>
      </c>
      <c r="T44" s="91">
        <v>49.511899559943686</v>
      </c>
      <c r="U44" s="39" t="str">
        <f t="shared" si="5"/>
        <v>Normal</v>
      </c>
      <c r="V44" s="91">
        <v>-0.51604938573410553</v>
      </c>
      <c r="W44" s="91">
        <v>30.290995857340398</v>
      </c>
      <c r="X44" s="40" t="str">
        <f t="shared" si="7"/>
        <v>Normal</v>
      </c>
      <c r="Y44" s="155">
        <v>0.54717074195277804</v>
      </c>
      <c r="Z44" s="91">
        <v>70.786928253450057</v>
      </c>
      <c r="AA44" s="39" t="str">
        <f t="shared" si="8"/>
        <v>Normal</v>
      </c>
      <c r="AB44" s="36">
        <v>0.72462422337769294</v>
      </c>
      <c r="AC44" s="36">
        <v>76.565870293232834</v>
      </c>
      <c r="AD44" s="39" t="str">
        <f t="shared" si="6"/>
        <v>Normal</v>
      </c>
      <c r="AE44" s="34" t="s">
        <v>172</v>
      </c>
      <c r="AF44" s="34" t="s">
        <v>172</v>
      </c>
      <c r="AG44" s="34" t="s">
        <v>172</v>
      </c>
    </row>
    <row r="45" spans="1:33" ht="15.75" x14ac:dyDescent="0.25">
      <c r="A45" s="1">
        <v>42</v>
      </c>
      <c r="B45" t="s">
        <v>78</v>
      </c>
      <c r="C45" s="95">
        <v>3</v>
      </c>
      <c r="D45" s="1" t="s">
        <v>7</v>
      </c>
      <c r="E45" s="1">
        <v>1</v>
      </c>
      <c r="F45" s="2">
        <v>41474</v>
      </c>
      <c r="G45" s="2">
        <v>44375</v>
      </c>
      <c r="H45" s="8">
        <f t="shared" si="9"/>
        <v>7</v>
      </c>
      <c r="I45" s="8">
        <f t="shared" si="1"/>
        <v>95</v>
      </c>
      <c r="J45" s="1">
        <v>21.3</v>
      </c>
      <c r="K45" s="1">
        <v>1.22</v>
      </c>
      <c r="L45" s="1">
        <f t="shared" si="2"/>
        <v>122</v>
      </c>
      <c r="M45" s="1">
        <v>66</v>
      </c>
      <c r="N45" s="1">
        <f t="shared" si="3"/>
        <v>45.901639344262293</v>
      </c>
      <c r="O45" s="1">
        <v>0</v>
      </c>
      <c r="P45" s="1">
        <v>52</v>
      </c>
      <c r="Q45" s="5">
        <f t="shared" si="4"/>
        <v>14.31066917495297</v>
      </c>
      <c r="R45" s="33"/>
      <c r="S45" s="91">
        <v>-0.85718388699065529</v>
      </c>
      <c r="T45" s="91">
        <v>19.56716330037079</v>
      </c>
      <c r="U45" s="39" t="str">
        <f t="shared" si="5"/>
        <v>Normal</v>
      </c>
      <c r="V45" s="91">
        <v>-0.94255580835525188</v>
      </c>
      <c r="W45" s="91">
        <v>17.295407633958817</v>
      </c>
      <c r="X45" s="40" t="str">
        <f t="shared" si="7"/>
        <v>Normal</v>
      </c>
      <c r="Y45" s="155">
        <v>-1.0554474927007873</v>
      </c>
      <c r="Z45" s="91">
        <v>14.56103558822528</v>
      </c>
      <c r="AA45" s="39" t="str">
        <f t="shared" si="8"/>
        <v>Bajo Peso</v>
      </c>
      <c r="AB45" s="36">
        <v>-0.31383404722603225</v>
      </c>
      <c r="AC45" s="36">
        <v>37.682354194349138</v>
      </c>
      <c r="AD45" s="39" t="str">
        <f t="shared" si="6"/>
        <v>Normal</v>
      </c>
      <c r="AE45" s="34" t="s">
        <v>172</v>
      </c>
      <c r="AF45" s="34" t="s">
        <v>172</v>
      </c>
      <c r="AG45" s="34" t="s">
        <v>172</v>
      </c>
    </row>
    <row r="46" spans="1:33" ht="15.75" x14ac:dyDescent="0.25">
      <c r="A46" s="1">
        <v>43</v>
      </c>
      <c r="B46" t="s">
        <v>79</v>
      </c>
      <c r="C46" s="1">
        <v>4</v>
      </c>
      <c r="D46" s="1" t="s">
        <v>7</v>
      </c>
      <c r="E46" s="1">
        <v>1</v>
      </c>
      <c r="F46" s="2">
        <v>41246</v>
      </c>
      <c r="G46" s="2">
        <v>44375</v>
      </c>
      <c r="H46" s="8">
        <f t="shared" si="9"/>
        <v>8</v>
      </c>
      <c r="I46" s="8">
        <f t="shared" si="1"/>
        <v>102</v>
      </c>
      <c r="J46" s="1">
        <v>21.2</v>
      </c>
      <c r="K46" s="1">
        <v>1.29</v>
      </c>
      <c r="L46" s="1">
        <f t="shared" si="2"/>
        <v>129</v>
      </c>
      <c r="M46" s="1">
        <v>66</v>
      </c>
      <c r="N46" s="1">
        <f t="shared" si="3"/>
        <v>48.837209302325576</v>
      </c>
      <c r="O46" s="1">
        <v>0</v>
      </c>
      <c r="P46" s="1">
        <v>51.2</v>
      </c>
      <c r="Q46" s="5">
        <f t="shared" si="4"/>
        <v>12.73961901328045</v>
      </c>
      <c r="R46" s="34"/>
      <c r="S46" s="91">
        <v>-0.15952084466596206</v>
      </c>
      <c r="T46" s="91">
        <v>43.662926846213814</v>
      </c>
      <c r="U46" s="39" t="str">
        <f t="shared" si="5"/>
        <v>Normal</v>
      </c>
      <c r="V46" s="91">
        <v>0.64410510845845359</v>
      </c>
      <c r="W46" s="91">
        <v>74.02463610155931</v>
      </c>
      <c r="X46" s="40" t="str">
        <f t="shared" si="7"/>
        <v>Normal</v>
      </c>
      <c r="Y46" s="155">
        <v>-2.6924034693070968</v>
      </c>
      <c r="Z46" s="91">
        <v>0.35469534011757292</v>
      </c>
      <c r="AA46" s="39" t="str">
        <f t="shared" si="8"/>
        <v>Desnutricion</v>
      </c>
      <c r="AB46" s="36">
        <v>-0.70510562966345169</v>
      </c>
      <c r="AC46" s="36">
        <v>24.037225167804401</v>
      </c>
      <c r="AD46" s="39" t="str">
        <f t="shared" si="6"/>
        <v>Normal</v>
      </c>
      <c r="AE46" s="34" t="s">
        <v>172</v>
      </c>
      <c r="AF46" s="34" t="s">
        <v>172</v>
      </c>
      <c r="AG46" s="34" t="s">
        <v>172</v>
      </c>
    </row>
    <row r="47" spans="1:33" ht="15.75" x14ac:dyDescent="0.25">
      <c r="A47" s="1">
        <v>44</v>
      </c>
      <c r="B47" t="s">
        <v>80</v>
      </c>
      <c r="C47" s="95">
        <v>4</v>
      </c>
      <c r="D47" s="1" t="s">
        <v>7</v>
      </c>
      <c r="E47" s="1">
        <v>1</v>
      </c>
      <c r="F47" s="2">
        <v>41153</v>
      </c>
      <c r="G47" s="2">
        <v>44375</v>
      </c>
      <c r="H47" s="8">
        <f t="shared" si="9"/>
        <v>8</v>
      </c>
      <c r="I47" s="8">
        <f t="shared" si="1"/>
        <v>105</v>
      </c>
      <c r="J47" s="1">
        <v>26.2</v>
      </c>
      <c r="K47" s="1">
        <v>1.27</v>
      </c>
      <c r="L47" s="1">
        <f t="shared" si="2"/>
        <v>127</v>
      </c>
      <c r="M47" s="1">
        <v>66.599999999999994</v>
      </c>
      <c r="N47" s="1">
        <f t="shared" si="3"/>
        <v>47.559055118110237</v>
      </c>
      <c r="O47" s="1">
        <v>0</v>
      </c>
      <c r="P47" s="1">
        <v>56</v>
      </c>
      <c r="Q47" s="5">
        <f t="shared" si="4"/>
        <v>16.244032488064974</v>
      </c>
      <c r="R47" s="34"/>
      <c r="S47" s="91">
        <v>-0.71774032806715615</v>
      </c>
      <c r="T47" s="91">
        <v>23.645870623918469</v>
      </c>
      <c r="U47" s="39" t="str">
        <f t="shared" si="5"/>
        <v>Normal</v>
      </c>
      <c r="V47" s="91">
        <v>-0.1841080594099295</v>
      </c>
      <c r="W47" s="91">
        <v>42.696434203019848</v>
      </c>
      <c r="X47" s="40" t="str">
        <f t="shared" si="7"/>
        <v>Normal</v>
      </c>
      <c r="Y47" s="155">
        <v>0.17243855015175069</v>
      </c>
      <c r="Z47" s="91">
        <v>56.845361628582538</v>
      </c>
      <c r="AA47" s="39" t="str">
        <f t="shared" si="8"/>
        <v>Normal</v>
      </c>
      <c r="AB47" s="36">
        <v>-2.9544772217371847E-2</v>
      </c>
      <c r="AC47" s="36">
        <v>48.821505572293603</v>
      </c>
      <c r="AD47" s="39" t="str">
        <f t="shared" si="6"/>
        <v>Normal</v>
      </c>
      <c r="AE47" s="34" t="s">
        <v>172</v>
      </c>
      <c r="AF47" s="34" t="s">
        <v>172</v>
      </c>
      <c r="AG47" s="34" t="s">
        <v>172</v>
      </c>
    </row>
    <row r="48" spans="1:33" ht="15.75" x14ac:dyDescent="0.25">
      <c r="A48" s="1">
        <v>45</v>
      </c>
      <c r="B48" t="s">
        <v>81</v>
      </c>
      <c r="C48" s="95">
        <v>4</v>
      </c>
      <c r="D48" s="1" t="s">
        <v>7</v>
      </c>
      <c r="E48" s="1">
        <v>1</v>
      </c>
      <c r="F48" s="2">
        <v>40919</v>
      </c>
      <c r="G48" s="2">
        <v>44375</v>
      </c>
      <c r="H48" s="8">
        <f t="shared" si="9"/>
        <v>9</v>
      </c>
      <c r="I48" s="8">
        <f t="shared" si="1"/>
        <v>113</v>
      </c>
      <c r="J48" s="1">
        <v>28</v>
      </c>
      <c r="K48" s="1">
        <v>1.33</v>
      </c>
      <c r="L48" s="1">
        <f t="shared" si="2"/>
        <v>133</v>
      </c>
      <c r="M48" s="1">
        <v>70.5</v>
      </c>
      <c r="N48" s="1">
        <f t="shared" si="3"/>
        <v>46.992481203007522</v>
      </c>
      <c r="O48" s="1">
        <v>0</v>
      </c>
      <c r="P48" s="1">
        <v>57</v>
      </c>
      <c r="Q48" s="5">
        <f t="shared" si="4"/>
        <v>15.829046299960426</v>
      </c>
      <c r="R48" s="34"/>
      <c r="S48" s="91">
        <v>-0.28365895754307319</v>
      </c>
      <c r="T48" s="91">
        <v>38.833587519130951</v>
      </c>
      <c r="U48" s="39" t="str">
        <f t="shared" si="5"/>
        <v>Normal</v>
      </c>
      <c r="V48" s="91">
        <v>-0.83278170960854825</v>
      </c>
      <c r="W48" s="91">
        <v>20.248392598275924</v>
      </c>
      <c r="X48" s="40" t="str">
        <f t="shared" si="7"/>
        <v>Normal</v>
      </c>
      <c r="Y48" s="155">
        <v>-0.23082597793578852</v>
      </c>
      <c r="Z48" s="91">
        <v>40.872499933665516</v>
      </c>
      <c r="AA48" s="39" t="str">
        <f t="shared" si="8"/>
        <v>Normal</v>
      </c>
      <c r="AB48" s="36">
        <v>-0.16566082562653484</v>
      </c>
      <c r="AC48" s="36">
        <v>43.421193830826347</v>
      </c>
      <c r="AD48" s="39" t="str">
        <f t="shared" si="6"/>
        <v>Normal</v>
      </c>
      <c r="AE48" s="34" t="s">
        <v>172</v>
      </c>
      <c r="AF48" s="34" t="s">
        <v>172</v>
      </c>
      <c r="AG48" s="34" t="s">
        <v>172</v>
      </c>
    </row>
    <row r="49" spans="1:33" ht="15.75" x14ac:dyDescent="0.25">
      <c r="A49" s="1">
        <v>46</v>
      </c>
      <c r="B49" t="s">
        <v>82</v>
      </c>
      <c r="C49" s="95">
        <v>4</v>
      </c>
      <c r="D49" s="1" t="s">
        <v>7</v>
      </c>
      <c r="E49" s="1">
        <v>2</v>
      </c>
      <c r="F49" s="2">
        <v>41134</v>
      </c>
      <c r="G49" s="2">
        <v>44375</v>
      </c>
      <c r="H49" s="8">
        <f t="shared" si="9"/>
        <v>8</v>
      </c>
      <c r="I49" s="8">
        <f t="shared" si="1"/>
        <v>106</v>
      </c>
      <c r="J49" s="1">
        <v>21.9</v>
      </c>
      <c r="K49" s="1">
        <v>1.19</v>
      </c>
      <c r="L49" s="1">
        <f t="shared" si="2"/>
        <v>119</v>
      </c>
      <c r="M49" s="1">
        <v>64.8</v>
      </c>
      <c r="N49" s="1">
        <f t="shared" si="3"/>
        <v>45.54621848739496</v>
      </c>
      <c r="O49" s="1">
        <v>0</v>
      </c>
      <c r="P49" s="1">
        <v>52</v>
      </c>
      <c r="Q49" s="5">
        <f t="shared" si="4"/>
        <v>15.465009533225055</v>
      </c>
      <c r="R49" s="34"/>
      <c r="S49" s="91">
        <v>-2.0613014463343289</v>
      </c>
      <c r="T49" s="91">
        <v>1.9637145160881904</v>
      </c>
      <c r="U49" s="39" t="str">
        <f t="shared" si="5"/>
        <v>Desnutricion</v>
      </c>
      <c r="V49" s="91">
        <v>-1.7441790348126938</v>
      </c>
      <c r="W49" s="91">
        <v>4.0563937948744577</v>
      </c>
      <c r="X49" s="40" t="str">
        <f t="shared" si="7"/>
        <v>Piernas cortas</v>
      </c>
      <c r="Y49" s="155">
        <v>-0.30806611872698392</v>
      </c>
      <c r="Z49" s="91">
        <v>37.901601080159011</v>
      </c>
      <c r="AA49" s="39" t="str">
        <f t="shared" si="8"/>
        <v>Normal</v>
      </c>
      <c r="AB49" s="36">
        <v>-0.2060812875439085</v>
      </c>
      <c r="AC49" s="36">
        <v>41.836370771117537</v>
      </c>
      <c r="AD49" s="39" t="str">
        <f t="shared" si="6"/>
        <v>Normal</v>
      </c>
      <c r="AE49" s="34" t="s">
        <v>172</v>
      </c>
      <c r="AF49" s="34" t="s">
        <v>172</v>
      </c>
      <c r="AG49" s="34" t="s">
        <v>172</v>
      </c>
    </row>
    <row r="50" spans="1:33" ht="15.75" x14ac:dyDescent="0.25">
      <c r="A50" s="1">
        <v>47</v>
      </c>
      <c r="B50" t="s">
        <v>83</v>
      </c>
      <c r="C50" s="95">
        <v>4</v>
      </c>
      <c r="D50" s="1" t="s">
        <v>7</v>
      </c>
      <c r="E50" s="1">
        <v>1</v>
      </c>
      <c r="F50" s="2">
        <v>41053</v>
      </c>
      <c r="G50" s="2">
        <v>44375</v>
      </c>
      <c r="H50" s="8">
        <f t="shared" si="9"/>
        <v>9</v>
      </c>
      <c r="I50" s="8">
        <f t="shared" si="1"/>
        <v>109</v>
      </c>
      <c r="J50" s="1">
        <v>25.5</v>
      </c>
      <c r="K50" s="1">
        <v>1.32</v>
      </c>
      <c r="L50" s="1">
        <f t="shared" si="2"/>
        <v>132</v>
      </c>
      <c r="M50" s="1">
        <v>69.5</v>
      </c>
      <c r="N50" s="1">
        <f t="shared" si="3"/>
        <v>47.348484848484851</v>
      </c>
      <c r="O50" s="1">
        <v>0</v>
      </c>
      <c r="P50" s="1">
        <v>56.5</v>
      </c>
      <c r="Q50" s="5">
        <f t="shared" si="4"/>
        <v>14.634986225895315</v>
      </c>
      <c r="R50" s="34"/>
      <c r="S50" s="91">
        <v>-0.16601209495540967</v>
      </c>
      <c r="T50" s="91">
        <v>43.407371592736062</v>
      </c>
      <c r="U50" s="39" t="str">
        <f t="shared" si="5"/>
        <v>Normal</v>
      </c>
      <c r="V50" s="91">
        <v>-0.59642081966056226</v>
      </c>
      <c r="W50" s="91">
        <v>27.544706769934173</v>
      </c>
      <c r="X50" s="40" t="str">
        <f t="shared" si="7"/>
        <v>Normal</v>
      </c>
      <c r="Y50" s="155">
        <v>-1.008719888422948</v>
      </c>
      <c r="Z50" s="91">
        <v>15.655449539359937</v>
      </c>
      <c r="AA50" s="39" t="str">
        <f t="shared" si="8"/>
        <v>Normal</v>
      </c>
      <c r="AB50" s="36">
        <v>-0.22807154155204071</v>
      </c>
      <c r="AC50" s="36">
        <v>40.979531181632751</v>
      </c>
      <c r="AD50" s="39" t="str">
        <f t="shared" si="6"/>
        <v>Normal</v>
      </c>
      <c r="AE50" s="34" t="s">
        <v>172</v>
      </c>
      <c r="AF50" s="34" t="s">
        <v>172</v>
      </c>
      <c r="AG50" s="34" t="s">
        <v>172</v>
      </c>
    </row>
    <row r="51" spans="1:33" ht="15.75" x14ac:dyDescent="0.25">
      <c r="A51" s="1">
        <v>48</v>
      </c>
      <c r="B51" t="s">
        <v>84</v>
      </c>
      <c r="C51" s="95">
        <v>4</v>
      </c>
      <c r="D51" s="1" t="s">
        <v>7</v>
      </c>
      <c r="E51" s="1">
        <v>2</v>
      </c>
      <c r="F51" s="2">
        <v>41201</v>
      </c>
      <c r="G51" s="2">
        <v>44375</v>
      </c>
      <c r="H51" s="8">
        <f t="shared" si="9"/>
        <v>8</v>
      </c>
      <c r="I51" s="8">
        <f t="shared" si="1"/>
        <v>104</v>
      </c>
      <c r="J51" s="1">
        <v>52.2</v>
      </c>
      <c r="K51" s="1">
        <v>1.37</v>
      </c>
      <c r="L51" s="1">
        <f t="shared" si="2"/>
        <v>137</v>
      </c>
      <c r="M51" s="1">
        <f>116-40</f>
        <v>76</v>
      </c>
      <c r="N51" s="1">
        <f t="shared" si="3"/>
        <v>44.525547445255476</v>
      </c>
      <c r="O51" s="1">
        <v>0</v>
      </c>
      <c r="P51" s="1">
        <v>85</v>
      </c>
      <c r="Q51" s="5">
        <f t="shared" si="4"/>
        <v>27.811817358410142</v>
      </c>
      <c r="R51" s="34"/>
      <c r="S51" s="91">
        <v>1.0835287160516809</v>
      </c>
      <c r="T51" s="91">
        <v>86.071309404006826</v>
      </c>
      <c r="U51" s="39" t="str">
        <f t="shared" si="5"/>
        <v>Normal</v>
      </c>
      <c r="V51" s="91">
        <v>-2.4798540464650829</v>
      </c>
      <c r="W51" s="91">
        <v>0.65718085695618123</v>
      </c>
      <c r="X51" s="40" t="str">
        <f t="shared" si="7"/>
        <v>Piernas cortas</v>
      </c>
      <c r="Y51" s="155">
        <v>3.2826525883189031</v>
      </c>
      <c r="Z51" s="91">
        <v>99.948582342936731</v>
      </c>
      <c r="AA51" s="39" t="str">
        <f t="shared" si="8"/>
        <v>Obesidad</v>
      </c>
      <c r="AB51" s="36">
        <v>2.5655044315938431</v>
      </c>
      <c r="AC51" s="36">
        <v>99.484870473545811</v>
      </c>
      <c r="AD51" s="39" t="str">
        <f t="shared" si="6"/>
        <v>Alto</v>
      </c>
      <c r="AE51" s="34" t="s">
        <v>172</v>
      </c>
      <c r="AF51" s="34" t="s">
        <v>172</v>
      </c>
      <c r="AG51" s="34" t="s">
        <v>172</v>
      </c>
    </row>
    <row r="52" spans="1:33" ht="15.75" x14ac:dyDescent="0.25">
      <c r="A52" s="1">
        <v>49</v>
      </c>
      <c r="B52" t="s">
        <v>85</v>
      </c>
      <c r="C52" s="95">
        <v>4</v>
      </c>
      <c r="D52" s="1" t="s">
        <v>7</v>
      </c>
      <c r="E52" s="1">
        <v>2</v>
      </c>
      <c r="F52" s="2">
        <v>41227</v>
      </c>
      <c r="G52" s="2">
        <v>44375</v>
      </c>
      <c r="H52" s="8">
        <f t="shared" si="9"/>
        <v>8</v>
      </c>
      <c r="I52" s="8">
        <f t="shared" si="1"/>
        <v>103</v>
      </c>
      <c r="J52" s="1">
        <v>27</v>
      </c>
      <c r="K52" s="1">
        <v>1.28</v>
      </c>
      <c r="L52" s="1">
        <f t="shared" si="2"/>
        <v>128</v>
      </c>
      <c r="M52" s="1">
        <v>67.5</v>
      </c>
      <c r="N52" s="1">
        <f t="shared" si="3"/>
        <v>47.265625</v>
      </c>
      <c r="O52" s="1">
        <v>0</v>
      </c>
      <c r="P52" s="1">
        <v>61.5</v>
      </c>
      <c r="Q52" s="5">
        <f t="shared" si="4"/>
        <v>16.4794921875</v>
      </c>
      <c r="R52" s="34"/>
      <c r="S52" s="91">
        <v>-0.33318360999334473</v>
      </c>
      <c r="T52" s="91">
        <v>36.94978446688534</v>
      </c>
      <c r="U52" s="39" t="str">
        <f t="shared" si="5"/>
        <v>Normal</v>
      </c>
      <c r="V52" s="91">
        <v>-0.54479274651798582</v>
      </c>
      <c r="W52" s="91">
        <v>29.294803397664083</v>
      </c>
      <c r="X52" s="40" t="str">
        <f t="shared" si="7"/>
        <v>Normal</v>
      </c>
      <c r="Y52" s="155">
        <v>0.2961214542154722</v>
      </c>
      <c r="Z52" s="91">
        <v>61.643133487382975</v>
      </c>
      <c r="AA52" s="39" t="str">
        <f t="shared" si="8"/>
        <v>Normal</v>
      </c>
      <c r="AB52" s="36">
        <v>0.90899128551667208</v>
      </c>
      <c r="AC52" s="36">
        <v>81.832263709055439</v>
      </c>
      <c r="AD52" s="39" t="str">
        <f t="shared" si="6"/>
        <v>Normal</v>
      </c>
      <c r="AE52" s="34" t="s">
        <v>172</v>
      </c>
      <c r="AF52" s="34" t="s">
        <v>172</v>
      </c>
      <c r="AG52" s="34" t="s">
        <v>172</v>
      </c>
    </row>
    <row r="53" spans="1:33" ht="15.75" x14ac:dyDescent="0.25">
      <c r="A53" s="1">
        <v>50</v>
      </c>
      <c r="B53" t="s">
        <v>86</v>
      </c>
      <c r="C53" s="95">
        <v>4</v>
      </c>
      <c r="D53" s="1" t="s">
        <v>7</v>
      </c>
      <c r="E53" s="1">
        <v>2</v>
      </c>
      <c r="F53" s="2">
        <v>40954</v>
      </c>
      <c r="G53" s="2">
        <v>44375</v>
      </c>
      <c r="H53" s="8">
        <f t="shared" si="9"/>
        <v>9</v>
      </c>
      <c r="I53" s="8">
        <f t="shared" si="1"/>
        <v>112</v>
      </c>
      <c r="J53" s="1">
        <v>23.8</v>
      </c>
      <c r="K53" s="1">
        <v>1.29</v>
      </c>
      <c r="L53" s="1">
        <f t="shared" si="2"/>
        <v>129</v>
      </c>
      <c r="M53" s="1">
        <v>68.5</v>
      </c>
      <c r="N53" s="1">
        <f t="shared" si="3"/>
        <v>46.899224806201552</v>
      </c>
      <c r="O53" s="1">
        <v>0</v>
      </c>
      <c r="P53" s="1">
        <v>53</v>
      </c>
      <c r="Q53" s="5">
        <f t="shared" si="4"/>
        <v>14.302025118682771</v>
      </c>
      <c r="R53" s="34"/>
      <c r="S53" s="91">
        <v>-0.88899948271638252</v>
      </c>
      <c r="T53" s="91">
        <v>18.700167890467011</v>
      </c>
      <c r="U53" s="39" t="str">
        <f t="shared" si="5"/>
        <v>Normal</v>
      </c>
      <c r="V53" s="91">
        <v>-1.0042164185537865</v>
      </c>
      <c r="W53" s="91">
        <v>15.763715497295694</v>
      </c>
      <c r="X53" s="40" t="str">
        <f t="shared" si="7"/>
        <v>Normal</v>
      </c>
      <c r="Y53" s="155">
        <v>-1.1775646482826234</v>
      </c>
      <c r="Z53" s="91">
        <v>11.948510515427166</v>
      </c>
      <c r="AA53" s="39" t="str">
        <f t="shared" si="8"/>
        <v>Bajo Peso</v>
      </c>
      <c r="AB53" s="36">
        <v>-0.36151891478318521</v>
      </c>
      <c r="AC53" s="36">
        <v>35.885578390290263</v>
      </c>
      <c r="AD53" s="39" t="str">
        <f t="shared" si="6"/>
        <v>Normal</v>
      </c>
      <c r="AE53" s="34" t="s">
        <v>172</v>
      </c>
      <c r="AF53" s="34" t="s">
        <v>172</v>
      </c>
      <c r="AG53" s="34" t="s">
        <v>172</v>
      </c>
    </row>
    <row r="54" spans="1:33" ht="15.75" x14ac:dyDescent="0.25">
      <c r="A54" s="1">
        <v>51</v>
      </c>
      <c r="B54" t="s">
        <v>87</v>
      </c>
      <c r="C54" s="95">
        <v>4</v>
      </c>
      <c r="D54" s="1" t="s">
        <v>7</v>
      </c>
      <c r="E54" s="1">
        <v>2</v>
      </c>
      <c r="F54" s="2">
        <v>41254</v>
      </c>
      <c r="G54" s="2">
        <v>44375</v>
      </c>
      <c r="H54" s="8">
        <f t="shared" si="9"/>
        <v>8</v>
      </c>
      <c r="I54" s="8">
        <f t="shared" si="1"/>
        <v>102</v>
      </c>
      <c r="J54" s="1">
        <v>33.4</v>
      </c>
      <c r="K54" s="1">
        <v>1.25</v>
      </c>
      <c r="L54" s="1">
        <f t="shared" si="2"/>
        <v>125</v>
      </c>
      <c r="M54" s="1">
        <v>54.5</v>
      </c>
      <c r="N54" s="1">
        <f t="shared" si="3"/>
        <v>56.399999999999991</v>
      </c>
      <c r="O54" s="1">
        <v>0</v>
      </c>
      <c r="P54" s="1">
        <v>65</v>
      </c>
      <c r="Q54" s="5">
        <f t="shared" si="4"/>
        <v>21.375999999999998</v>
      </c>
      <c r="R54" s="34"/>
      <c r="S54" s="91">
        <v>-0.75500870001687204</v>
      </c>
      <c r="T54" s="91">
        <v>22.512188105661412</v>
      </c>
      <c r="U54" s="39" t="str">
        <f t="shared" si="5"/>
        <v>Normal</v>
      </c>
      <c r="V54" s="91">
        <v>5.1161199784921942</v>
      </c>
      <c r="W54" s="91">
        <v>99.999984405764195</v>
      </c>
      <c r="X54" s="40" t="str">
        <f t="shared" si="7"/>
        <v>Piernas largas</v>
      </c>
      <c r="Y54" s="155">
        <v>2.0961951125073948</v>
      </c>
      <c r="Z54" s="91">
        <v>98.196755682902577</v>
      </c>
      <c r="AA54" s="39" t="str">
        <f t="shared" si="8"/>
        <v>Obesidad</v>
      </c>
      <c r="AB54" s="36">
        <v>1.234763603794534</v>
      </c>
      <c r="AC54" s="36">
        <v>89.154075169045811</v>
      </c>
      <c r="AD54" s="39" t="str">
        <f t="shared" si="6"/>
        <v>Arriba del promedio</v>
      </c>
      <c r="AE54" s="34" t="s">
        <v>172</v>
      </c>
      <c r="AF54" s="34" t="s">
        <v>172</v>
      </c>
      <c r="AG54" s="34" t="s">
        <v>172</v>
      </c>
    </row>
    <row r="55" spans="1:33" ht="15.75" x14ac:dyDescent="0.25">
      <c r="A55" s="1">
        <v>52</v>
      </c>
      <c r="B55" t="s">
        <v>88</v>
      </c>
      <c r="C55" s="95">
        <v>4</v>
      </c>
      <c r="D55" s="1" t="s">
        <v>7</v>
      </c>
      <c r="E55" s="1">
        <v>1</v>
      </c>
      <c r="F55" s="2">
        <v>41169</v>
      </c>
      <c r="G55" s="2">
        <v>44375</v>
      </c>
      <c r="H55" s="8">
        <f t="shared" si="9"/>
        <v>8</v>
      </c>
      <c r="I55" s="8">
        <f t="shared" si="1"/>
        <v>105</v>
      </c>
      <c r="J55" s="1">
        <v>23.5</v>
      </c>
      <c r="K55" s="1">
        <v>1.19</v>
      </c>
      <c r="L55" s="1">
        <f t="shared" si="2"/>
        <v>119</v>
      </c>
      <c r="M55" s="1">
        <f>106-40</f>
        <v>66</v>
      </c>
      <c r="N55" s="1">
        <f t="shared" si="3"/>
        <v>44.537815126050425</v>
      </c>
      <c r="O55" s="1">
        <v>0</v>
      </c>
      <c r="P55" s="1">
        <v>55</v>
      </c>
      <c r="Q55" s="5">
        <f t="shared" si="4"/>
        <v>16.594873243415012</v>
      </c>
      <c r="R55" s="34"/>
      <c r="S55" s="91">
        <v>-2.0689399102620571</v>
      </c>
      <c r="T55" s="91">
        <v>1.9275862913703996</v>
      </c>
      <c r="U55" s="39" t="str">
        <f t="shared" si="5"/>
        <v>Desnutricion</v>
      </c>
      <c r="V55" s="91">
        <v>-2.2422787882105708</v>
      </c>
      <c r="W55" s="91">
        <v>1.2471679897825521</v>
      </c>
      <c r="X55" s="40" t="str">
        <f t="shared" si="7"/>
        <v>Piernas cortas</v>
      </c>
      <c r="Y55" s="155">
        <v>0.3787153444679594</v>
      </c>
      <c r="Z55" s="91">
        <v>64.755037127135537</v>
      </c>
      <c r="AA55" s="39" t="str">
        <f t="shared" si="8"/>
        <v>Normal</v>
      </c>
      <c r="AB55" s="36">
        <v>-0.16080055178068681</v>
      </c>
      <c r="AC55" s="36">
        <v>43.612524531705937</v>
      </c>
      <c r="AD55" s="39" t="str">
        <f t="shared" si="6"/>
        <v>Normal</v>
      </c>
      <c r="AE55" s="34" t="s">
        <v>172</v>
      </c>
      <c r="AF55" s="34" t="s">
        <v>172</v>
      </c>
      <c r="AG55" s="34" t="s">
        <v>172</v>
      </c>
    </row>
    <row r="56" spans="1:33" ht="15.75" x14ac:dyDescent="0.25">
      <c r="A56" s="1">
        <v>53</v>
      </c>
      <c r="B56" t="s">
        <v>89</v>
      </c>
      <c r="C56" s="95">
        <v>4</v>
      </c>
      <c r="D56" s="1" t="s">
        <v>7</v>
      </c>
      <c r="E56" s="1">
        <v>2</v>
      </c>
      <c r="F56" s="2">
        <v>41136</v>
      </c>
      <c r="G56" s="2">
        <v>44375</v>
      </c>
      <c r="H56" s="8">
        <f t="shared" si="9"/>
        <v>8</v>
      </c>
      <c r="I56" s="8">
        <f t="shared" si="1"/>
        <v>106</v>
      </c>
      <c r="J56" s="1">
        <v>24.5</v>
      </c>
      <c r="K56" s="1">
        <v>1.22</v>
      </c>
      <c r="L56" s="1">
        <f t="shared" si="2"/>
        <v>122</v>
      </c>
      <c r="M56" s="1">
        <v>66</v>
      </c>
      <c r="N56" s="1">
        <f t="shared" si="3"/>
        <v>45.901639344262293</v>
      </c>
      <c r="O56" s="1">
        <v>0</v>
      </c>
      <c r="P56" s="1">
        <v>57.8</v>
      </c>
      <c r="Q56" s="5">
        <f t="shared" si="4"/>
        <v>16.460628863208814</v>
      </c>
      <c r="R56" s="34"/>
      <c r="S56" s="91">
        <v>-1.5661731914800108</v>
      </c>
      <c r="T56" s="91">
        <v>5.8654038502661727</v>
      </c>
      <c r="U56" s="39" t="str">
        <f t="shared" si="5"/>
        <v>Normal</v>
      </c>
      <c r="V56" s="91">
        <v>-1.4922305696295701</v>
      </c>
      <c r="W56" s="91">
        <v>6.7819355497433591</v>
      </c>
      <c r="X56" s="40" t="str">
        <f t="shared" si="7"/>
        <v>Normal</v>
      </c>
      <c r="Y56" s="155">
        <v>0.2270943823320245</v>
      </c>
      <c r="Z56" s="91">
        <v>58.982482390260515</v>
      </c>
      <c r="AA56" s="39" t="str">
        <f t="shared" si="8"/>
        <v>Normal</v>
      </c>
      <c r="AB56" s="36">
        <v>0.51993825405240712</v>
      </c>
      <c r="AC56" s="36">
        <v>69.844669410716563</v>
      </c>
      <c r="AD56" s="39" t="str">
        <f t="shared" si="6"/>
        <v>Normal</v>
      </c>
      <c r="AE56" s="34" t="s">
        <v>172</v>
      </c>
      <c r="AF56" s="34" t="s">
        <v>172</v>
      </c>
      <c r="AG56" s="34" t="s">
        <v>172</v>
      </c>
    </row>
    <row r="57" spans="1:33" ht="15.75" x14ac:dyDescent="0.25">
      <c r="A57" s="1">
        <v>54</v>
      </c>
      <c r="B57" t="s">
        <v>90</v>
      </c>
      <c r="C57" s="95">
        <v>4</v>
      </c>
      <c r="D57" s="1" t="s">
        <v>7</v>
      </c>
      <c r="E57" s="1">
        <v>2</v>
      </c>
      <c r="F57" s="2">
        <v>40967</v>
      </c>
      <c r="G57" s="2">
        <v>44375</v>
      </c>
      <c r="H57" s="8">
        <f t="shared" si="9"/>
        <v>9</v>
      </c>
      <c r="I57" s="8">
        <f t="shared" si="1"/>
        <v>112</v>
      </c>
      <c r="J57" s="1">
        <v>32.799999999999997</v>
      </c>
      <c r="K57" s="1">
        <v>1.39</v>
      </c>
      <c r="L57" s="1">
        <f t="shared" si="2"/>
        <v>139</v>
      </c>
      <c r="M57" s="1">
        <v>71.400000000000006</v>
      </c>
      <c r="N57" s="1">
        <f t="shared" si="3"/>
        <v>48.633093525179852</v>
      </c>
      <c r="O57" s="1">
        <v>0</v>
      </c>
      <c r="P57" s="1">
        <v>61.5</v>
      </c>
      <c r="Q57" s="5">
        <f t="shared" si="4"/>
        <v>16.976346979969982</v>
      </c>
      <c r="R57" s="34"/>
      <c r="S57" s="91">
        <v>0.72144847698867542</v>
      </c>
      <c r="T57" s="91">
        <v>76.468318508909476</v>
      </c>
      <c r="U57" s="39" t="str">
        <f t="shared" si="5"/>
        <v>Normal</v>
      </c>
      <c r="V57" s="91">
        <v>0.16827272454993814</v>
      </c>
      <c r="W57" s="91">
        <v>56.681563473390497</v>
      </c>
      <c r="X57" s="40" t="str">
        <f t="shared" si="7"/>
        <v>Normal</v>
      </c>
      <c r="Y57" s="155">
        <v>0.34946551113512242</v>
      </c>
      <c r="Z57" s="91">
        <v>63.663007063726276</v>
      </c>
      <c r="AA57" s="39" t="str">
        <f t="shared" si="8"/>
        <v>Normal</v>
      </c>
      <c r="AB57" s="36">
        <v>0.62065142275823382</v>
      </c>
      <c r="AC57" s="36">
        <v>73.258550114155582</v>
      </c>
      <c r="AD57" s="39" t="str">
        <f t="shared" si="6"/>
        <v>Normal</v>
      </c>
      <c r="AE57" s="34" t="s">
        <v>172</v>
      </c>
      <c r="AF57" s="34" t="s">
        <v>172</v>
      </c>
      <c r="AG57" s="34" t="s">
        <v>172</v>
      </c>
    </row>
    <row r="58" spans="1:33" ht="15.75" x14ac:dyDescent="0.25">
      <c r="A58" s="1">
        <v>55</v>
      </c>
      <c r="B58" t="s">
        <v>91</v>
      </c>
      <c r="C58" s="95">
        <v>4</v>
      </c>
      <c r="D58" s="1" t="s">
        <v>7</v>
      </c>
      <c r="E58" s="1">
        <v>2</v>
      </c>
      <c r="F58" s="2">
        <v>41099</v>
      </c>
      <c r="G58" s="2">
        <v>44375</v>
      </c>
      <c r="H58" s="8">
        <f t="shared" si="9"/>
        <v>8</v>
      </c>
      <c r="I58" s="8">
        <f t="shared" si="1"/>
        <v>107</v>
      </c>
      <c r="J58" s="1">
        <v>21.9</v>
      </c>
      <c r="K58" s="1">
        <v>1.27</v>
      </c>
      <c r="L58" s="1">
        <f t="shared" si="2"/>
        <v>127</v>
      </c>
      <c r="M58" s="1">
        <v>67</v>
      </c>
      <c r="N58" s="1">
        <f t="shared" si="3"/>
        <v>47.244094488188978</v>
      </c>
      <c r="O58" s="1">
        <v>0</v>
      </c>
      <c r="P58" s="1">
        <v>49</v>
      </c>
      <c r="Q58" s="5">
        <f t="shared" si="4"/>
        <v>13.578027156054311</v>
      </c>
      <c r="R58" s="34"/>
      <c r="S58" s="91">
        <v>-0.82027423401880739</v>
      </c>
      <c r="T58" s="91">
        <v>20.60298957087824</v>
      </c>
      <c r="U58" s="39" t="str">
        <f t="shared" si="5"/>
        <v>Normal</v>
      </c>
      <c r="V58" s="91">
        <v>-0.55951432072531937</v>
      </c>
      <c r="W58" s="91">
        <v>28.790538024107359</v>
      </c>
      <c r="X58" s="40" t="str">
        <f t="shared" si="7"/>
        <v>Normal</v>
      </c>
      <c r="Y58" s="155">
        <v>-1.6141886608315987</v>
      </c>
      <c r="Z58" s="91">
        <v>5.3243255387459349</v>
      </c>
      <c r="AA58" s="39" t="str">
        <f t="shared" si="8"/>
        <v>Bajo Peso</v>
      </c>
      <c r="AB58" s="36">
        <v>-0.65186797380963935</v>
      </c>
      <c r="AC58" s="36">
        <v>25.724317335977918</v>
      </c>
      <c r="AD58" s="39" t="str">
        <f t="shared" si="6"/>
        <v>Normal</v>
      </c>
      <c r="AE58" s="34" t="s">
        <v>172</v>
      </c>
      <c r="AF58" s="34" t="s">
        <v>172</v>
      </c>
      <c r="AG58" s="34" t="s">
        <v>172</v>
      </c>
    </row>
    <row r="59" spans="1:33" ht="15.75" x14ac:dyDescent="0.25">
      <c r="A59" s="1">
        <v>56</v>
      </c>
      <c r="B59" t="s">
        <v>92</v>
      </c>
      <c r="C59" s="1">
        <v>5</v>
      </c>
      <c r="D59" s="1" t="s">
        <v>7</v>
      </c>
      <c r="E59" s="1">
        <v>2</v>
      </c>
      <c r="F59" s="2">
        <v>40844</v>
      </c>
      <c r="G59" s="2">
        <v>44375</v>
      </c>
      <c r="H59" s="8">
        <f t="shared" si="9"/>
        <v>9</v>
      </c>
      <c r="I59" s="8">
        <f t="shared" si="1"/>
        <v>116</v>
      </c>
      <c r="J59" s="1">
        <v>40.299999999999997</v>
      </c>
      <c r="K59" s="1">
        <v>1.3</v>
      </c>
      <c r="L59" s="1">
        <f t="shared" si="2"/>
        <v>130</v>
      </c>
      <c r="M59" s="1">
        <v>69</v>
      </c>
      <c r="N59" s="1">
        <f t="shared" si="3"/>
        <v>46.92307692307692</v>
      </c>
      <c r="O59" s="1">
        <v>0</v>
      </c>
      <c r="P59" s="1">
        <v>71.400000000000006</v>
      </c>
      <c r="Q59" s="5">
        <f t="shared" si="4"/>
        <v>23.846153846153843</v>
      </c>
      <c r="R59" s="34"/>
      <c r="S59" s="91">
        <v>-1.0417306611102288</v>
      </c>
      <c r="T59" s="91">
        <v>14.876828472434973</v>
      </c>
      <c r="U59" s="39" t="str">
        <f t="shared" si="5"/>
        <v>Normal</v>
      </c>
      <c r="V59" s="91">
        <v>-0.98776721944471846</v>
      </c>
      <c r="W59" s="91">
        <v>16.163333261360759</v>
      </c>
      <c r="X59" s="40" t="str">
        <f t="shared" si="7"/>
        <v>Normal</v>
      </c>
      <c r="Y59" s="155">
        <v>2.3553184741605442</v>
      </c>
      <c r="Z59" s="91">
        <v>99.074658161177808</v>
      </c>
      <c r="AA59" s="39" t="str">
        <f t="shared" si="8"/>
        <v>Obesidad</v>
      </c>
      <c r="AB59" s="36">
        <v>1.4600583376344425</v>
      </c>
      <c r="AC59" s="36">
        <v>92.786297924854949</v>
      </c>
      <c r="AD59" s="39" t="str">
        <f t="shared" si="6"/>
        <v>Arriba del promedio</v>
      </c>
      <c r="AE59" s="34" t="s">
        <v>172</v>
      </c>
      <c r="AF59" s="34" t="s">
        <v>172</v>
      </c>
      <c r="AG59" s="34" t="s">
        <v>172</v>
      </c>
    </row>
    <row r="60" spans="1:33" ht="15.75" x14ac:dyDescent="0.25">
      <c r="A60" s="1">
        <v>57</v>
      </c>
      <c r="B60" t="s">
        <v>93</v>
      </c>
      <c r="C60" s="95">
        <v>5</v>
      </c>
      <c r="D60" s="1" t="s">
        <v>7</v>
      </c>
      <c r="E60" s="1">
        <v>2</v>
      </c>
      <c r="F60" s="2">
        <v>40750</v>
      </c>
      <c r="G60" s="2">
        <v>44375</v>
      </c>
      <c r="H60" s="8">
        <f t="shared" si="9"/>
        <v>9</v>
      </c>
      <c r="I60" s="8">
        <f t="shared" si="1"/>
        <v>119</v>
      </c>
      <c r="J60" s="1">
        <v>24.2</v>
      </c>
      <c r="K60" s="1">
        <v>1.27</v>
      </c>
      <c r="L60" s="1">
        <f t="shared" si="2"/>
        <v>127</v>
      </c>
      <c r="M60" s="1">
        <v>66.5</v>
      </c>
      <c r="N60" s="1">
        <f t="shared" si="3"/>
        <v>47.637795275590548</v>
      </c>
      <c r="O60" s="1">
        <v>0</v>
      </c>
      <c r="P60" s="1">
        <v>55</v>
      </c>
      <c r="Q60" s="5">
        <f t="shared" si="4"/>
        <v>15.004030008060015</v>
      </c>
      <c r="R60" s="34"/>
      <c r="S60" s="91">
        <v>-1.7440462074866332</v>
      </c>
      <c r="T60" s="91">
        <v>4.0575516415224842</v>
      </c>
      <c r="U60" s="39" t="str">
        <f t="shared" si="5"/>
        <v>Desnutricion</v>
      </c>
      <c r="V60" s="91">
        <v>-0.49907266158981328</v>
      </c>
      <c r="W60" s="91">
        <v>30.886409808149907</v>
      </c>
      <c r="X60" s="40" t="str">
        <f t="shared" si="7"/>
        <v>Normal</v>
      </c>
      <c r="Y60" s="155">
        <v>-0.86987198602501836</v>
      </c>
      <c r="Z60" s="91">
        <v>19.218518315725973</v>
      </c>
      <c r="AA60" s="39" t="str">
        <f t="shared" si="8"/>
        <v>Normal</v>
      </c>
      <c r="AB60" s="36">
        <v>-0.10202487735024356</v>
      </c>
      <c r="AC60" s="36">
        <v>45.936846442197258</v>
      </c>
      <c r="AD60" s="39" t="str">
        <f t="shared" si="6"/>
        <v>Normal</v>
      </c>
      <c r="AE60" s="34" t="s">
        <v>172</v>
      </c>
      <c r="AF60" s="34" t="s">
        <v>172</v>
      </c>
      <c r="AG60" s="34" t="s">
        <v>172</v>
      </c>
    </row>
    <row r="61" spans="1:33" ht="15.75" x14ac:dyDescent="0.25">
      <c r="A61" s="1">
        <v>58</v>
      </c>
      <c r="B61" t="s">
        <v>94</v>
      </c>
      <c r="C61" s="95">
        <v>5</v>
      </c>
      <c r="D61" s="1" t="s">
        <v>7</v>
      </c>
      <c r="E61" s="1">
        <v>1</v>
      </c>
      <c r="F61" s="2">
        <v>40649</v>
      </c>
      <c r="G61" s="2">
        <v>44375</v>
      </c>
      <c r="H61" s="8">
        <f t="shared" si="9"/>
        <v>10</v>
      </c>
      <c r="I61" s="8">
        <f t="shared" si="1"/>
        <v>122</v>
      </c>
      <c r="J61" s="1">
        <v>59</v>
      </c>
      <c r="K61" s="1">
        <v>1.37</v>
      </c>
      <c r="L61" s="1">
        <f t="shared" si="2"/>
        <v>137</v>
      </c>
      <c r="M61" s="1">
        <v>75.400000000000006</v>
      </c>
      <c r="N61" s="1">
        <f t="shared" si="3"/>
        <v>44.963503649635037</v>
      </c>
      <c r="O61" s="1">
        <v>0</v>
      </c>
      <c r="P61" s="1">
        <v>93</v>
      </c>
      <c r="Q61" s="5">
        <f t="shared" si="4"/>
        <v>31.434812723107246</v>
      </c>
      <c r="R61" s="34"/>
      <c r="S61" s="91">
        <v>-0.25573836347543183</v>
      </c>
      <c r="T61" s="91">
        <v>39.907643508722359</v>
      </c>
      <c r="U61" s="39" t="str">
        <f t="shared" si="5"/>
        <v>Normal</v>
      </c>
      <c r="V61" s="91">
        <v>-2.5315847267529108</v>
      </c>
      <c r="W61" s="91">
        <v>0.56774190505177224</v>
      </c>
      <c r="X61" s="40" t="str">
        <f t="shared" si="7"/>
        <v>Piernas cortas</v>
      </c>
      <c r="Y61" s="155">
        <v>3.6222231442457753</v>
      </c>
      <c r="Z61" s="91">
        <v>99.985395900316519</v>
      </c>
      <c r="AA61" s="39" t="str">
        <f t="shared" si="8"/>
        <v>Obesidad</v>
      </c>
      <c r="AB61" s="36">
        <v>2.3622317519525327</v>
      </c>
      <c r="AC61" s="36">
        <v>99.091735879713866</v>
      </c>
      <c r="AD61" s="39" t="str">
        <f t="shared" si="6"/>
        <v>Alto</v>
      </c>
      <c r="AE61" s="34" t="s">
        <v>172</v>
      </c>
      <c r="AF61" s="34" t="s">
        <v>172</v>
      </c>
      <c r="AG61" s="34" t="s">
        <v>172</v>
      </c>
    </row>
    <row r="62" spans="1:33" ht="15.75" x14ac:dyDescent="0.25">
      <c r="A62" s="1">
        <v>59</v>
      </c>
      <c r="B62" t="s">
        <v>95</v>
      </c>
      <c r="C62" s="95">
        <v>5</v>
      </c>
      <c r="D62" s="1" t="s">
        <v>7</v>
      </c>
      <c r="E62" s="1">
        <v>2</v>
      </c>
      <c r="F62" s="2">
        <v>40773</v>
      </c>
      <c r="G62" s="2">
        <v>44375</v>
      </c>
      <c r="H62" s="8">
        <f t="shared" si="9"/>
        <v>9</v>
      </c>
      <c r="I62" s="8">
        <f t="shared" si="1"/>
        <v>118</v>
      </c>
      <c r="J62" s="1">
        <v>36.1</v>
      </c>
      <c r="K62" s="1">
        <v>1.48</v>
      </c>
      <c r="L62" s="1">
        <f t="shared" si="2"/>
        <v>148</v>
      </c>
      <c r="M62" s="1">
        <v>76</v>
      </c>
      <c r="N62" s="1">
        <f t="shared" si="3"/>
        <v>48.648648648648653</v>
      </c>
      <c r="O62" s="1">
        <v>0</v>
      </c>
      <c r="P62" s="1">
        <v>61.6</v>
      </c>
      <c r="Q62" s="5">
        <f t="shared" si="4"/>
        <v>16.481008035062089</v>
      </c>
      <c r="R62" s="34"/>
      <c r="S62" s="91">
        <v>1.6375987259028781</v>
      </c>
      <c r="T62" s="91">
        <v>94.924728548476722</v>
      </c>
      <c r="U62" s="39" t="str">
        <f t="shared" si="5"/>
        <v>Normal</v>
      </c>
      <c r="V62" s="91">
        <v>0.17858350226463351</v>
      </c>
      <c r="W62" s="91">
        <v>57.086762523985954</v>
      </c>
      <c r="X62" s="40" t="str">
        <f t="shared" si="7"/>
        <v>Normal</v>
      </c>
      <c r="Y62" s="155">
        <v>-1.9359120882920279E-2</v>
      </c>
      <c r="Z62" s="91">
        <v>49.227731055062584</v>
      </c>
      <c r="AA62" s="39" t="str">
        <f t="shared" si="8"/>
        <v>Normal</v>
      </c>
      <c r="AB62" s="36">
        <v>0.63053402704711314</v>
      </c>
      <c r="AC62" s="36">
        <v>73.582737634963081</v>
      </c>
      <c r="AD62" s="39" t="str">
        <f t="shared" si="6"/>
        <v>Normal</v>
      </c>
      <c r="AE62" s="34" t="s">
        <v>172</v>
      </c>
      <c r="AF62" s="34" t="s">
        <v>172</v>
      </c>
      <c r="AG62" s="34" t="s">
        <v>172</v>
      </c>
    </row>
    <row r="63" spans="1:33" ht="15.75" x14ac:dyDescent="0.25">
      <c r="A63" s="1">
        <v>60</v>
      </c>
      <c r="B63" t="s">
        <v>96</v>
      </c>
      <c r="C63" s="95">
        <v>5</v>
      </c>
      <c r="D63" s="1" t="s">
        <v>7</v>
      </c>
      <c r="E63" s="1">
        <v>1</v>
      </c>
      <c r="F63" s="2">
        <v>40898</v>
      </c>
      <c r="G63" s="2">
        <v>44375</v>
      </c>
      <c r="H63" s="8">
        <f t="shared" si="9"/>
        <v>9</v>
      </c>
      <c r="I63" s="8">
        <f t="shared" si="1"/>
        <v>114</v>
      </c>
      <c r="J63" s="1">
        <v>40</v>
      </c>
      <c r="K63" s="1">
        <v>1.32</v>
      </c>
      <c r="L63" s="1">
        <f t="shared" si="2"/>
        <v>132</v>
      </c>
      <c r="M63" s="1">
        <v>72</v>
      </c>
      <c r="N63" s="1">
        <f t="shared" si="3"/>
        <v>45.454545454545453</v>
      </c>
      <c r="O63" s="1">
        <v>0</v>
      </c>
      <c r="P63" s="1">
        <v>73.5</v>
      </c>
      <c r="Q63" s="5">
        <f t="shared" si="4"/>
        <v>22.956841138659318</v>
      </c>
      <c r="R63" s="34"/>
      <c r="S63" s="91">
        <v>-0.51386158305578</v>
      </c>
      <c r="T63" s="91">
        <v>30.367438418759228</v>
      </c>
      <c r="U63" s="39" t="str">
        <f t="shared" si="5"/>
        <v>Normal</v>
      </c>
      <c r="V63" s="91">
        <v>-1.8768871123162896</v>
      </c>
      <c r="W63" s="91">
        <v>3.0266783794298222</v>
      </c>
      <c r="X63" s="40" t="str">
        <f t="shared" si="7"/>
        <v>Piernas cortas</v>
      </c>
      <c r="Y63" s="155">
        <v>2.5440008409554848</v>
      </c>
      <c r="Z63" s="91">
        <v>99.452045896254589</v>
      </c>
      <c r="AA63" s="39" t="str">
        <f t="shared" si="8"/>
        <v>Obesidad</v>
      </c>
      <c r="AB63" s="36">
        <v>1.4275235025120407</v>
      </c>
      <c r="AC63" s="36">
        <v>92.328547213989438</v>
      </c>
      <c r="AD63" s="39" t="str">
        <f t="shared" si="6"/>
        <v>Arriba del promedio</v>
      </c>
      <c r="AE63" s="34" t="s">
        <v>172</v>
      </c>
      <c r="AF63" s="34" t="s">
        <v>172</v>
      </c>
      <c r="AG63" s="34" t="s">
        <v>172</v>
      </c>
    </row>
    <row r="64" spans="1:33" ht="15.75" x14ac:dyDescent="0.25">
      <c r="A64" s="1">
        <v>61</v>
      </c>
      <c r="B64" t="s">
        <v>97</v>
      </c>
      <c r="C64" s="95">
        <v>5</v>
      </c>
      <c r="D64" s="1" t="s">
        <v>7</v>
      </c>
      <c r="E64" s="1">
        <v>1</v>
      </c>
      <c r="F64" s="2">
        <v>40834</v>
      </c>
      <c r="G64" s="2">
        <v>44375</v>
      </c>
      <c r="H64" s="8">
        <f t="shared" si="9"/>
        <v>9</v>
      </c>
      <c r="I64" s="8">
        <f t="shared" si="1"/>
        <v>116</v>
      </c>
      <c r="J64" s="1">
        <v>51.4</v>
      </c>
      <c r="K64" s="1">
        <v>1.37</v>
      </c>
      <c r="L64" s="1">
        <f t="shared" si="2"/>
        <v>137</v>
      </c>
      <c r="M64" s="1">
        <f>115.2-40</f>
        <v>75.2</v>
      </c>
      <c r="N64" s="1">
        <f t="shared" si="3"/>
        <v>45.109489051094883</v>
      </c>
      <c r="O64" s="1">
        <v>0</v>
      </c>
      <c r="P64" s="1">
        <v>86.5</v>
      </c>
      <c r="Q64" s="5">
        <f t="shared" si="4"/>
        <v>27.385582609622244</v>
      </c>
      <c r="R64" s="34"/>
      <c r="S64" s="91">
        <v>0.15188137443572455</v>
      </c>
      <c r="T64" s="91">
        <v>56.035975054942085</v>
      </c>
      <c r="U64" s="39" t="str">
        <f t="shared" si="5"/>
        <v>Normal</v>
      </c>
      <c r="V64" s="91">
        <v>-2.1164592028418623</v>
      </c>
      <c r="W64" s="91">
        <v>1.7152885735962149</v>
      </c>
      <c r="X64" s="40" t="str">
        <f t="shared" si="7"/>
        <v>Piernas cortas</v>
      </c>
      <c r="Y64" s="155">
        <v>3.3091051200032453</v>
      </c>
      <c r="Z64" s="91">
        <v>99.953202655428868</v>
      </c>
      <c r="AA64" s="39" t="str">
        <f t="shared" si="8"/>
        <v>Obesidad</v>
      </c>
      <c r="AB64" s="36">
        <v>2.2634392229890201</v>
      </c>
      <c r="AC64" s="36">
        <v>98.819568640891518</v>
      </c>
      <c r="AD64" s="39" t="str">
        <f t="shared" si="6"/>
        <v>Alto</v>
      </c>
      <c r="AE64" s="34" t="s">
        <v>172</v>
      </c>
      <c r="AF64" s="34" t="s">
        <v>172</v>
      </c>
      <c r="AG64" s="34" t="s">
        <v>172</v>
      </c>
    </row>
    <row r="65" spans="1:33" ht="15.75" x14ac:dyDescent="0.25">
      <c r="A65" s="1">
        <v>62</v>
      </c>
      <c r="B65" t="s">
        <v>98</v>
      </c>
      <c r="C65" s="95">
        <v>5</v>
      </c>
      <c r="D65" s="1" t="s">
        <v>7</v>
      </c>
      <c r="E65" s="1">
        <v>1</v>
      </c>
      <c r="F65" s="2">
        <v>40778</v>
      </c>
      <c r="G65" s="2">
        <v>44375</v>
      </c>
      <c r="H65" s="8">
        <f t="shared" si="9"/>
        <v>9</v>
      </c>
      <c r="I65" s="8">
        <f t="shared" si="1"/>
        <v>118</v>
      </c>
      <c r="J65" s="1">
        <v>34.700000000000003</v>
      </c>
      <c r="K65" s="1">
        <v>1.4</v>
      </c>
      <c r="L65" s="1">
        <f t="shared" si="2"/>
        <v>140</v>
      </c>
      <c r="M65" s="1">
        <v>74.3</v>
      </c>
      <c r="N65" s="1">
        <f t="shared" si="3"/>
        <v>46.928571428571431</v>
      </c>
      <c r="O65" s="1">
        <v>0</v>
      </c>
      <c r="P65" s="1">
        <v>62</v>
      </c>
      <c r="Q65" s="5">
        <f t="shared" si="4"/>
        <v>17.704081632653065</v>
      </c>
      <c r="R65" s="34"/>
      <c r="S65" s="91">
        <v>0.48850796873006108</v>
      </c>
      <c r="T65" s="91">
        <v>68.740495863878294</v>
      </c>
      <c r="U65" s="39" t="str">
        <f t="shared" si="5"/>
        <v>Normal</v>
      </c>
      <c r="V65" s="91">
        <v>-0.87542070856357879</v>
      </c>
      <c r="W65" s="91">
        <v>19.067251805246556</v>
      </c>
      <c r="X65" s="40" t="str">
        <f t="shared" si="7"/>
        <v>Normal</v>
      </c>
      <c r="Y65" s="155">
        <v>0.69912461994801633</v>
      </c>
      <c r="Z65" s="91">
        <v>75.776292318332267</v>
      </c>
      <c r="AA65" s="39" t="str">
        <f t="shared" si="8"/>
        <v>Normal</v>
      </c>
      <c r="AB65" s="36">
        <v>0.40438320409284578</v>
      </c>
      <c r="AC65" s="36">
        <v>65.703452538481855</v>
      </c>
      <c r="AD65" s="39" t="str">
        <f t="shared" si="6"/>
        <v>Normal</v>
      </c>
      <c r="AE65" s="34" t="s">
        <v>172</v>
      </c>
      <c r="AF65" s="34" t="s">
        <v>172</v>
      </c>
      <c r="AG65" s="34" t="s">
        <v>172</v>
      </c>
    </row>
    <row r="66" spans="1:33" ht="15.75" x14ac:dyDescent="0.25">
      <c r="A66" s="1">
        <v>63</v>
      </c>
      <c r="B66" t="s">
        <v>99</v>
      </c>
      <c r="C66" s="95">
        <v>5</v>
      </c>
      <c r="D66" s="1" t="s">
        <v>7</v>
      </c>
      <c r="E66" s="1">
        <v>1</v>
      </c>
      <c r="F66" s="2">
        <v>40577</v>
      </c>
      <c r="G66" s="2">
        <v>44375</v>
      </c>
      <c r="H66" s="8">
        <f t="shared" si="9"/>
        <v>10</v>
      </c>
      <c r="I66" s="8">
        <f t="shared" si="1"/>
        <v>124</v>
      </c>
      <c r="J66" s="1">
        <v>43.3</v>
      </c>
      <c r="K66" s="1">
        <v>1.42</v>
      </c>
      <c r="L66" s="1">
        <f t="shared" si="2"/>
        <v>142</v>
      </c>
      <c r="M66" s="1">
        <v>74.2</v>
      </c>
      <c r="N66" s="1">
        <f t="shared" si="3"/>
        <v>47.746478873239433</v>
      </c>
      <c r="O66" s="1">
        <v>0</v>
      </c>
      <c r="P66" s="1">
        <v>73.5</v>
      </c>
      <c r="Q66" s="5">
        <f t="shared" si="4"/>
        <v>21.473913905971035</v>
      </c>
      <c r="R66" s="34"/>
      <c r="S66" s="91">
        <v>0.38259279292278342</v>
      </c>
      <c r="T66" s="91">
        <v>64.898914258319607</v>
      </c>
      <c r="U66" s="39" t="str">
        <f t="shared" si="5"/>
        <v>Normal</v>
      </c>
      <c r="V66" s="91">
        <v>-0.58533847588203269</v>
      </c>
      <c r="W66" s="91">
        <v>27.916007428285983</v>
      </c>
      <c r="X66" s="40" t="str">
        <f t="shared" si="7"/>
        <v>Normal</v>
      </c>
      <c r="Y66" s="155">
        <v>1.9281565328892405</v>
      </c>
      <c r="Z66" s="91">
        <v>97.308217052088935</v>
      </c>
      <c r="AA66" s="39" t="str">
        <f t="shared" si="8"/>
        <v>Obesidad</v>
      </c>
      <c r="AB66" s="36">
        <v>1.1843397976471539</v>
      </c>
      <c r="AC66" s="36">
        <v>88.186070955043988</v>
      </c>
      <c r="AD66" s="39" t="str">
        <f t="shared" si="6"/>
        <v>Arriba del promedio</v>
      </c>
      <c r="AE66" s="34" t="s">
        <v>172</v>
      </c>
      <c r="AF66" s="34" t="s">
        <v>172</v>
      </c>
      <c r="AG66" s="34" t="s">
        <v>172</v>
      </c>
    </row>
    <row r="67" spans="1:33" ht="15.75" x14ac:dyDescent="0.25">
      <c r="A67" s="1">
        <v>64</v>
      </c>
      <c r="B67" t="s">
        <v>100</v>
      </c>
      <c r="C67" s="95">
        <v>5</v>
      </c>
      <c r="D67" s="1" t="s">
        <v>7</v>
      </c>
      <c r="E67" s="1">
        <v>2</v>
      </c>
      <c r="F67" s="2">
        <v>40834</v>
      </c>
      <c r="G67" s="2">
        <v>44375</v>
      </c>
      <c r="H67" s="8">
        <f t="shared" si="9"/>
        <v>9</v>
      </c>
      <c r="I67" s="8">
        <f t="shared" si="1"/>
        <v>116</v>
      </c>
      <c r="J67" s="1">
        <v>30.6</v>
      </c>
      <c r="K67" s="1">
        <v>1.29</v>
      </c>
      <c r="L67" s="1">
        <f t="shared" si="2"/>
        <v>129</v>
      </c>
      <c r="M67" s="1">
        <v>70</v>
      </c>
      <c r="N67" s="1">
        <f t="shared" si="3"/>
        <v>45.736434108527128</v>
      </c>
      <c r="O67" s="1">
        <v>0</v>
      </c>
      <c r="P67" s="1">
        <v>59.5</v>
      </c>
      <c r="Q67" s="5">
        <f t="shared" si="4"/>
        <v>18.388318009734991</v>
      </c>
      <c r="R67" s="34"/>
      <c r="S67" s="91">
        <v>-1.2003617957394703</v>
      </c>
      <c r="T67" s="91">
        <v>11.499942978460114</v>
      </c>
      <c r="U67" s="39" t="str">
        <f t="shared" si="5"/>
        <v>Normal</v>
      </c>
      <c r="V67" s="91">
        <v>-1.8174058793311716</v>
      </c>
      <c r="W67" s="91">
        <v>3.4577494085322291</v>
      </c>
      <c r="X67" s="40" t="str">
        <f t="shared" si="7"/>
        <v>Piernas cortas</v>
      </c>
      <c r="Y67" s="155">
        <v>0.85368310078061949</v>
      </c>
      <c r="Z67" s="91">
        <v>80.335969994523865</v>
      </c>
      <c r="AA67" s="39" t="str">
        <f t="shared" si="8"/>
        <v>Normal</v>
      </c>
      <c r="AB67" s="36">
        <v>0.4157470211726722</v>
      </c>
      <c r="AC67" s="36">
        <v>66.120243517174274</v>
      </c>
      <c r="AD67" s="39" t="str">
        <f t="shared" si="6"/>
        <v>Normal</v>
      </c>
      <c r="AE67" s="34" t="s">
        <v>172</v>
      </c>
      <c r="AF67" s="34" t="s">
        <v>172</v>
      </c>
      <c r="AG67" s="34" t="s">
        <v>172</v>
      </c>
    </row>
    <row r="68" spans="1:33" ht="15.75" x14ac:dyDescent="0.25">
      <c r="A68" s="1">
        <v>65</v>
      </c>
      <c r="B68" t="s">
        <v>101</v>
      </c>
      <c r="C68" s="95">
        <v>5</v>
      </c>
      <c r="D68" s="1" t="s">
        <v>7</v>
      </c>
      <c r="E68" s="1">
        <v>2</v>
      </c>
      <c r="F68" s="2">
        <v>40810</v>
      </c>
      <c r="G68" s="2">
        <v>44375</v>
      </c>
      <c r="H68" s="8">
        <f t="shared" ref="H68:H77" si="10">DATEDIF(F68,G68,"y")</f>
        <v>9</v>
      </c>
      <c r="I68" s="8">
        <f t="shared" si="1"/>
        <v>117</v>
      </c>
      <c r="J68" s="1">
        <v>34.700000000000003</v>
      </c>
      <c r="K68" s="1">
        <v>1.46</v>
      </c>
      <c r="L68" s="1">
        <f t="shared" si="2"/>
        <v>146</v>
      </c>
      <c r="M68" s="1">
        <f>119.7-40</f>
        <v>79.7</v>
      </c>
      <c r="N68" s="1">
        <f t="shared" si="3"/>
        <v>45.410958904109592</v>
      </c>
      <c r="O68" s="1">
        <v>0</v>
      </c>
      <c r="P68" s="1">
        <v>59</v>
      </c>
      <c r="Q68" s="5">
        <f t="shared" si="4"/>
        <v>16.278851566898108</v>
      </c>
      <c r="R68" s="34"/>
      <c r="S68" s="91">
        <v>1.409340878780158</v>
      </c>
      <c r="T68" s="91">
        <v>92.063280164992193</v>
      </c>
      <c r="U68" s="39" t="str">
        <f t="shared" si="5"/>
        <v>Normal</v>
      </c>
      <c r="V68" s="91">
        <v>-2.049080058285905</v>
      </c>
      <c r="W68" s="91">
        <v>2.0227143563829415</v>
      </c>
      <c r="X68" s="40" t="str">
        <f t="shared" si="7"/>
        <v>Piernas cortas</v>
      </c>
      <c r="Y68" s="155">
        <v>-9.8947856374186349E-2</v>
      </c>
      <c r="Z68" s="91">
        <v>46.058983571070364</v>
      </c>
      <c r="AA68" s="39" t="str">
        <f t="shared" si="8"/>
        <v>Normal</v>
      </c>
      <c r="AB68" s="36">
        <v>0.36226486330648278</v>
      </c>
      <c r="AC68" s="36">
        <v>64.142294375573272</v>
      </c>
      <c r="AD68" s="39" t="str">
        <f t="shared" si="6"/>
        <v>Normal</v>
      </c>
      <c r="AE68" s="34" t="s">
        <v>172</v>
      </c>
      <c r="AF68" s="34" t="s">
        <v>172</v>
      </c>
      <c r="AG68" s="34" t="s">
        <v>172</v>
      </c>
    </row>
    <row r="69" spans="1:33" ht="15.75" x14ac:dyDescent="0.25">
      <c r="A69" s="1">
        <v>66</v>
      </c>
      <c r="B69" t="s">
        <v>102</v>
      </c>
      <c r="C69" s="95">
        <v>5</v>
      </c>
      <c r="D69" s="1" t="s">
        <v>7</v>
      </c>
      <c r="E69" s="1">
        <v>1</v>
      </c>
      <c r="F69" s="2">
        <v>40854</v>
      </c>
      <c r="G69" s="2">
        <v>44375</v>
      </c>
      <c r="H69" s="8">
        <f t="shared" si="10"/>
        <v>9</v>
      </c>
      <c r="I69" s="8">
        <f t="shared" ref="I69:I112" si="11">DATEDIF(F69,G69,"m")</f>
        <v>115</v>
      </c>
      <c r="J69" s="1">
        <v>44.8</v>
      </c>
      <c r="K69" s="1">
        <v>1.42</v>
      </c>
      <c r="L69" s="1">
        <f t="shared" ref="L69:L112" si="12">K69*100</f>
        <v>142</v>
      </c>
      <c r="M69" s="1">
        <v>74</v>
      </c>
      <c r="N69" s="1">
        <f t="shared" ref="N69:N112" si="13">((L69-M69)/L69)*100</f>
        <v>47.887323943661968</v>
      </c>
      <c r="O69" s="1">
        <v>0</v>
      </c>
      <c r="P69" s="1">
        <v>71.8</v>
      </c>
      <c r="Q69" s="5">
        <f t="shared" ref="Q69:Q112" si="14">J69/(K69*K69)</f>
        <v>22.217813925808372</v>
      </c>
      <c r="R69" s="34"/>
      <c r="S69" s="91">
        <v>1.0256682259664571</v>
      </c>
      <c r="T69" s="91">
        <v>84.747600185787732</v>
      </c>
      <c r="U69" s="39" t="str">
        <f t="shared" ref="U69:U112" si="15">IF(S69&lt;-1.645,"Desnutricion",IF(AND(S69&gt;=-1.645,S69&lt;=1.645),"Normal",IF(S69&gt;1.645,"Alto")))</f>
        <v>Normal</v>
      </c>
      <c r="V69" s="91">
        <v>-0.24234602606343997</v>
      </c>
      <c r="W69" s="91">
        <v>40.425602641176546</v>
      </c>
      <c r="X69" s="40" t="str">
        <f t="shared" ref="X69:X112" si="16">IF(V69&lt;-1.645,"Piernas cortas",IF(AND(V69&gt;=-1.645,V69&lt;=1.645),"Normal",IF(V69&gt;1.645,"Piernas largas")))</f>
        <v>Normal</v>
      </c>
      <c r="Y69" s="155">
        <v>2.3378747045445256</v>
      </c>
      <c r="Z69" s="91">
        <v>99.030312558496277</v>
      </c>
      <c r="AA69" s="39" t="str">
        <f t="shared" si="8"/>
        <v>Obesidad</v>
      </c>
      <c r="AB69" s="36">
        <v>1.2964271168256951</v>
      </c>
      <c r="AC69" s="36">
        <v>90.258581261529997</v>
      </c>
      <c r="AD69" s="39" t="str">
        <f t="shared" ref="AD69:AD104" si="17">IF(AB69&lt;-1.645,"Bajo",IF(AND(AB69&gt;=-1.645,AB69&lt;-1.036),"Debajo del promedio",IF(AND(AB69&gt;=-1.036,AB69&lt;=1.036),"Normal",IF(AND(AB69&gt;1.036,AB69&lt;=1.645),"Arriba del promedio",IF(AB69&gt;1.645,"Alto","")))))</f>
        <v>Arriba del promedio</v>
      </c>
      <c r="AE69" s="34" t="s">
        <v>172</v>
      </c>
      <c r="AF69" s="34" t="s">
        <v>172</v>
      </c>
      <c r="AG69" s="34" t="s">
        <v>172</v>
      </c>
    </row>
    <row r="70" spans="1:33" ht="15.75" x14ac:dyDescent="0.25">
      <c r="A70" s="1">
        <v>67</v>
      </c>
      <c r="B70" t="s">
        <v>103</v>
      </c>
      <c r="C70" s="95">
        <v>5</v>
      </c>
      <c r="D70" s="1" t="s">
        <v>7</v>
      </c>
      <c r="E70" s="1">
        <v>2</v>
      </c>
      <c r="F70" s="2">
        <v>40666</v>
      </c>
      <c r="G70" s="2">
        <v>44375</v>
      </c>
      <c r="H70" s="8">
        <f t="shared" si="10"/>
        <v>10</v>
      </c>
      <c r="I70" s="8">
        <f t="shared" si="11"/>
        <v>121</v>
      </c>
      <c r="J70" s="1">
        <v>37</v>
      </c>
      <c r="K70" s="1">
        <v>1.41</v>
      </c>
      <c r="L70" s="1">
        <f t="shared" si="12"/>
        <v>141</v>
      </c>
      <c r="M70" s="1">
        <f>116-40</f>
        <v>76</v>
      </c>
      <c r="N70" s="1">
        <f t="shared" si="13"/>
        <v>46.099290780141843</v>
      </c>
      <c r="O70" s="1">
        <v>0</v>
      </c>
      <c r="P70" s="1">
        <v>61.5</v>
      </c>
      <c r="Q70" s="5">
        <f t="shared" si="14"/>
        <v>18.610733866505711</v>
      </c>
      <c r="R70" s="34"/>
      <c r="S70" s="91">
        <v>0.28708571291812124</v>
      </c>
      <c r="T70" s="91">
        <v>61.297665430838656</v>
      </c>
      <c r="U70" s="39" t="str">
        <f t="shared" si="15"/>
        <v>Normal</v>
      </c>
      <c r="V70" s="91">
        <v>-1.6742237947181093</v>
      </c>
      <c r="W70" s="91">
        <v>4.7043312369037737</v>
      </c>
      <c r="X70" s="40" t="str">
        <f t="shared" si="16"/>
        <v>Piernas cortas</v>
      </c>
      <c r="Y70" s="155">
        <v>0.82648136146509144</v>
      </c>
      <c r="Z70" s="91">
        <v>79.573445662046964</v>
      </c>
      <c r="AA70" s="39" t="str">
        <f t="shared" ref="AA70:AA113" si="18">IF(Z70&lt;5,"Desnutricion",IF(AND(Z70&gt;=5,Z70&lt;15),"Bajo Peso",IF(AND(Z70&gt;=15,Z70&lt;=85),"Normal",IF(Z70&gt;85,"Obesidad"))))</f>
        <v>Normal</v>
      </c>
      <c r="AB70" s="36">
        <v>0.29131692265534515</v>
      </c>
      <c r="AC70" s="36">
        <v>61.459552697820207</v>
      </c>
      <c r="AD70" s="39" t="str">
        <f t="shared" si="17"/>
        <v>Normal</v>
      </c>
      <c r="AE70" s="34" t="s">
        <v>172</v>
      </c>
      <c r="AF70" s="34" t="s">
        <v>172</v>
      </c>
      <c r="AG70" s="34" t="s">
        <v>172</v>
      </c>
    </row>
    <row r="71" spans="1:33" ht="15.75" x14ac:dyDescent="0.25">
      <c r="A71" s="1">
        <v>68</v>
      </c>
      <c r="B71" t="s">
        <v>104</v>
      </c>
      <c r="C71" s="95">
        <v>5</v>
      </c>
      <c r="D71" s="1" t="s">
        <v>7</v>
      </c>
      <c r="E71" s="1">
        <v>1</v>
      </c>
      <c r="F71" s="2">
        <v>40810</v>
      </c>
      <c r="G71" s="2">
        <v>44375</v>
      </c>
      <c r="H71" s="8">
        <f t="shared" si="10"/>
        <v>9</v>
      </c>
      <c r="I71" s="8">
        <f t="shared" si="11"/>
        <v>117</v>
      </c>
      <c r="J71" s="1">
        <v>42.4</v>
      </c>
      <c r="K71" s="1">
        <v>1.34</v>
      </c>
      <c r="L71" s="1">
        <f t="shared" si="12"/>
        <v>134</v>
      </c>
      <c r="M71" s="1">
        <v>71.5</v>
      </c>
      <c r="N71" s="1">
        <f t="shared" si="13"/>
        <v>46.64179104477612</v>
      </c>
      <c r="O71" s="1">
        <v>0</v>
      </c>
      <c r="P71" s="1">
        <v>75</v>
      </c>
      <c r="Q71" s="5">
        <f t="shared" si="14"/>
        <v>23.613276899086653</v>
      </c>
      <c r="R71" s="34"/>
      <c r="S71" s="91">
        <v>-0.39513515617671108</v>
      </c>
      <c r="T71" s="91">
        <v>34.637157230937078</v>
      </c>
      <c r="U71" s="39" t="str">
        <f t="shared" si="15"/>
        <v>Normal</v>
      </c>
      <c r="V71" s="91">
        <v>-1.0675391820461266</v>
      </c>
      <c r="W71" s="91">
        <v>14.286421510573346</v>
      </c>
      <c r="X71" s="40" t="str">
        <f t="shared" si="16"/>
        <v>Normal</v>
      </c>
      <c r="Y71" s="155">
        <v>2.615657105537375</v>
      </c>
      <c r="Z71" s="91">
        <v>99.554720294175553</v>
      </c>
      <c r="AA71" s="39" t="str">
        <f t="shared" si="18"/>
        <v>Obesidad</v>
      </c>
      <c r="AB71" s="36">
        <v>1.5383817766189514</v>
      </c>
      <c r="AC71" s="36">
        <v>93.802235234134642</v>
      </c>
      <c r="AD71" s="39" t="str">
        <f t="shared" si="17"/>
        <v>Arriba del promedio</v>
      </c>
      <c r="AE71" s="34" t="s">
        <v>172</v>
      </c>
      <c r="AF71" s="34" t="s">
        <v>172</v>
      </c>
      <c r="AG71" s="34" t="s">
        <v>172</v>
      </c>
    </row>
    <row r="72" spans="1:33" ht="15.75" x14ac:dyDescent="0.25">
      <c r="A72" s="1">
        <v>69</v>
      </c>
      <c r="B72" t="s">
        <v>105</v>
      </c>
      <c r="C72" s="95">
        <v>5</v>
      </c>
      <c r="D72" s="1" t="s">
        <v>7</v>
      </c>
      <c r="E72" s="1">
        <v>1</v>
      </c>
      <c r="F72" s="2">
        <v>40613</v>
      </c>
      <c r="G72" s="2">
        <v>44375</v>
      </c>
      <c r="H72" s="8">
        <f t="shared" si="10"/>
        <v>10</v>
      </c>
      <c r="I72" s="8">
        <f t="shared" si="11"/>
        <v>123</v>
      </c>
      <c r="J72" s="1">
        <v>36.799999999999997</v>
      </c>
      <c r="K72" s="1">
        <v>1.33</v>
      </c>
      <c r="L72" s="1">
        <f t="shared" si="12"/>
        <v>133</v>
      </c>
      <c r="M72" s="1">
        <f>112-40</f>
        <v>72</v>
      </c>
      <c r="N72" s="1">
        <f t="shared" si="13"/>
        <v>45.864661654135332</v>
      </c>
      <c r="O72" s="1">
        <v>0</v>
      </c>
      <c r="P72" s="1">
        <v>72</v>
      </c>
      <c r="Q72" s="5">
        <f t="shared" si="14"/>
        <v>20.803889422805131</v>
      </c>
      <c r="R72" s="34"/>
      <c r="S72" s="91">
        <v>-0.94068827748310047</v>
      </c>
      <c r="T72" s="91">
        <v>17.343231402686111</v>
      </c>
      <c r="U72" s="39" t="str">
        <f t="shared" si="15"/>
        <v>Normal</v>
      </c>
      <c r="V72" s="91">
        <v>-1.8872373786256513</v>
      </c>
      <c r="W72" s="91">
        <v>2.95642024445426</v>
      </c>
      <c r="X72" s="40" t="str">
        <f t="shared" si="16"/>
        <v>Piernas cortas</v>
      </c>
      <c r="Y72" s="155">
        <v>1.7581916940577307</v>
      </c>
      <c r="Z72" s="91">
        <v>96.064255098909442</v>
      </c>
      <c r="AA72" s="39" t="str">
        <f t="shared" si="18"/>
        <v>Obesidad</v>
      </c>
      <c r="AB72" s="36">
        <v>1.0680234383650904</v>
      </c>
      <c r="AC72" s="36">
        <v>85.724503036290528</v>
      </c>
      <c r="AD72" s="39" t="str">
        <f t="shared" si="17"/>
        <v>Arriba del promedio</v>
      </c>
      <c r="AE72" s="34" t="s">
        <v>172</v>
      </c>
      <c r="AF72" s="34" t="s">
        <v>172</v>
      </c>
      <c r="AG72" s="34" t="s">
        <v>172</v>
      </c>
    </row>
    <row r="73" spans="1:33" ht="15.75" x14ac:dyDescent="0.25">
      <c r="A73" s="1">
        <v>70</v>
      </c>
      <c r="B73" t="s">
        <v>106</v>
      </c>
      <c r="C73" s="95">
        <v>5</v>
      </c>
      <c r="D73" s="1" t="s">
        <v>7</v>
      </c>
      <c r="E73" s="1">
        <v>2</v>
      </c>
      <c r="F73" s="2">
        <v>40672</v>
      </c>
      <c r="G73" s="2">
        <v>44375</v>
      </c>
      <c r="H73" s="8">
        <f t="shared" si="10"/>
        <v>10</v>
      </c>
      <c r="I73" s="8">
        <f t="shared" si="11"/>
        <v>121</v>
      </c>
      <c r="J73" s="1">
        <v>45.7</v>
      </c>
      <c r="K73" s="1">
        <v>1.42</v>
      </c>
      <c r="L73" s="1">
        <f t="shared" si="12"/>
        <v>142</v>
      </c>
      <c r="M73" s="1">
        <f>116.5-40</f>
        <v>76.5</v>
      </c>
      <c r="N73" s="1">
        <f t="shared" si="13"/>
        <v>46.12676056338028</v>
      </c>
      <c r="O73" s="1">
        <v>0</v>
      </c>
      <c r="P73" s="1">
        <v>75.5</v>
      </c>
      <c r="Q73" s="5">
        <f t="shared" si="14"/>
        <v>22.664153937710772</v>
      </c>
      <c r="R73" s="34"/>
      <c r="S73" s="91">
        <v>0.44289885425766912</v>
      </c>
      <c r="T73" s="91">
        <v>67.108055190819343</v>
      </c>
      <c r="U73" s="39" t="str">
        <f t="shared" si="15"/>
        <v>Normal</v>
      </c>
      <c r="V73" s="91">
        <v>-1.6549304860096821</v>
      </c>
      <c r="W73" s="91">
        <v>4.8969299707590546</v>
      </c>
      <c r="X73" s="40" t="str">
        <f t="shared" si="16"/>
        <v>Piernas cortas</v>
      </c>
      <c r="Y73" s="155">
        <v>2.000310006969765</v>
      </c>
      <c r="Z73" s="91">
        <v>97.726660043978328</v>
      </c>
      <c r="AA73" s="39" t="str">
        <f t="shared" si="18"/>
        <v>Obesidad</v>
      </c>
      <c r="AB73" s="36">
        <v>1.4522116869155457</v>
      </c>
      <c r="AC73" s="36">
        <v>92.677862295333114</v>
      </c>
      <c r="AD73" s="39" t="str">
        <f t="shared" si="17"/>
        <v>Arriba del promedio</v>
      </c>
      <c r="AE73" s="34" t="s">
        <v>172</v>
      </c>
      <c r="AF73" s="34" t="s">
        <v>172</v>
      </c>
      <c r="AG73" s="34" t="s">
        <v>172</v>
      </c>
    </row>
    <row r="74" spans="1:33" ht="15.75" x14ac:dyDescent="0.25">
      <c r="A74" s="1">
        <v>71</v>
      </c>
      <c r="B74" t="s">
        <v>107</v>
      </c>
      <c r="C74" s="95">
        <v>5</v>
      </c>
      <c r="D74" s="1" t="s">
        <v>7</v>
      </c>
      <c r="E74" s="1">
        <v>1</v>
      </c>
      <c r="F74" s="2">
        <v>40791</v>
      </c>
      <c r="G74" s="2">
        <v>44375</v>
      </c>
      <c r="H74" s="8">
        <f t="shared" si="10"/>
        <v>9</v>
      </c>
      <c r="I74" s="8">
        <f t="shared" si="11"/>
        <v>117</v>
      </c>
      <c r="J74" s="1">
        <v>35</v>
      </c>
      <c r="K74" s="1">
        <v>1.37</v>
      </c>
      <c r="L74" s="1">
        <f t="shared" si="12"/>
        <v>137</v>
      </c>
      <c r="M74" s="1">
        <v>70.5</v>
      </c>
      <c r="N74" s="1">
        <f t="shared" si="13"/>
        <v>48.540145985401459</v>
      </c>
      <c r="O74" s="1">
        <v>0</v>
      </c>
      <c r="P74" s="1">
        <v>70</v>
      </c>
      <c r="Q74" s="5">
        <f t="shared" si="14"/>
        <v>18.647770259470402</v>
      </c>
      <c r="R74" s="34"/>
      <c r="S74" s="91">
        <v>8.2292637343017561E-2</v>
      </c>
      <c r="T74" s="91">
        <v>53.279299544367611</v>
      </c>
      <c r="U74" s="39" t="str">
        <f t="shared" si="15"/>
        <v>Normal</v>
      </c>
      <c r="V74" s="91">
        <v>0.18083005044738534</v>
      </c>
      <c r="W74" s="91">
        <v>57.174951245757676</v>
      </c>
      <c r="X74" s="40" t="str">
        <f t="shared" si="16"/>
        <v>Normal</v>
      </c>
      <c r="Y74" s="155">
        <v>1.1348136272128917</v>
      </c>
      <c r="Z74" s="91">
        <v>87.177329234387472</v>
      </c>
      <c r="AA74" s="39" t="str">
        <f t="shared" si="18"/>
        <v>Obesidad</v>
      </c>
      <c r="AB74" s="36">
        <v>1.1508558368797488</v>
      </c>
      <c r="AC74" s="36">
        <v>87.510422549078328</v>
      </c>
      <c r="AD74" s="39" t="str">
        <f t="shared" si="17"/>
        <v>Arriba del promedio</v>
      </c>
      <c r="AE74" s="34" t="s">
        <v>172</v>
      </c>
      <c r="AF74" s="34" t="s">
        <v>172</v>
      </c>
      <c r="AG74" s="34" t="s">
        <v>172</v>
      </c>
    </row>
    <row r="75" spans="1:33" ht="15.75" x14ac:dyDescent="0.25">
      <c r="A75" s="1">
        <v>72</v>
      </c>
      <c r="B75" t="s">
        <v>108</v>
      </c>
      <c r="C75" s="95">
        <v>5</v>
      </c>
      <c r="D75" s="1" t="s">
        <v>7</v>
      </c>
      <c r="E75" s="1">
        <v>2</v>
      </c>
      <c r="F75" s="2">
        <v>40649</v>
      </c>
      <c r="G75" s="2">
        <v>44375</v>
      </c>
      <c r="H75" s="8">
        <f t="shared" si="10"/>
        <v>10</v>
      </c>
      <c r="I75" s="8">
        <f t="shared" si="11"/>
        <v>122</v>
      </c>
      <c r="J75" s="1">
        <v>37.700000000000003</v>
      </c>
      <c r="K75" s="1">
        <v>1.42</v>
      </c>
      <c r="L75" s="1">
        <f t="shared" si="12"/>
        <v>142</v>
      </c>
      <c r="M75" s="1">
        <v>76.900000000000006</v>
      </c>
      <c r="N75" s="1">
        <f t="shared" si="13"/>
        <v>45.845070422535208</v>
      </c>
      <c r="O75" s="1">
        <v>0</v>
      </c>
      <c r="P75" s="1">
        <v>60.2</v>
      </c>
      <c r="Q75" s="5">
        <f t="shared" si="14"/>
        <v>18.696687165244992</v>
      </c>
      <c r="R75" s="34"/>
      <c r="S75" s="91">
        <v>0.36016502848242249</v>
      </c>
      <c r="T75" s="91">
        <v>64.063813728453241</v>
      </c>
      <c r="U75" s="39" t="str">
        <f t="shared" si="15"/>
        <v>Normal</v>
      </c>
      <c r="V75" s="91">
        <v>-1.8533646775900829</v>
      </c>
      <c r="W75" s="91">
        <v>3.1915053281525809</v>
      </c>
      <c r="X75" s="40" t="str">
        <f t="shared" si="16"/>
        <v>Piernas cortas</v>
      </c>
      <c r="Y75" s="155">
        <v>0.83549818318319191</v>
      </c>
      <c r="Z75" s="91">
        <v>79.828136527188633</v>
      </c>
      <c r="AA75" s="39" t="str">
        <f t="shared" si="18"/>
        <v>Normal</v>
      </c>
      <c r="AB75" s="36">
        <v>0.15497047641510051</v>
      </c>
      <c r="AC75" s="36">
        <v>56.157770375363249</v>
      </c>
      <c r="AD75" s="39" t="str">
        <f t="shared" si="17"/>
        <v>Normal</v>
      </c>
      <c r="AE75" s="34" t="s">
        <v>172</v>
      </c>
      <c r="AF75" s="34" t="s">
        <v>172</v>
      </c>
      <c r="AG75" s="34" t="s">
        <v>172</v>
      </c>
    </row>
    <row r="76" spans="1:33" ht="15.75" x14ac:dyDescent="0.25">
      <c r="A76" s="1">
        <v>73</v>
      </c>
      <c r="B76" t="s">
        <v>109</v>
      </c>
      <c r="C76" s="95">
        <v>5</v>
      </c>
      <c r="D76" s="1" t="s">
        <v>7</v>
      </c>
      <c r="E76" s="1">
        <v>1</v>
      </c>
      <c r="F76" s="2">
        <v>40804</v>
      </c>
      <c r="G76" s="2">
        <v>44375</v>
      </c>
      <c r="H76" s="8">
        <f t="shared" si="10"/>
        <v>9</v>
      </c>
      <c r="I76" s="8">
        <f t="shared" si="11"/>
        <v>117</v>
      </c>
      <c r="J76" s="1">
        <v>54.8</v>
      </c>
      <c r="K76" s="1">
        <v>1.45</v>
      </c>
      <c r="L76" s="1">
        <f t="shared" si="12"/>
        <v>145</v>
      </c>
      <c r="M76" s="1">
        <v>76</v>
      </c>
      <c r="N76" s="1">
        <f t="shared" si="13"/>
        <v>47.586206896551722</v>
      </c>
      <c r="O76" s="1">
        <v>0</v>
      </c>
      <c r="P76" s="1">
        <v>85</v>
      </c>
      <c r="Q76" s="5">
        <f t="shared" si="14"/>
        <v>26.064209274673008</v>
      </c>
      <c r="R76" s="34"/>
      <c r="S76" s="91">
        <v>1.3554334200622957</v>
      </c>
      <c r="T76" s="91">
        <v>91.236024606642758</v>
      </c>
      <c r="U76" s="39" t="str">
        <f t="shared" si="15"/>
        <v>Normal</v>
      </c>
      <c r="V76" s="91">
        <v>-0.43967113621224185</v>
      </c>
      <c r="W76" s="91">
        <v>33.008765532435817</v>
      </c>
      <c r="X76" s="40" t="str">
        <f t="shared" si="16"/>
        <v>Normal</v>
      </c>
      <c r="Y76" s="155">
        <v>3.0775200345095497</v>
      </c>
      <c r="Z76" s="91">
        <v>99.895634596446385</v>
      </c>
      <c r="AA76" s="39" t="str">
        <f t="shared" si="18"/>
        <v>Obesidad</v>
      </c>
      <c r="AB76" s="36">
        <v>2.1797253948948447</v>
      </c>
      <c r="AC76" s="36">
        <v>98.536108851279067</v>
      </c>
      <c r="AD76" s="39" t="str">
        <f t="shared" si="17"/>
        <v>Alto</v>
      </c>
      <c r="AE76" s="34" t="s">
        <v>172</v>
      </c>
      <c r="AF76" s="34" t="s">
        <v>172</v>
      </c>
      <c r="AG76" s="34" t="s">
        <v>172</v>
      </c>
    </row>
    <row r="77" spans="1:33" ht="15.75" x14ac:dyDescent="0.25">
      <c r="A77" s="1">
        <v>74</v>
      </c>
      <c r="B77" t="s">
        <v>110</v>
      </c>
      <c r="C77" s="95">
        <v>5</v>
      </c>
      <c r="D77" s="1" t="s">
        <v>7</v>
      </c>
      <c r="E77" s="1">
        <v>1</v>
      </c>
      <c r="F77" s="2">
        <v>40569</v>
      </c>
      <c r="G77" s="2">
        <v>44375</v>
      </c>
      <c r="H77" s="8">
        <f t="shared" si="10"/>
        <v>10</v>
      </c>
      <c r="I77" s="8">
        <f t="shared" si="11"/>
        <v>125</v>
      </c>
      <c r="J77" s="1">
        <v>40.299999999999997</v>
      </c>
      <c r="K77" s="1">
        <v>1.5</v>
      </c>
      <c r="L77" s="1">
        <f t="shared" si="12"/>
        <v>150</v>
      </c>
      <c r="M77" s="1">
        <v>76</v>
      </c>
      <c r="N77" s="1">
        <f t="shared" si="13"/>
        <v>49.333333333333336</v>
      </c>
      <c r="O77" s="1">
        <v>0</v>
      </c>
      <c r="P77" s="1">
        <v>68</v>
      </c>
      <c r="Q77" s="5">
        <f t="shared" si="14"/>
        <v>17.911111111111111</v>
      </c>
      <c r="R77" s="34"/>
      <c r="S77" s="91">
        <v>1.5400284907416939</v>
      </c>
      <c r="T77" s="91">
        <v>93.8223295593438</v>
      </c>
      <c r="U77" s="39" t="str">
        <f t="shared" si="15"/>
        <v>Normal</v>
      </c>
      <c r="V77" s="91">
        <v>0.46950963953928537</v>
      </c>
      <c r="W77" s="91">
        <v>68.064730186228914</v>
      </c>
      <c r="X77" s="40" t="str">
        <f t="shared" si="16"/>
        <v>Normal</v>
      </c>
      <c r="Y77" s="155">
        <v>0.64148442004341499</v>
      </c>
      <c r="Z77" s="91">
        <v>73.939599993458586</v>
      </c>
      <c r="AA77" s="39" t="str">
        <f t="shared" si="18"/>
        <v>Normal</v>
      </c>
      <c r="AB77" s="36">
        <v>0.733411297194139</v>
      </c>
      <c r="AC77" s="36">
        <v>76.834619453576764</v>
      </c>
      <c r="AD77" s="39" t="str">
        <f t="shared" si="17"/>
        <v>Normal</v>
      </c>
      <c r="AE77" s="34" t="s">
        <v>172</v>
      </c>
      <c r="AF77" s="34" t="s">
        <v>172</v>
      </c>
      <c r="AG77" s="34" t="s">
        <v>172</v>
      </c>
    </row>
    <row r="78" spans="1:33" s="10" customFormat="1" ht="15.75" x14ac:dyDescent="0.25">
      <c r="A78" s="7">
        <v>75</v>
      </c>
      <c r="B78" s="11" t="s">
        <v>111</v>
      </c>
      <c r="C78" s="95">
        <v>5</v>
      </c>
      <c r="D78" s="7" t="s">
        <v>7</v>
      </c>
      <c r="E78" s="7">
        <v>2</v>
      </c>
      <c r="F78" s="6">
        <v>40569</v>
      </c>
      <c r="G78" s="6"/>
      <c r="H78" s="14">
        <v>10</v>
      </c>
      <c r="I78" s="14">
        <v>125</v>
      </c>
      <c r="J78" s="7">
        <v>28.9</v>
      </c>
      <c r="K78" s="7">
        <v>1.34</v>
      </c>
      <c r="L78" s="7">
        <f t="shared" si="12"/>
        <v>134</v>
      </c>
      <c r="M78" s="7">
        <v>67.5</v>
      </c>
      <c r="N78" s="7">
        <f t="shared" si="13"/>
        <v>49.626865671641788</v>
      </c>
      <c r="O78" s="7">
        <v>0</v>
      </c>
      <c r="P78" s="7">
        <v>58</v>
      </c>
      <c r="Q78" s="64">
        <f t="shared" si="14"/>
        <v>16.094898641122739</v>
      </c>
      <c r="R78" s="37"/>
      <c r="S78" s="91">
        <v>-1.1159731232829455</v>
      </c>
      <c r="T78" s="91">
        <v>13.221681965526285</v>
      </c>
      <c r="U78" s="39" t="str">
        <f t="shared" si="15"/>
        <v>Normal</v>
      </c>
      <c r="V78" s="91">
        <v>0.70707944628015507</v>
      </c>
      <c r="W78" s="91">
        <v>76.024144596305149</v>
      </c>
      <c r="X78" s="40" t="str">
        <f t="shared" si="16"/>
        <v>Normal</v>
      </c>
      <c r="Y78" s="155">
        <v>-0.38801925516169472</v>
      </c>
      <c r="Z78" s="91">
        <v>34.900089212097861</v>
      </c>
      <c r="AA78" s="39" t="str">
        <f t="shared" si="18"/>
        <v>Normal</v>
      </c>
      <c r="AB78" s="35"/>
      <c r="AC78" s="35"/>
      <c r="AD78" s="35"/>
      <c r="AE78" s="34" t="s">
        <v>172</v>
      </c>
      <c r="AF78" s="34" t="s">
        <v>172</v>
      </c>
      <c r="AG78" s="34" t="s">
        <v>172</v>
      </c>
    </row>
    <row r="79" spans="1:33" ht="15.75" x14ac:dyDescent="0.25">
      <c r="A79" s="1">
        <v>76</v>
      </c>
      <c r="B79" t="s">
        <v>112</v>
      </c>
      <c r="C79" s="95">
        <v>5</v>
      </c>
      <c r="D79" s="1" t="s">
        <v>7</v>
      </c>
      <c r="E79" s="1">
        <v>1</v>
      </c>
      <c r="F79" s="2">
        <v>40738</v>
      </c>
      <c r="G79" s="2">
        <v>44375</v>
      </c>
      <c r="H79" s="8">
        <f t="shared" ref="H79:H122" si="19">DATEDIF(F79,G79,"y")</f>
        <v>9</v>
      </c>
      <c r="I79" s="8">
        <f t="shared" si="11"/>
        <v>119</v>
      </c>
      <c r="J79" s="1">
        <v>35.200000000000003</v>
      </c>
      <c r="K79" s="1">
        <v>1.3</v>
      </c>
      <c r="L79" s="1">
        <f t="shared" si="12"/>
        <v>130</v>
      </c>
      <c r="M79" s="1">
        <v>69.5</v>
      </c>
      <c r="N79" s="1">
        <f t="shared" si="13"/>
        <v>46.53846153846154</v>
      </c>
      <c r="O79" s="1">
        <v>0</v>
      </c>
      <c r="P79" s="1">
        <v>69</v>
      </c>
      <c r="Q79" s="5">
        <f t="shared" si="14"/>
        <v>20.828402366863905</v>
      </c>
      <c r="R79" s="34"/>
      <c r="S79" s="91">
        <v>-1.1581512468940443</v>
      </c>
      <c r="T79" s="91">
        <v>12.340115991647666</v>
      </c>
      <c r="U79" s="39" t="str">
        <f t="shared" si="15"/>
        <v>Normal</v>
      </c>
      <c r="V79" s="91">
        <v>-1.1370782610490437</v>
      </c>
      <c r="W79" s="91">
        <v>12.775278539700139</v>
      </c>
      <c r="X79" s="40" t="str">
        <f t="shared" si="16"/>
        <v>Normal</v>
      </c>
      <c r="Y79" s="155">
        <v>1.8572838273569252</v>
      </c>
      <c r="Z79" s="91">
        <v>96.8364607955222</v>
      </c>
      <c r="AA79" s="39" t="str">
        <f t="shared" si="18"/>
        <v>Obesidad</v>
      </c>
      <c r="AB79" s="36">
        <v>1.0667842844781346</v>
      </c>
      <c r="AC79" s="36">
        <v>85.696537162951799</v>
      </c>
      <c r="AD79" s="39" t="str">
        <f t="shared" si="17"/>
        <v>Arriba del promedio</v>
      </c>
      <c r="AE79" s="34" t="s">
        <v>172</v>
      </c>
      <c r="AF79" s="34" t="s">
        <v>172</v>
      </c>
      <c r="AG79" s="34" t="s">
        <v>172</v>
      </c>
    </row>
    <row r="80" spans="1:33" ht="15.75" x14ac:dyDescent="0.25">
      <c r="A80" s="1">
        <v>77</v>
      </c>
      <c r="B80" t="s">
        <v>113</v>
      </c>
      <c r="C80" s="95">
        <v>5</v>
      </c>
      <c r="D80" s="1" t="s">
        <v>7</v>
      </c>
      <c r="E80" s="1">
        <v>2</v>
      </c>
      <c r="F80" s="2">
        <v>40719</v>
      </c>
      <c r="G80" s="2">
        <v>44375</v>
      </c>
      <c r="H80" s="8">
        <f t="shared" si="19"/>
        <v>10</v>
      </c>
      <c r="I80" s="8">
        <f t="shared" si="11"/>
        <v>120</v>
      </c>
      <c r="J80" s="1">
        <v>29.5</v>
      </c>
      <c r="K80" s="1">
        <v>1.32</v>
      </c>
      <c r="L80" s="1">
        <f t="shared" si="12"/>
        <v>132</v>
      </c>
      <c r="M80" s="1">
        <v>70</v>
      </c>
      <c r="N80" s="1">
        <f t="shared" si="13"/>
        <v>46.969696969696969</v>
      </c>
      <c r="O80" s="1">
        <v>0</v>
      </c>
      <c r="P80" s="1">
        <v>58.5</v>
      </c>
      <c r="Q80" s="5">
        <f t="shared" si="14"/>
        <v>16.930670339761246</v>
      </c>
      <c r="R80" s="34"/>
      <c r="S80" s="91">
        <v>-1.0374602387301779</v>
      </c>
      <c r="T80" s="91">
        <v>14.976070848861491</v>
      </c>
      <c r="U80" s="39" t="str">
        <f t="shared" si="15"/>
        <v>Normal</v>
      </c>
      <c r="V80" s="91">
        <v>-1.0688419437473771</v>
      </c>
      <c r="W80" s="91">
        <v>14.257044790684612</v>
      </c>
      <c r="X80" s="40" t="str">
        <f t="shared" si="16"/>
        <v>Normal</v>
      </c>
      <c r="Y80" s="155">
        <v>0.15161743379732925</v>
      </c>
      <c r="Z80" s="91">
        <v>56.02556589009442</v>
      </c>
      <c r="AA80" s="39" t="str">
        <f t="shared" si="18"/>
        <v>Normal</v>
      </c>
      <c r="AB80" s="36">
        <v>-3.2835857901016473E-2</v>
      </c>
      <c r="AC80" s="36">
        <v>48.690274157560246</v>
      </c>
      <c r="AD80" s="39" t="str">
        <f t="shared" si="17"/>
        <v>Normal</v>
      </c>
      <c r="AE80" s="34" t="s">
        <v>172</v>
      </c>
      <c r="AF80" s="34" t="s">
        <v>172</v>
      </c>
      <c r="AG80" s="34" t="s">
        <v>172</v>
      </c>
    </row>
    <row r="81" spans="1:33" ht="15.75" x14ac:dyDescent="0.25">
      <c r="A81" s="1">
        <v>78</v>
      </c>
      <c r="B81" t="s">
        <v>114</v>
      </c>
      <c r="C81" s="95">
        <v>5</v>
      </c>
      <c r="D81" s="1" t="s">
        <v>7</v>
      </c>
      <c r="E81" s="1">
        <v>1</v>
      </c>
      <c r="F81" s="2">
        <v>40884</v>
      </c>
      <c r="G81" s="2">
        <v>44375</v>
      </c>
      <c r="H81" s="8">
        <f t="shared" si="19"/>
        <v>9</v>
      </c>
      <c r="I81" s="8">
        <f t="shared" si="11"/>
        <v>114</v>
      </c>
      <c r="J81" s="1">
        <v>32.799999999999997</v>
      </c>
      <c r="K81" s="1">
        <v>1.31</v>
      </c>
      <c r="L81" s="1">
        <f t="shared" si="12"/>
        <v>131</v>
      </c>
      <c r="M81" s="1">
        <v>69</v>
      </c>
      <c r="N81" s="1">
        <f t="shared" si="13"/>
        <v>47.328244274809158</v>
      </c>
      <c r="O81" s="1">
        <v>0</v>
      </c>
      <c r="P81" s="1">
        <v>72.2</v>
      </c>
      <c r="Q81" s="5">
        <f t="shared" si="14"/>
        <v>19.113105296894116</v>
      </c>
      <c r="R81" s="34"/>
      <c r="S81" s="91">
        <v>-0.67530604661284566</v>
      </c>
      <c r="T81" s="91">
        <v>24.974067154873342</v>
      </c>
      <c r="U81" s="39" t="str">
        <f t="shared" si="15"/>
        <v>Normal</v>
      </c>
      <c r="V81" s="91">
        <v>-0.60980687437841041</v>
      </c>
      <c r="W81" s="91">
        <v>27.099487359155926</v>
      </c>
      <c r="X81" s="40" t="str">
        <f t="shared" si="16"/>
        <v>Normal</v>
      </c>
      <c r="Y81" s="155">
        <v>1.3846671605389729</v>
      </c>
      <c r="Z81" s="91">
        <v>91.692286749841983</v>
      </c>
      <c r="AA81" s="39" t="str">
        <f t="shared" si="18"/>
        <v>Obesidad</v>
      </c>
      <c r="AB81" s="36">
        <v>1.3278148402437822</v>
      </c>
      <c r="AC81" s="36">
        <v>90.788035843146034</v>
      </c>
      <c r="AD81" s="39" t="str">
        <f t="shared" si="17"/>
        <v>Arriba del promedio</v>
      </c>
      <c r="AE81" s="34" t="s">
        <v>172</v>
      </c>
      <c r="AF81" s="34" t="s">
        <v>172</v>
      </c>
      <c r="AG81" s="34" t="s">
        <v>172</v>
      </c>
    </row>
    <row r="82" spans="1:33" ht="15.75" x14ac:dyDescent="0.25">
      <c r="A82" s="1">
        <v>79</v>
      </c>
      <c r="B82" t="s">
        <v>115</v>
      </c>
      <c r="C82" s="95">
        <v>5</v>
      </c>
      <c r="D82" s="1" t="s">
        <v>7</v>
      </c>
      <c r="E82" s="1">
        <v>1</v>
      </c>
      <c r="F82" s="2">
        <v>40786</v>
      </c>
      <c r="G82" s="2">
        <v>44375</v>
      </c>
      <c r="H82" s="8">
        <f t="shared" si="19"/>
        <v>9</v>
      </c>
      <c r="I82" s="8">
        <f t="shared" si="11"/>
        <v>117</v>
      </c>
      <c r="J82" s="1">
        <v>20.5</v>
      </c>
      <c r="K82" s="1">
        <v>1.25</v>
      </c>
      <c r="L82" s="1">
        <f t="shared" si="12"/>
        <v>125</v>
      </c>
      <c r="M82" s="1">
        <v>67.5</v>
      </c>
      <c r="N82" s="1">
        <f t="shared" si="13"/>
        <v>46</v>
      </c>
      <c r="O82" s="1">
        <v>0</v>
      </c>
      <c r="P82" s="1">
        <v>51.5</v>
      </c>
      <c r="Q82" s="5">
        <f t="shared" si="14"/>
        <v>13.12</v>
      </c>
      <c r="R82" s="34"/>
      <c r="S82" s="91">
        <v>-1.827418536735897</v>
      </c>
      <c r="T82" s="91">
        <v>3.3818432171539152</v>
      </c>
      <c r="U82" s="39" t="str">
        <f t="shared" si="15"/>
        <v>Desnutricion</v>
      </c>
      <c r="V82" s="91">
        <v>-1.5022107983278059</v>
      </c>
      <c r="W82" s="91">
        <v>6.652133846872041</v>
      </c>
      <c r="X82" s="40" t="str">
        <f t="shared" si="16"/>
        <v>Normal</v>
      </c>
      <c r="Y82" s="155">
        <v>-2.551028872863017</v>
      </c>
      <c r="Z82" s="91">
        <v>0.53702713764330279</v>
      </c>
      <c r="AA82" s="39" t="str">
        <f t="shared" si="18"/>
        <v>Desnutricion</v>
      </c>
      <c r="AB82" s="36">
        <v>-0.91706375098856729</v>
      </c>
      <c r="AC82" s="36">
        <v>17.955461732691333</v>
      </c>
      <c r="AD82" s="39" t="str">
        <f t="shared" si="17"/>
        <v>Normal</v>
      </c>
      <c r="AE82" s="34" t="s">
        <v>172</v>
      </c>
      <c r="AF82" s="34" t="s">
        <v>172</v>
      </c>
      <c r="AG82" s="34" t="s">
        <v>172</v>
      </c>
    </row>
    <row r="83" spans="1:33" ht="15.75" x14ac:dyDescent="0.25">
      <c r="A83" s="1">
        <v>80</v>
      </c>
      <c r="B83" t="s">
        <v>116</v>
      </c>
      <c r="C83" s="95">
        <v>5</v>
      </c>
      <c r="D83" s="1" t="s">
        <v>7</v>
      </c>
      <c r="E83" s="1">
        <v>1</v>
      </c>
      <c r="F83" s="2">
        <v>41027</v>
      </c>
      <c r="G83" s="2">
        <v>44375</v>
      </c>
      <c r="H83" s="8">
        <f t="shared" si="19"/>
        <v>9</v>
      </c>
      <c r="I83" s="8">
        <f t="shared" si="11"/>
        <v>110</v>
      </c>
      <c r="J83" s="1">
        <v>40.299999999999997</v>
      </c>
      <c r="K83" s="1">
        <v>1.37</v>
      </c>
      <c r="L83" s="1">
        <f t="shared" si="12"/>
        <v>137</v>
      </c>
      <c r="M83" s="1">
        <v>72.2</v>
      </c>
      <c r="N83" s="1">
        <f t="shared" si="13"/>
        <v>47.299270072992698</v>
      </c>
      <c r="O83" s="1">
        <v>0</v>
      </c>
      <c r="P83" s="1">
        <v>71</v>
      </c>
      <c r="Q83" s="5">
        <f t="shared" si="14"/>
        <v>21.471575470190203</v>
      </c>
      <c r="R83" s="34"/>
      <c r="S83" s="91">
        <v>0.58614764908050099</v>
      </c>
      <c r="T83" s="91">
        <v>72.111185089987202</v>
      </c>
      <c r="U83" s="39" t="str">
        <f t="shared" si="15"/>
        <v>Normal</v>
      </c>
      <c r="V83" s="91">
        <v>-0.62897980339309778</v>
      </c>
      <c r="W83" s="91">
        <v>26.468113928521209</v>
      </c>
      <c r="X83" s="40" t="str">
        <f t="shared" si="16"/>
        <v>Normal</v>
      </c>
      <c r="Y83" s="155">
        <v>2.2589949855612539</v>
      </c>
      <c r="Z83" s="91">
        <v>98.805815160130422</v>
      </c>
      <c r="AA83" s="39" t="str">
        <f t="shared" si="18"/>
        <v>Obesidad</v>
      </c>
      <c r="AB83" s="36">
        <v>1.2326173420455708</v>
      </c>
      <c r="AC83" s="36">
        <v>89.114071816314606</v>
      </c>
      <c r="AD83" s="39" t="str">
        <f t="shared" si="17"/>
        <v>Arriba del promedio</v>
      </c>
      <c r="AE83" s="34" t="s">
        <v>172</v>
      </c>
      <c r="AF83" s="34" t="s">
        <v>172</v>
      </c>
      <c r="AG83" s="34" t="s">
        <v>172</v>
      </c>
    </row>
    <row r="84" spans="1:33" ht="15.75" x14ac:dyDescent="0.25">
      <c r="A84" s="1">
        <v>81</v>
      </c>
      <c r="B84" t="s">
        <v>117</v>
      </c>
      <c r="C84" s="1">
        <v>6</v>
      </c>
      <c r="D84" s="1" t="s">
        <v>7</v>
      </c>
      <c r="E84" s="1">
        <v>2</v>
      </c>
      <c r="F84" s="2">
        <v>40512</v>
      </c>
      <c r="G84" s="2">
        <v>44375</v>
      </c>
      <c r="H84" s="8">
        <f t="shared" si="19"/>
        <v>10</v>
      </c>
      <c r="I84" s="8">
        <f t="shared" si="11"/>
        <v>126</v>
      </c>
      <c r="J84" s="1">
        <v>55.8</v>
      </c>
      <c r="K84" s="1">
        <v>1.44</v>
      </c>
      <c r="L84" s="1">
        <f t="shared" si="12"/>
        <v>144</v>
      </c>
      <c r="M84" s="1">
        <v>78</v>
      </c>
      <c r="N84" s="1">
        <f t="shared" si="13"/>
        <v>45.833333333333329</v>
      </c>
      <c r="O84" s="1">
        <v>0</v>
      </c>
      <c r="P84" s="1">
        <v>75</v>
      </c>
      <c r="Q84" s="5">
        <f t="shared" si="14"/>
        <v>26.909722222222221</v>
      </c>
      <c r="R84" s="34"/>
      <c r="S84" s="91">
        <v>0.33873909965141619</v>
      </c>
      <c r="T84" s="91">
        <v>63.259685853906532</v>
      </c>
      <c r="U84" s="39" t="str">
        <f t="shared" si="15"/>
        <v>Normal</v>
      </c>
      <c r="V84" s="91">
        <v>-1.8616612613831642</v>
      </c>
      <c r="W84" s="91">
        <v>3.1325426126525842</v>
      </c>
      <c r="X84" s="40" t="str">
        <f t="shared" si="16"/>
        <v>Piernas cortas</v>
      </c>
      <c r="Y84" s="155">
        <v>2.6801923854840357</v>
      </c>
      <c r="Z84" s="91">
        <v>99.63210070964746</v>
      </c>
      <c r="AA84" s="39" t="str">
        <f t="shared" si="18"/>
        <v>Obesidad</v>
      </c>
      <c r="AB84" s="36">
        <v>1.4184836472016547</v>
      </c>
      <c r="AC84" s="36">
        <v>92.197519517505697</v>
      </c>
      <c r="AD84" s="39" t="str">
        <f t="shared" si="17"/>
        <v>Arriba del promedio</v>
      </c>
      <c r="AE84" s="34" t="s">
        <v>172</v>
      </c>
      <c r="AF84" s="34" t="s">
        <v>172</v>
      </c>
      <c r="AG84" s="34" t="s">
        <v>172</v>
      </c>
    </row>
    <row r="85" spans="1:33" ht="15.75" x14ac:dyDescent="0.25">
      <c r="A85" s="1">
        <v>82</v>
      </c>
      <c r="B85" t="s">
        <v>118</v>
      </c>
      <c r="C85" s="95">
        <v>6</v>
      </c>
      <c r="D85" s="1" t="s">
        <v>7</v>
      </c>
      <c r="E85" s="1">
        <v>1</v>
      </c>
      <c r="F85" s="2">
        <v>40468</v>
      </c>
      <c r="G85" s="2">
        <v>44375</v>
      </c>
      <c r="H85" s="8">
        <f t="shared" si="19"/>
        <v>10</v>
      </c>
      <c r="I85" s="8">
        <f t="shared" si="11"/>
        <v>128</v>
      </c>
      <c r="J85" s="1">
        <v>43</v>
      </c>
      <c r="K85" s="1">
        <v>1.37</v>
      </c>
      <c r="L85" s="1">
        <f t="shared" si="12"/>
        <v>137</v>
      </c>
      <c r="M85" s="1">
        <v>75</v>
      </c>
      <c r="N85" s="1">
        <f t="shared" si="13"/>
        <v>45.255474452554743</v>
      </c>
      <c r="O85" s="1">
        <v>0</v>
      </c>
      <c r="P85" s="1">
        <v>72</v>
      </c>
      <c r="Q85" s="5">
        <f t="shared" si="14"/>
        <v>22.91011774734935</v>
      </c>
      <c r="R85" s="34"/>
      <c r="S85" s="91">
        <v>-0.64818258459662226</v>
      </c>
      <c r="T85" s="91">
        <v>25.843343226295957</v>
      </c>
      <c r="U85" s="39" t="str">
        <f t="shared" si="15"/>
        <v>Normal</v>
      </c>
      <c r="V85" s="91">
        <v>-2.3212804092440957</v>
      </c>
      <c r="W85" s="91">
        <v>1.0135857429550306</v>
      </c>
      <c r="X85" s="40" t="str">
        <f t="shared" si="16"/>
        <v>Piernas cortas</v>
      </c>
      <c r="Y85" s="155">
        <v>2.1980416984683071</v>
      </c>
      <c r="Z85" s="91">
        <v>98.602693271898247</v>
      </c>
      <c r="AA85" s="39" t="str">
        <f t="shared" si="18"/>
        <v>Obesidad</v>
      </c>
      <c r="AB85" s="36">
        <v>1.0680234383650904</v>
      </c>
      <c r="AC85" s="36">
        <v>85.724503036290528</v>
      </c>
      <c r="AD85" s="39" t="str">
        <f t="shared" si="17"/>
        <v>Arriba del promedio</v>
      </c>
      <c r="AE85" s="34" t="s">
        <v>172</v>
      </c>
      <c r="AF85" s="34" t="s">
        <v>172</v>
      </c>
      <c r="AG85" s="34" t="s">
        <v>172</v>
      </c>
    </row>
    <row r="86" spans="1:33" ht="15.75" x14ac:dyDescent="0.25">
      <c r="A86" s="1">
        <v>83</v>
      </c>
      <c r="B86" t="s">
        <v>119</v>
      </c>
      <c r="C86" s="95">
        <v>6</v>
      </c>
      <c r="D86" s="1" t="s">
        <v>7</v>
      </c>
      <c r="E86" s="1">
        <v>1</v>
      </c>
      <c r="F86" s="2">
        <v>40253</v>
      </c>
      <c r="G86" s="2">
        <v>44375</v>
      </c>
      <c r="H86" s="8">
        <f t="shared" si="19"/>
        <v>11</v>
      </c>
      <c r="I86" s="8">
        <f t="shared" si="11"/>
        <v>135</v>
      </c>
      <c r="J86" s="1">
        <v>39.799999999999997</v>
      </c>
      <c r="K86" s="1">
        <v>1.42</v>
      </c>
      <c r="L86" s="1">
        <f t="shared" si="12"/>
        <v>142</v>
      </c>
      <c r="M86" s="1">
        <f>116-40</f>
        <v>76</v>
      </c>
      <c r="N86" s="1">
        <f t="shared" si="13"/>
        <v>46.478873239436616</v>
      </c>
      <c r="O86" s="1">
        <v>0</v>
      </c>
      <c r="P86" s="1">
        <v>62</v>
      </c>
      <c r="Q86" s="5">
        <f t="shared" si="14"/>
        <v>19.738147193017259</v>
      </c>
      <c r="R86" s="34"/>
      <c r="S86" s="91">
        <v>-0.37060184615518021</v>
      </c>
      <c r="T86" s="91">
        <v>35.54670534021561</v>
      </c>
      <c r="U86" s="39" t="str">
        <f t="shared" si="15"/>
        <v>Normal</v>
      </c>
      <c r="V86" s="91">
        <v>-1.7028598068944383</v>
      </c>
      <c r="W86" s="91">
        <v>4.4297153668650084</v>
      </c>
      <c r="X86" s="40" t="str">
        <f t="shared" si="16"/>
        <v>Piernas cortas</v>
      </c>
      <c r="Y86" s="155">
        <v>1.1397152934624988</v>
      </c>
      <c r="Z86" s="91">
        <v>87.279753322288784</v>
      </c>
      <c r="AA86" s="39" t="str">
        <f t="shared" si="18"/>
        <v>Obesidad</v>
      </c>
      <c r="AB86" s="42">
        <v>-7.9560164840621145E-2</v>
      </c>
      <c r="AC86" s="42">
        <v>46.82935392962743</v>
      </c>
      <c r="AD86" s="39" t="str">
        <f t="shared" si="17"/>
        <v>Normal</v>
      </c>
      <c r="AE86" s="34" t="s">
        <v>172</v>
      </c>
      <c r="AF86" s="34" t="s">
        <v>172</v>
      </c>
      <c r="AG86" s="34" t="s">
        <v>172</v>
      </c>
    </row>
    <row r="87" spans="1:33" ht="15.75" x14ac:dyDescent="0.25">
      <c r="A87" s="1">
        <v>84</v>
      </c>
      <c r="B87" t="s">
        <v>120</v>
      </c>
      <c r="C87" s="95">
        <v>6</v>
      </c>
      <c r="D87" s="1" t="s">
        <v>7</v>
      </c>
      <c r="E87" s="1">
        <v>1</v>
      </c>
      <c r="F87" s="2">
        <v>39973</v>
      </c>
      <c r="G87" s="2">
        <v>44375</v>
      </c>
      <c r="H87" s="8">
        <f t="shared" si="19"/>
        <v>12</v>
      </c>
      <c r="I87" s="8">
        <f t="shared" si="11"/>
        <v>144</v>
      </c>
      <c r="J87" s="1">
        <v>36</v>
      </c>
      <c r="K87" s="1">
        <v>1.45</v>
      </c>
      <c r="L87" s="1">
        <f t="shared" si="12"/>
        <v>145</v>
      </c>
      <c r="M87" s="1">
        <f>114-40</f>
        <v>74</v>
      </c>
      <c r="N87" s="1">
        <f t="shared" si="13"/>
        <v>48.96551724137931</v>
      </c>
      <c r="O87" s="1">
        <v>0</v>
      </c>
      <c r="P87" s="1">
        <v>66</v>
      </c>
      <c r="Q87" s="5">
        <f t="shared" si="14"/>
        <v>17.122473246135552</v>
      </c>
      <c r="R87" s="34"/>
      <c r="S87" s="91">
        <v>-0.57589781451402888</v>
      </c>
      <c r="T87" s="91">
        <v>28.234212646113733</v>
      </c>
      <c r="U87" s="39" t="str">
        <f t="shared" si="15"/>
        <v>Normal</v>
      </c>
      <c r="V87" s="91">
        <v>-0.10501714557312657</v>
      </c>
      <c r="W87" s="91">
        <v>45.818110187465891</v>
      </c>
      <c r="X87" s="40" t="str">
        <f t="shared" si="16"/>
        <v>Normal</v>
      </c>
      <c r="Y87" s="155">
        <v>-0.21022461655655975</v>
      </c>
      <c r="Z87" s="91">
        <v>41.674618379881224</v>
      </c>
      <c r="AA87" s="39" t="str">
        <f t="shared" si="18"/>
        <v>Normal</v>
      </c>
      <c r="AB87" s="36">
        <v>0.11795848647283981</v>
      </c>
      <c r="AC87" s="36">
        <v>54.69497244176091</v>
      </c>
      <c r="AD87" s="39" t="str">
        <f t="shared" si="17"/>
        <v>Normal</v>
      </c>
      <c r="AE87" s="34" t="s">
        <v>172</v>
      </c>
      <c r="AF87" s="34" t="s">
        <v>172</v>
      </c>
      <c r="AG87" s="34" t="s">
        <v>172</v>
      </c>
    </row>
    <row r="88" spans="1:33" ht="15.75" x14ac:dyDescent="0.25">
      <c r="A88" s="1">
        <v>85</v>
      </c>
      <c r="B88" t="s">
        <v>121</v>
      </c>
      <c r="C88" s="95">
        <v>6</v>
      </c>
      <c r="D88" s="1" t="s">
        <v>7</v>
      </c>
      <c r="E88" s="1">
        <v>2</v>
      </c>
      <c r="F88" s="2">
        <v>40484</v>
      </c>
      <c r="G88" s="2">
        <v>44375</v>
      </c>
      <c r="H88" s="8">
        <f t="shared" si="19"/>
        <v>10</v>
      </c>
      <c r="I88" s="8">
        <f t="shared" si="11"/>
        <v>127</v>
      </c>
      <c r="J88" s="1">
        <v>34.700000000000003</v>
      </c>
      <c r="K88" s="1">
        <v>1.41</v>
      </c>
      <c r="L88" s="1">
        <f t="shared" si="12"/>
        <v>141</v>
      </c>
      <c r="M88" s="1">
        <f>115.5-40</f>
        <v>75.5</v>
      </c>
      <c r="N88" s="1">
        <f t="shared" si="13"/>
        <v>46.453900709219859</v>
      </c>
      <c r="O88" s="1">
        <v>0</v>
      </c>
      <c r="P88" s="1">
        <v>59.5</v>
      </c>
      <c r="Q88" s="5">
        <f t="shared" si="14"/>
        <v>17.453850409939143</v>
      </c>
      <c r="R88" s="34"/>
      <c r="S88" s="91">
        <v>-0.20171848384685195</v>
      </c>
      <c r="T88" s="91">
        <v>42.006840580752289</v>
      </c>
      <c r="U88" s="39" t="str">
        <f t="shared" si="15"/>
        <v>Normal</v>
      </c>
      <c r="V88" s="91">
        <v>-1.4261119270313301</v>
      </c>
      <c r="W88" s="91">
        <v>7.6918018270212816</v>
      </c>
      <c r="X88" s="40" t="str">
        <f t="shared" si="16"/>
        <v>Normal</v>
      </c>
      <c r="Y88" s="155">
        <v>0.22054200271326085</v>
      </c>
      <c r="Z88" s="91">
        <v>58.72754679488893</v>
      </c>
      <c r="AA88" s="39" t="str">
        <f t="shared" si="18"/>
        <v>Normal</v>
      </c>
      <c r="AB88" s="36">
        <v>7.898835917700997E-2</v>
      </c>
      <c r="AC88" s="36">
        <v>53.147905891809359</v>
      </c>
      <c r="AD88" s="39" t="str">
        <f t="shared" si="17"/>
        <v>Normal</v>
      </c>
      <c r="AE88" s="34" t="s">
        <v>172</v>
      </c>
      <c r="AF88" s="34" t="s">
        <v>172</v>
      </c>
      <c r="AG88" s="34" t="s">
        <v>172</v>
      </c>
    </row>
    <row r="89" spans="1:33" ht="15.75" x14ac:dyDescent="0.25">
      <c r="A89" s="1">
        <v>86</v>
      </c>
      <c r="B89" t="s">
        <v>122</v>
      </c>
      <c r="C89" s="95">
        <v>6</v>
      </c>
      <c r="D89" s="1" t="s">
        <v>7</v>
      </c>
      <c r="E89" s="1">
        <v>2</v>
      </c>
      <c r="F89" s="2">
        <v>40390</v>
      </c>
      <c r="G89" s="2">
        <v>44375</v>
      </c>
      <c r="H89" s="8">
        <f t="shared" si="19"/>
        <v>10</v>
      </c>
      <c r="I89" s="8">
        <f t="shared" si="11"/>
        <v>130</v>
      </c>
      <c r="J89" s="1">
        <v>47.8</v>
      </c>
      <c r="K89" s="1">
        <v>1.36</v>
      </c>
      <c r="L89" s="1">
        <f t="shared" si="12"/>
        <v>136</v>
      </c>
      <c r="M89" s="1">
        <f>116-40</f>
        <v>76</v>
      </c>
      <c r="N89" s="1">
        <f t="shared" si="13"/>
        <v>44.117647058823529</v>
      </c>
      <c r="O89" s="1">
        <v>0</v>
      </c>
      <c r="P89" s="1">
        <v>77</v>
      </c>
      <c r="Q89" s="5">
        <f t="shared" si="14"/>
        <v>25.843425605536325</v>
      </c>
      <c r="R89" s="34"/>
      <c r="S89" s="91">
        <v>-1.198976636406976</v>
      </c>
      <c r="T89" s="91">
        <v>11.526851519538882</v>
      </c>
      <c r="U89" s="39" t="str">
        <f t="shared" si="15"/>
        <v>Normal</v>
      </c>
      <c r="V89" s="91">
        <v>-3.0997118580812608</v>
      </c>
      <c r="W89" s="91">
        <v>9.6854494124828855E-2</v>
      </c>
      <c r="X89" s="40" t="str">
        <f t="shared" si="16"/>
        <v>Piernas cortas</v>
      </c>
      <c r="Y89" s="155">
        <v>2.4348292119615613</v>
      </c>
      <c r="Z89" s="91">
        <v>99.255059000660907</v>
      </c>
      <c r="AA89" s="39" t="str">
        <f t="shared" si="18"/>
        <v>Obesidad</v>
      </c>
      <c r="AB89" s="36">
        <v>1.5506675471186198</v>
      </c>
      <c r="AC89" s="36">
        <v>93.950931222322041</v>
      </c>
      <c r="AD89" s="39" t="str">
        <f t="shared" si="17"/>
        <v>Arriba del promedio</v>
      </c>
      <c r="AE89" s="34" t="s">
        <v>172</v>
      </c>
      <c r="AF89" s="34" t="s">
        <v>172</v>
      </c>
      <c r="AG89" s="34" t="s">
        <v>172</v>
      </c>
    </row>
    <row r="90" spans="1:33" ht="15.75" x14ac:dyDescent="0.25">
      <c r="A90" s="1">
        <v>87</v>
      </c>
      <c r="B90" t="s">
        <v>123</v>
      </c>
      <c r="C90" s="95">
        <v>6</v>
      </c>
      <c r="D90" s="1" t="s">
        <v>7</v>
      </c>
      <c r="E90" s="1">
        <v>2</v>
      </c>
      <c r="F90" s="2">
        <v>40243</v>
      </c>
      <c r="G90" s="2">
        <v>44375</v>
      </c>
      <c r="H90" s="8">
        <f t="shared" si="19"/>
        <v>11</v>
      </c>
      <c r="I90" s="8">
        <f t="shared" si="11"/>
        <v>135</v>
      </c>
      <c r="J90" s="1">
        <v>48.5</v>
      </c>
      <c r="K90" s="1">
        <v>1.41</v>
      </c>
      <c r="L90" s="1">
        <f t="shared" si="12"/>
        <v>141</v>
      </c>
      <c r="M90" s="1">
        <f>116.5-40</f>
        <v>76.5</v>
      </c>
      <c r="N90" s="1">
        <f t="shared" si="13"/>
        <v>45.744680851063826</v>
      </c>
      <c r="O90" s="1">
        <v>0</v>
      </c>
      <c r="P90" s="1">
        <v>76.5</v>
      </c>
      <c r="Q90" s="5">
        <f t="shared" si="14"/>
        <v>24.395151149338567</v>
      </c>
      <c r="R90" s="34"/>
      <c r="S90" s="91">
        <v>-0.83498212356341395</v>
      </c>
      <c r="T90" s="91">
        <v>20.186388680691998</v>
      </c>
      <c r="U90" s="39" t="str">
        <f t="shared" si="15"/>
        <v>Normal</v>
      </c>
      <c r="V90" s="91">
        <v>-1.952063906824145</v>
      </c>
      <c r="W90" s="91">
        <v>2.5465308866290632</v>
      </c>
      <c r="X90" s="40" t="str">
        <f t="shared" si="16"/>
        <v>Piernas cortas</v>
      </c>
      <c r="Y90" s="155">
        <v>2.0731558125107981</v>
      </c>
      <c r="Z90" s="91">
        <v>98.092110940108924</v>
      </c>
      <c r="AA90" s="39" t="str">
        <f t="shared" si="18"/>
        <v>Obesidad</v>
      </c>
      <c r="AB90" s="36">
        <v>1.2397933765910933</v>
      </c>
      <c r="AC90" s="36">
        <v>89.247408565858663</v>
      </c>
      <c r="AD90" s="39" t="str">
        <f t="shared" si="17"/>
        <v>Arriba del promedio</v>
      </c>
      <c r="AE90" s="34" t="s">
        <v>172</v>
      </c>
      <c r="AF90" s="34" t="s">
        <v>172</v>
      </c>
      <c r="AG90" s="34" t="s">
        <v>172</v>
      </c>
    </row>
    <row r="91" spans="1:33" ht="15.75" x14ac:dyDescent="0.25">
      <c r="A91" s="1">
        <v>88</v>
      </c>
      <c r="B91" t="s">
        <v>124</v>
      </c>
      <c r="C91" s="95">
        <v>6</v>
      </c>
      <c r="D91" s="1" t="s">
        <v>7</v>
      </c>
      <c r="E91" s="1">
        <v>2</v>
      </c>
      <c r="F91" s="2">
        <v>40406</v>
      </c>
      <c r="G91" s="2">
        <v>44375</v>
      </c>
      <c r="H91" s="8">
        <f t="shared" si="19"/>
        <v>10</v>
      </c>
      <c r="I91" s="8">
        <f t="shared" si="11"/>
        <v>130</v>
      </c>
      <c r="J91" s="1">
        <v>43.5</v>
      </c>
      <c r="K91" s="1">
        <v>1.36</v>
      </c>
      <c r="L91" s="1">
        <f t="shared" si="12"/>
        <v>136</v>
      </c>
      <c r="M91" s="1">
        <f>113-40</f>
        <v>73</v>
      </c>
      <c r="N91" s="1">
        <f t="shared" si="13"/>
        <v>46.32352941176471</v>
      </c>
      <c r="O91" s="1">
        <v>0</v>
      </c>
      <c r="P91" s="1">
        <v>74</v>
      </c>
      <c r="Q91" s="5">
        <f t="shared" si="14"/>
        <v>23.51859861591695</v>
      </c>
      <c r="R91" s="34"/>
      <c r="S91" s="91">
        <v>-1.198976636406976</v>
      </c>
      <c r="T91" s="91">
        <v>11.526851519538882</v>
      </c>
      <c r="U91" s="39" t="str">
        <f t="shared" si="15"/>
        <v>Normal</v>
      </c>
      <c r="V91" s="91">
        <v>-1.5170915275475589</v>
      </c>
      <c r="W91" s="91">
        <v>6.4621788526224009</v>
      </c>
      <c r="X91" s="40" t="str">
        <f t="shared" si="16"/>
        <v>Normal</v>
      </c>
      <c r="Y91" s="155">
        <v>1.998688636856961</v>
      </c>
      <c r="Z91" s="91">
        <v>97.717897338056389</v>
      </c>
      <c r="AA91" s="39" t="str">
        <f t="shared" si="18"/>
        <v>Obesidad</v>
      </c>
      <c r="AB91" s="36">
        <v>1.3496066819942549</v>
      </c>
      <c r="AC91" s="36">
        <v>91.142891016326999</v>
      </c>
      <c r="AD91" s="39" t="str">
        <f t="shared" si="17"/>
        <v>Arriba del promedio</v>
      </c>
      <c r="AE91" s="34" t="s">
        <v>172</v>
      </c>
      <c r="AF91" s="34" t="s">
        <v>172</v>
      </c>
      <c r="AG91" s="34" t="s">
        <v>172</v>
      </c>
    </row>
    <row r="92" spans="1:33" ht="15.75" x14ac:dyDescent="0.25">
      <c r="A92" s="1">
        <v>89</v>
      </c>
      <c r="B92" t="s">
        <v>125</v>
      </c>
      <c r="C92" s="95">
        <v>6</v>
      </c>
      <c r="D92" s="1" t="s">
        <v>7</v>
      </c>
      <c r="E92" s="1">
        <v>2</v>
      </c>
      <c r="F92" s="2">
        <v>40287</v>
      </c>
      <c r="G92" s="2">
        <v>44375</v>
      </c>
      <c r="H92" s="8">
        <f t="shared" si="19"/>
        <v>11</v>
      </c>
      <c r="I92" s="8">
        <f t="shared" si="11"/>
        <v>134</v>
      </c>
      <c r="J92" s="1">
        <v>45.1</v>
      </c>
      <c r="K92" s="1">
        <v>1.43</v>
      </c>
      <c r="L92" s="1">
        <f t="shared" si="12"/>
        <v>143</v>
      </c>
      <c r="M92" s="1">
        <f>115-40</f>
        <v>75</v>
      </c>
      <c r="N92" s="1">
        <f t="shared" si="13"/>
        <v>47.552447552447553</v>
      </c>
      <c r="O92" s="1">
        <v>0</v>
      </c>
      <c r="P92" s="1">
        <v>78.5</v>
      </c>
      <c r="Q92" s="5">
        <f t="shared" si="14"/>
        <v>22.054868208714367</v>
      </c>
      <c r="R92" s="34"/>
      <c r="S92" s="91">
        <v>-0.45815211802715605</v>
      </c>
      <c r="T92" s="91">
        <v>32.342157871454667</v>
      </c>
      <c r="U92" s="39" t="str">
        <f t="shared" si="15"/>
        <v>Normal</v>
      </c>
      <c r="V92" s="91">
        <v>-0.69698182214937254</v>
      </c>
      <c r="W92" s="91">
        <v>24.290708495273076</v>
      </c>
      <c r="X92" s="40" t="str">
        <f t="shared" si="16"/>
        <v>Normal</v>
      </c>
      <c r="Y92" s="155">
        <v>1.5764026975468182</v>
      </c>
      <c r="Z92" s="91">
        <v>94.25334864449411</v>
      </c>
      <c r="AA92" s="39" t="str">
        <f t="shared" si="18"/>
        <v>Obesidad</v>
      </c>
      <c r="AB92" s="36">
        <v>1.3732451792006217</v>
      </c>
      <c r="AC92" s="36">
        <v>91.516193060272627</v>
      </c>
      <c r="AD92" s="39" t="str">
        <f t="shared" si="17"/>
        <v>Arriba del promedio</v>
      </c>
      <c r="AE92" s="34" t="s">
        <v>172</v>
      </c>
      <c r="AF92" s="34" t="s">
        <v>172</v>
      </c>
      <c r="AG92" s="34" t="s">
        <v>172</v>
      </c>
    </row>
    <row r="93" spans="1:33" ht="15.75" x14ac:dyDescent="0.25">
      <c r="A93" s="1">
        <v>90</v>
      </c>
      <c r="B93" t="s">
        <v>126</v>
      </c>
      <c r="C93" s="95">
        <v>6</v>
      </c>
      <c r="D93" s="1" t="s">
        <v>7</v>
      </c>
      <c r="E93" s="1">
        <v>2</v>
      </c>
      <c r="F93" s="2">
        <v>39444</v>
      </c>
      <c r="G93" s="2">
        <v>44375</v>
      </c>
      <c r="H93" s="8">
        <f t="shared" si="19"/>
        <v>13</v>
      </c>
      <c r="I93" s="8">
        <f t="shared" si="11"/>
        <v>162</v>
      </c>
      <c r="J93" s="1">
        <v>33.5</v>
      </c>
      <c r="K93" s="1">
        <v>1.42</v>
      </c>
      <c r="L93" s="1">
        <f t="shared" si="12"/>
        <v>142</v>
      </c>
      <c r="M93" s="1">
        <f>114.5-40</f>
        <v>74.5</v>
      </c>
      <c r="N93" s="1">
        <f t="shared" si="13"/>
        <v>47.535211267605632</v>
      </c>
      <c r="O93" s="1">
        <v>0</v>
      </c>
      <c r="P93" s="1">
        <v>61</v>
      </c>
      <c r="Q93" s="5">
        <f t="shared" si="14"/>
        <v>16.613767109700458</v>
      </c>
      <c r="R93" s="34"/>
      <c r="S93" s="91">
        <v>-2.3444295563811304</v>
      </c>
      <c r="T93" s="91">
        <v>0.95281049565392273</v>
      </c>
      <c r="U93" s="39" t="str">
        <f t="shared" si="15"/>
        <v>Desnutricion</v>
      </c>
      <c r="V93" s="91">
        <v>-0.56871184546472042</v>
      </c>
      <c r="W93" s="91">
        <v>28.477585386290883</v>
      </c>
      <c r="X93" s="40" t="str">
        <f t="shared" si="16"/>
        <v>Normal</v>
      </c>
      <c r="Y93" s="155">
        <v>-1.1666961259913142</v>
      </c>
      <c r="Z93" s="91">
        <v>12.166655393178599</v>
      </c>
      <c r="AA93" s="39" t="str">
        <f t="shared" si="18"/>
        <v>Bajo Peso</v>
      </c>
      <c r="AB93" s="36">
        <v>-0.7302058469612942</v>
      </c>
      <c r="AC93" s="36">
        <v>23.263218455433663</v>
      </c>
      <c r="AD93" s="39" t="str">
        <f t="shared" si="17"/>
        <v>Normal</v>
      </c>
      <c r="AE93" s="34" t="s">
        <v>172</v>
      </c>
      <c r="AF93" s="34" t="s">
        <v>172</v>
      </c>
      <c r="AG93" s="34" t="s">
        <v>172</v>
      </c>
    </row>
    <row r="94" spans="1:33" ht="15.75" x14ac:dyDescent="0.25">
      <c r="A94" s="1">
        <v>91</v>
      </c>
      <c r="B94" t="s">
        <v>127</v>
      </c>
      <c r="C94" s="95">
        <v>6</v>
      </c>
      <c r="D94" s="1" t="s">
        <v>7</v>
      </c>
      <c r="E94" s="1">
        <v>2</v>
      </c>
      <c r="F94" s="2">
        <v>40774</v>
      </c>
      <c r="G94" s="2">
        <v>44375</v>
      </c>
      <c r="H94" s="8">
        <f t="shared" si="19"/>
        <v>9</v>
      </c>
      <c r="I94" s="8">
        <f t="shared" si="11"/>
        <v>118</v>
      </c>
      <c r="J94" s="1">
        <v>23.6</v>
      </c>
      <c r="K94" s="1">
        <v>1.25</v>
      </c>
      <c r="L94" s="1">
        <f t="shared" si="12"/>
        <v>125</v>
      </c>
      <c r="M94" s="1">
        <v>66</v>
      </c>
      <c r="N94" s="1">
        <f t="shared" si="13"/>
        <v>47.199999999999996</v>
      </c>
      <c r="O94" s="1">
        <v>0</v>
      </c>
      <c r="P94" s="1">
        <v>52</v>
      </c>
      <c r="Q94" s="5">
        <f t="shared" si="14"/>
        <v>15.104000000000001</v>
      </c>
      <c r="R94" s="34"/>
      <c r="S94" s="91">
        <v>-1.9835611960074819</v>
      </c>
      <c r="T94" s="91">
        <v>2.3652389322477081</v>
      </c>
      <c r="U94" s="39" t="str">
        <f>IF(S94&lt;-1.645,"Desnutricion",IF(AND(S94&gt;=-1.645,S94&lt;=1.645),"Normal",IF(S94&gt;1.645,"Alto")))</f>
        <v>Desnutricion</v>
      </c>
      <c r="V94" s="91">
        <v>-0.79745879177121537</v>
      </c>
      <c r="W94" s="91">
        <v>21.259231315590046</v>
      </c>
      <c r="X94" s="40" t="str">
        <f t="shared" si="16"/>
        <v>Normal</v>
      </c>
      <c r="Y94" s="155">
        <v>-0.78389234357730542</v>
      </c>
      <c r="Z94" s="91">
        <v>21.655164136086182</v>
      </c>
      <c r="AA94" s="39" t="str">
        <f t="shared" si="18"/>
        <v>Normal</v>
      </c>
      <c r="AB94" s="36">
        <v>-0.49904861735296885</v>
      </c>
      <c r="AC94" s="36">
        <v>30.887256719670788</v>
      </c>
      <c r="AD94" s="39" t="str">
        <f t="shared" si="17"/>
        <v>Normal</v>
      </c>
      <c r="AE94" s="34" t="s">
        <v>172</v>
      </c>
      <c r="AF94" s="34" t="s">
        <v>172</v>
      </c>
      <c r="AG94" s="34" t="s">
        <v>172</v>
      </c>
    </row>
    <row r="95" spans="1:33" ht="15.75" x14ac:dyDescent="0.25">
      <c r="A95" s="1">
        <v>92</v>
      </c>
      <c r="B95" t="s">
        <v>128</v>
      </c>
      <c r="C95" s="95">
        <v>6</v>
      </c>
      <c r="D95" s="1" t="s">
        <v>7</v>
      </c>
      <c r="E95" s="1">
        <v>1</v>
      </c>
      <c r="F95" s="2">
        <v>40356</v>
      </c>
      <c r="G95" s="2">
        <v>44375</v>
      </c>
      <c r="H95" s="8">
        <f t="shared" si="19"/>
        <v>11</v>
      </c>
      <c r="I95" s="8">
        <f t="shared" si="11"/>
        <v>132</v>
      </c>
      <c r="J95" s="1">
        <v>27.2</v>
      </c>
      <c r="K95" s="1">
        <v>1.32</v>
      </c>
      <c r="L95" s="1">
        <f t="shared" si="12"/>
        <v>132</v>
      </c>
      <c r="M95" s="1">
        <v>71</v>
      </c>
      <c r="N95" s="1">
        <f t="shared" si="13"/>
        <v>46.212121212121211</v>
      </c>
      <c r="O95" s="1">
        <v>0</v>
      </c>
      <c r="P95" s="1">
        <v>58</v>
      </c>
      <c r="Q95" s="5">
        <f t="shared" si="14"/>
        <v>15.610651974288336</v>
      </c>
      <c r="R95" s="34"/>
      <c r="S95" s="91">
        <v>-1.6510599072275824</v>
      </c>
      <c r="T95" s="91">
        <v>4.9363171445939198</v>
      </c>
      <c r="U95" s="39" t="str">
        <f t="shared" si="15"/>
        <v>Desnutricion</v>
      </c>
      <c r="V95" s="91">
        <v>-1.8955278690925306</v>
      </c>
      <c r="W95" s="91">
        <v>2.9011251581146995</v>
      </c>
      <c r="X95" s="40" t="str">
        <f t="shared" si="16"/>
        <v>Piernas cortas</v>
      </c>
      <c r="Y95" s="155">
        <v>-0.79435924484653697</v>
      </c>
      <c r="Z95" s="91">
        <v>21.3493161535959</v>
      </c>
      <c r="AA95" s="39" t="str">
        <f t="shared" si="18"/>
        <v>Normal</v>
      </c>
      <c r="AB95" s="36">
        <v>-0.53772437642854487</v>
      </c>
      <c r="AC95" s="36">
        <v>29.538367382664543</v>
      </c>
      <c r="AD95" s="39" t="str">
        <f t="shared" si="17"/>
        <v>Normal</v>
      </c>
      <c r="AE95" s="34" t="s">
        <v>172</v>
      </c>
      <c r="AF95" s="34" t="s">
        <v>172</v>
      </c>
      <c r="AG95" s="34" t="s">
        <v>172</v>
      </c>
    </row>
    <row r="96" spans="1:33" ht="15.75" x14ac:dyDescent="0.25">
      <c r="A96" s="1">
        <v>93</v>
      </c>
      <c r="B96" t="s">
        <v>129</v>
      </c>
      <c r="C96" s="95">
        <v>6</v>
      </c>
      <c r="D96" s="1" t="s">
        <v>7</v>
      </c>
      <c r="E96" s="1">
        <v>2</v>
      </c>
      <c r="F96" s="2">
        <v>40289</v>
      </c>
      <c r="G96" s="2">
        <v>44375</v>
      </c>
      <c r="H96" s="8">
        <f t="shared" si="19"/>
        <v>11</v>
      </c>
      <c r="I96" s="8">
        <f t="shared" si="11"/>
        <v>134</v>
      </c>
      <c r="J96" s="1">
        <v>31.5</v>
      </c>
      <c r="K96" s="1">
        <v>1.38</v>
      </c>
      <c r="L96" s="1">
        <f t="shared" si="12"/>
        <v>138</v>
      </c>
      <c r="M96" s="1">
        <v>71</v>
      </c>
      <c r="N96" s="1">
        <f t="shared" si="13"/>
        <v>48.550724637681157</v>
      </c>
      <c r="O96" s="1">
        <v>0</v>
      </c>
      <c r="P96" s="1">
        <v>58</v>
      </c>
      <c r="Q96" s="5">
        <f t="shared" si="14"/>
        <v>16.540642722117205</v>
      </c>
      <c r="R96" s="34"/>
      <c r="S96" s="91">
        <v>-1.2062288570173549</v>
      </c>
      <c r="T96" s="91">
        <v>11.386463008143716</v>
      </c>
      <c r="U96" s="39" t="str">
        <f t="shared" si="15"/>
        <v>Normal</v>
      </c>
      <c r="V96" s="91">
        <v>-2.6085773593210952E-2</v>
      </c>
      <c r="W96" s="91">
        <v>48.959446211527428</v>
      </c>
      <c r="X96" s="40" t="str">
        <f t="shared" si="16"/>
        <v>Normal</v>
      </c>
      <c r="Y96" s="155">
        <v>-0.39259538367612401</v>
      </c>
      <c r="Z96" s="91">
        <v>34.730917482661852</v>
      </c>
      <c r="AA96" s="39" t="str">
        <f t="shared" si="18"/>
        <v>Normal</v>
      </c>
      <c r="AB96" s="36">
        <v>-0.45148615684467069</v>
      </c>
      <c r="AC96" s="36">
        <v>32.581959999567964</v>
      </c>
      <c r="AD96" s="39" t="str">
        <f t="shared" si="17"/>
        <v>Normal</v>
      </c>
      <c r="AE96" s="34" t="s">
        <v>172</v>
      </c>
      <c r="AF96" s="34" t="s">
        <v>172</v>
      </c>
      <c r="AG96" s="34" t="s">
        <v>172</v>
      </c>
    </row>
    <row r="97" spans="1:33" ht="15.75" x14ac:dyDescent="0.25">
      <c r="A97" s="1">
        <v>94</v>
      </c>
      <c r="B97" t="s">
        <v>130</v>
      </c>
      <c r="C97" s="95">
        <v>6</v>
      </c>
      <c r="D97" s="1" t="s">
        <v>7</v>
      </c>
      <c r="E97" s="1">
        <v>1</v>
      </c>
      <c r="F97" s="2">
        <v>40411</v>
      </c>
      <c r="G97" s="2">
        <v>44375</v>
      </c>
      <c r="H97" s="8">
        <f t="shared" si="19"/>
        <v>10</v>
      </c>
      <c r="I97" s="8">
        <f t="shared" si="11"/>
        <v>130</v>
      </c>
      <c r="J97" s="1">
        <v>34.4</v>
      </c>
      <c r="K97" s="1">
        <v>1.38</v>
      </c>
      <c r="L97" s="1">
        <f t="shared" si="12"/>
        <v>138</v>
      </c>
      <c r="M97" s="1">
        <v>74</v>
      </c>
      <c r="N97" s="1">
        <f t="shared" si="13"/>
        <v>46.376811594202898</v>
      </c>
      <c r="O97" s="1">
        <v>0</v>
      </c>
      <c r="P97" s="1">
        <v>62.5</v>
      </c>
      <c r="Q97" s="5">
        <f t="shared" si="14"/>
        <v>18.063432052089901</v>
      </c>
      <c r="R97" s="34"/>
      <c r="S97" s="91">
        <v>-0.62827226336275266</v>
      </c>
      <c r="T97" s="91">
        <v>26.491279917810751</v>
      </c>
      <c r="U97" s="39" t="str">
        <f t="shared" si="15"/>
        <v>Normal</v>
      </c>
      <c r="V97" s="91">
        <v>-1.5271954753356327</v>
      </c>
      <c r="W97" s="91">
        <v>6.3356205550137421</v>
      </c>
      <c r="X97" s="40" t="str">
        <f t="shared" si="16"/>
        <v>Normal</v>
      </c>
      <c r="Y97" s="155">
        <v>0.59529414505240308</v>
      </c>
      <c r="Z97" s="91">
        <v>72.417656553388923</v>
      </c>
      <c r="AA97" s="39" t="str">
        <f t="shared" si="18"/>
        <v>Normal</v>
      </c>
      <c r="AB97" s="36">
        <v>0.20525847177485107</v>
      </c>
      <c r="AC97" s="36">
        <v>58.131490602533184</v>
      </c>
      <c r="AD97" s="39" t="str">
        <f t="shared" si="17"/>
        <v>Normal</v>
      </c>
      <c r="AE97" s="34" t="s">
        <v>172</v>
      </c>
      <c r="AF97" s="34" t="s">
        <v>172</v>
      </c>
      <c r="AG97" s="34" t="s">
        <v>172</v>
      </c>
    </row>
    <row r="98" spans="1:33" ht="15.75" x14ac:dyDescent="0.25">
      <c r="A98" s="1">
        <v>95</v>
      </c>
      <c r="B98" t="s">
        <v>131</v>
      </c>
      <c r="C98" s="95">
        <v>6</v>
      </c>
      <c r="D98" s="1" t="s">
        <v>7</v>
      </c>
      <c r="E98" s="1">
        <v>2</v>
      </c>
      <c r="F98" s="2">
        <v>40359</v>
      </c>
      <c r="G98" s="2">
        <v>44375</v>
      </c>
      <c r="H98" s="8">
        <f t="shared" si="19"/>
        <v>10</v>
      </c>
      <c r="I98" s="8">
        <f t="shared" si="11"/>
        <v>131</v>
      </c>
      <c r="J98" s="1">
        <v>51.1</v>
      </c>
      <c r="K98" s="1">
        <v>1.45</v>
      </c>
      <c r="L98" s="1">
        <f t="shared" si="12"/>
        <v>145</v>
      </c>
      <c r="M98" s="1">
        <v>77</v>
      </c>
      <c r="N98" s="1">
        <f t="shared" si="13"/>
        <v>46.896551724137929</v>
      </c>
      <c r="O98" s="1">
        <v>0</v>
      </c>
      <c r="P98" s="1">
        <v>79</v>
      </c>
      <c r="Q98" s="5">
        <f t="shared" si="14"/>
        <v>24.304399524375743</v>
      </c>
      <c r="R98" s="34"/>
      <c r="S98" s="91">
        <v>8.1853308580893416E-2</v>
      </c>
      <c r="T98" s="91">
        <v>53.261831793019176</v>
      </c>
      <c r="U98" s="39" t="str">
        <f t="shared" si="15"/>
        <v>Normal</v>
      </c>
      <c r="V98" s="91">
        <v>-1.1192485331017581</v>
      </c>
      <c r="W98" s="91">
        <v>13.151706283697804</v>
      </c>
      <c r="X98" s="40" t="str">
        <f t="shared" si="16"/>
        <v>Normal</v>
      </c>
      <c r="Y98" s="155">
        <v>2.1373003850074279</v>
      </c>
      <c r="Z98" s="91">
        <v>98.371321621369077</v>
      </c>
      <c r="AA98" s="39" t="str">
        <f t="shared" si="18"/>
        <v>Obesidad</v>
      </c>
      <c r="AB98" s="36">
        <v>1.6759064728129232</v>
      </c>
      <c r="AC98" s="36">
        <v>95.31217431647822</v>
      </c>
      <c r="AD98" s="39" t="str">
        <f t="shared" si="17"/>
        <v>Alto</v>
      </c>
      <c r="AE98" s="34" t="s">
        <v>172</v>
      </c>
      <c r="AF98" s="34" t="s">
        <v>172</v>
      </c>
      <c r="AG98" s="34" t="s">
        <v>172</v>
      </c>
    </row>
    <row r="99" spans="1:33" ht="15.75" x14ac:dyDescent="0.25">
      <c r="A99" s="1">
        <v>96</v>
      </c>
      <c r="B99" t="s">
        <v>132</v>
      </c>
      <c r="C99" s="95">
        <v>6</v>
      </c>
      <c r="D99" s="1" t="s">
        <v>7</v>
      </c>
      <c r="E99" s="1">
        <v>1</v>
      </c>
      <c r="F99" s="2">
        <v>40517</v>
      </c>
      <c r="G99" s="2">
        <v>44375</v>
      </c>
      <c r="H99" s="8">
        <f t="shared" si="19"/>
        <v>10</v>
      </c>
      <c r="I99" s="8">
        <f t="shared" si="11"/>
        <v>126</v>
      </c>
      <c r="J99" s="1">
        <v>31.1</v>
      </c>
      <c r="K99" s="1">
        <v>1.4</v>
      </c>
      <c r="L99" s="1">
        <f t="shared" si="12"/>
        <v>140</v>
      </c>
      <c r="M99" s="1">
        <v>73.599999999999994</v>
      </c>
      <c r="N99" s="1">
        <f t="shared" si="13"/>
        <v>47.428571428571431</v>
      </c>
      <c r="O99" s="1">
        <v>0</v>
      </c>
      <c r="P99" s="1">
        <v>58</v>
      </c>
      <c r="Q99" s="5">
        <f t="shared" si="14"/>
        <v>15.867346938775514</v>
      </c>
      <c r="R99" s="34"/>
      <c r="S99" s="91">
        <v>-6.0254338176670696E-2</v>
      </c>
      <c r="T99" s="91">
        <v>47.597653434257417</v>
      </c>
      <c r="U99" s="39" t="str">
        <f t="shared" si="15"/>
        <v>Normal</v>
      </c>
      <c r="V99" s="91">
        <v>-0.80128494384821802</v>
      </c>
      <c r="W99" s="91">
        <v>21.148335256326046</v>
      </c>
      <c r="X99" s="40" t="str">
        <f t="shared" si="16"/>
        <v>Normal</v>
      </c>
      <c r="Y99" s="155">
        <v>-0.48166888769539529</v>
      </c>
      <c r="Z99" s="91">
        <v>31.502059051972829</v>
      </c>
      <c r="AA99" s="39" t="str">
        <f t="shared" si="18"/>
        <v>Normal</v>
      </c>
      <c r="AB99" s="36">
        <v>-0.29937092297765067</v>
      </c>
      <c r="AC99" s="36">
        <v>38.23285227473972</v>
      </c>
      <c r="AD99" s="39" t="str">
        <f t="shared" si="17"/>
        <v>Normal</v>
      </c>
      <c r="AE99" s="34" t="s">
        <v>172</v>
      </c>
      <c r="AF99" s="34" t="s">
        <v>172</v>
      </c>
      <c r="AG99" s="34" t="s">
        <v>172</v>
      </c>
    </row>
    <row r="100" spans="1:33" ht="15.75" x14ac:dyDescent="0.25">
      <c r="A100" s="1">
        <v>97</v>
      </c>
      <c r="B100" t="s">
        <v>133</v>
      </c>
      <c r="C100" s="95">
        <v>6</v>
      </c>
      <c r="D100" s="1" t="s">
        <v>7</v>
      </c>
      <c r="E100" s="1">
        <v>1</v>
      </c>
      <c r="F100" s="2">
        <v>40516</v>
      </c>
      <c r="G100" s="2">
        <v>44375</v>
      </c>
      <c r="H100" s="8">
        <f t="shared" si="19"/>
        <v>10</v>
      </c>
      <c r="I100" s="8">
        <f t="shared" si="11"/>
        <v>126</v>
      </c>
      <c r="J100" s="1">
        <v>46.3</v>
      </c>
      <c r="K100" s="1">
        <v>1.39</v>
      </c>
      <c r="L100" s="1">
        <f t="shared" si="12"/>
        <v>139</v>
      </c>
      <c r="M100" s="1">
        <v>75.5</v>
      </c>
      <c r="N100" s="1">
        <f t="shared" si="13"/>
        <v>45.68345323741007</v>
      </c>
      <c r="O100" s="1">
        <v>0</v>
      </c>
      <c r="P100" s="1">
        <v>72</v>
      </c>
      <c r="Q100" s="5">
        <f t="shared" si="14"/>
        <v>23.96356296257958</v>
      </c>
      <c r="R100" s="34"/>
      <c r="S100" s="91">
        <v>-0.21287424237289609</v>
      </c>
      <c r="T100" s="91">
        <v>41.571252676173195</v>
      </c>
      <c r="U100" s="39" t="str">
        <f t="shared" si="15"/>
        <v>Normal</v>
      </c>
      <c r="V100" s="91">
        <v>-2.015683924662127</v>
      </c>
      <c r="W100" s="91">
        <v>2.1916518816756394</v>
      </c>
      <c r="X100" s="40" t="str">
        <f t="shared" si="16"/>
        <v>Piernas cortas</v>
      </c>
      <c r="Y100" s="155">
        <v>2.4712037042606161</v>
      </c>
      <c r="Z100" s="91">
        <v>99.326704555558521</v>
      </c>
      <c r="AA100" s="39" t="str">
        <f t="shared" si="18"/>
        <v>Obesidad</v>
      </c>
      <c r="AB100" s="36">
        <v>1.0680234383650904</v>
      </c>
      <c r="AC100" s="36">
        <v>85.724503036290528</v>
      </c>
      <c r="AD100" s="39" t="str">
        <f t="shared" si="17"/>
        <v>Arriba del promedio</v>
      </c>
      <c r="AE100" s="34" t="s">
        <v>172</v>
      </c>
      <c r="AF100" s="34" t="s">
        <v>172</v>
      </c>
      <c r="AG100" s="34" t="s">
        <v>172</v>
      </c>
    </row>
    <row r="101" spans="1:33" ht="15.75" x14ac:dyDescent="0.25">
      <c r="A101" s="1">
        <v>98</v>
      </c>
      <c r="B101" t="s">
        <v>134</v>
      </c>
      <c r="C101" s="95">
        <v>6</v>
      </c>
      <c r="D101" s="1" t="s">
        <v>7</v>
      </c>
      <c r="E101" s="1">
        <v>1</v>
      </c>
      <c r="F101" s="2">
        <v>40371</v>
      </c>
      <c r="G101" s="2">
        <v>44375</v>
      </c>
      <c r="H101" s="8">
        <f t="shared" si="19"/>
        <v>10</v>
      </c>
      <c r="I101" s="8">
        <f t="shared" si="11"/>
        <v>131</v>
      </c>
      <c r="J101" s="1">
        <v>28</v>
      </c>
      <c r="K101" s="1">
        <v>1.29</v>
      </c>
      <c r="L101" s="1">
        <f t="shared" si="12"/>
        <v>129</v>
      </c>
      <c r="M101" s="1">
        <v>68.5</v>
      </c>
      <c r="N101" s="1">
        <f t="shared" si="13"/>
        <v>46.899224806201552</v>
      </c>
      <c r="O101" s="1">
        <v>0</v>
      </c>
      <c r="P101" s="1">
        <v>63</v>
      </c>
      <c r="Q101" s="5">
        <f t="shared" si="14"/>
        <v>16.825911904332671</v>
      </c>
      <c r="R101" s="34"/>
      <c r="S101" s="91">
        <v>-2.0368110392131644</v>
      </c>
      <c r="T101" s="91">
        <v>2.08344908139073</v>
      </c>
      <c r="U101" s="39" t="str">
        <f t="shared" si="15"/>
        <v>Desnutricion</v>
      </c>
      <c r="V101" s="91">
        <v>-1.1644019730706268</v>
      </c>
      <c r="W101" s="91">
        <v>12.213057418878781</v>
      </c>
      <c r="X101" s="40" t="str">
        <f t="shared" si="16"/>
        <v>Normal</v>
      </c>
      <c r="Y101" s="155">
        <v>-3.6799695784850095E-2</v>
      </c>
      <c r="Z101" s="91">
        <v>48.532235830706561</v>
      </c>
      <c r="AA101" s="39" t="str">
        <f t="shared" si="18"/>
        <v>Normal</v>
      </c>
      <c r="AB101" s="36">
        <v>0.25698598518825844</v>
      </c>
      <c r="AC101" s="36">
        <v>60.14052039809107</v>
      </c>
      <c r="AD101" s="39" t="str">
        <f t="shared" si="17"/>
        <v>Normal</v>
      </c>
      <c r="AE101" s="34" t="s">
        <v>172</v>
      </c>
      <c r="AF101" s="34" t="s">
        <v>172</v>
      </c>
      <c r="AG101" s="34" t="s">
        <v>172</v>
      </c>
    </row>
    <row r="102" spans="1:33" ht="15.75" x14ac:dyDescent="0.25">
      <c r="A102" s="1">
        <v>99</v>
      </c>
      <c r="B102" t="s">
        <v>135</v>
      </c>
      <c r="C102" s="95">
        <v>6</v>
      </c>
      <c r="D102" s="1" t="s">
        <v>7</v>
      </c>
      <c r="E102" s="1">
        <v>1</v>
      </c>
      <c r="F102" s="2">
        <v>40249</v>
      </c>
      <c r="G102" s="2">
        <v>44375</v>
      </c>
      <c r="H102" s="8">
        <f t="shared" si="19"/>
        <v>11</v>
      </c>
      <c r="I102" s="8">
        <f t="shared" si="11"/>
        <v>135</v>
      </c>
      <c r="J102" s="1">
        <v>42.9</v>
      </c>
      <c r="K102" s="1">
        <v>1.47</v>
      </c>
      <c r="L102" s="1">
        <f t="shared" si="12"/>
        <v>147</v>
      </c>
      <c r="M102" s="1">
        <v>77</v>
      </c>
      <c r="N102" s="1">
        <f t="shared" si="13"/>
        <v>47.619047619047613</v>
      </c>
      <c r="O102" s="1">
        <v>0</v>
      </c>
      <c r="P102" s="1">
        <v>75</v>
      </c>
      <c r="Q102" s="5">
        <f t="shared" si="14"/>
        <v>19.852839094821604</v>
      </c>
      <c r="R102" s="34"/>
      <c r="S102" s="91">
        <v>0.36250831003088163</v>
      </c>
      <c r="T102" s="91">
        <v>64.151389263416263</v>
      </c>
      <c r="U102" s="39" t="str">
        <f t="shared" si="15"/>
        <v>Normal</v>
      </c>
      <c r="V102" s="91">
        <v>-0.8925678218326536</v>
      </c>
      <c r="W102" s="91">
        <v>18.604432882634146</v>
      </c>
      <c r="X102" s="40" t="str">
        <f t="shared" si="16"/>
        <v>Normal</v>
      </c>
      <c r="Y102" s="155">
        <v>1.1794812006285738</v>
      </c>
      <c r="Z102" s="91">
        <v>88.089669090215423</v>
      </c>
      <c r="AA102" s="39" t="str">
        <f t="shared" si="18"/>
        <v>Obesidad</v>
      </c>
      <c r="AB102" s="36">
        <v>1.0792057083172006</v>
      </c>
      <c r="AC102" s="36">
        <v>85.975198223109615</v>
      </c>
      <c r="AD102" s="39" t="str">
        <f t="shared" si="17"/>
        <v>Arriba del promedio</v>
      </c>
      <c r="AE102" s="34" t="s">
        <v>172</v>
      </c>
      <c r="AF102" s="34" t="s">
        <v>172</v>
      </c>
      <c r="AG102" s="34" t="s">
        <v>172</v>
      </c>
    </row>
    <row r="103" spans="1:33" ht="15.75" x14ac:dyDescent="0.25">
      <c r="A103" s="1">
        <v>100</v>
      </c>
      <c r="B103" t="s">
        <v>136</v>
      </c>
      <c r="C103" s="95">
        <v>6</v>
      </c>
      <c r="D103" s="1" t="s">
        <v>7</v>
      </c>
      <c r="E103" s="1">
        <v>1</v>
      </c>
      <c r="F103" s="2">
        <v>40369</v>
      </c>
      <c r="G103" s="2">
        <v>44375</v>
      </c>
      <c r="H103" s="8">
        <f t="shared" si="19"/>
        <v>10</v>
      </c>
      <c r="I103" s="8">
        <f t="shared" si="11"/>
        <v>131</v>
      </c>
      <c r="J103" s="1">
        <v>48.7</v>
      </c>
      <c r="K103" s="1">
        <v>1.48</v>
      </c>
      <c r="L103" s="1">
        <f t="shared" si="12"/>
        <v>148</v>
      </c>
      <c r="M103" s="1">
        <v>78</v>
      </c>
      <c r="N103" s="1">
        <f t="shared" si="13"/>
        <v>47.297297297297298</v>
      </c>
      <c r="O103" s="1">
        <v>0</v>
      </c>
      <c r="P103" s="1">
        <v>75</v>
      </c>
      <c r="Q103" s="5">
        <f t="shared" si="14"/>
        <v>22.23338203067933</v>
      </c>
      <c r="R103" s="34"/>
      <c r="S103" s="91">
        <v>0.79828978386139771</v>
      </c>
      <c r="T103" s="91">
        <v>78.76488274145045</v>
      </c>
      <c r="U103" s="39" t="str">
        <f t="shared" si="15"/>
        <v>Normal</v>
      </c>
      <c r="V103" s="91">
        <v>-0.89091951384020496</v>
      </c>
      <c r="W103" s="91">
        <v>18.648617537228727</v>
      </c>
      <c r="X103" s="40" t="str">
        <f t="shared" si="16"/>
        <v>Normal</v>
      </c>
      <c r="Y103" s="155">
        <v>1.9682512884234882</v>
      </c>
      <c r="Z103" s="91">
        <v>97.548043416752307</v>
      </c>
      <c r="AA103" s="39" t="str">
        <f t="shared" si="18"/>
        <v>Obesidad</v>
      </c>
      <c r="AB103" s="36">
        <v>1.2961170955985231</v>
      </c>
      <c r="AC103" s="36">
        <v>90.253242698828402</v>
      </c>
      <c r="AD103" s="39" t="str">
        <f t="shared" si="17"/>
        <v>Arriba del promedio</v>
      </c>
      <c r="AE103" s="34" t="s">
        <v>172</v>
      </c>
      <c r="AF103" s="34" t="s">
        <v>172</v>
      </c>
      <c r="AG103" s="34" t="s">
        <v>172</v>
      </c>
    </row>
    <row r="104" spans="1:33" ht="15.75" x14ac:dyDescent="0.25">
      <c r="A104" s="1">
        <v>101</v>
      </c>
      <c r="B104" t="s">
        <v>137</v>
      </c>
      <c r="C104" s="95">
        <v>6</v>
      </c>
      <c r="D104" s="1" t="s">
        <v>7</v>
      </c>
      <c r="E104" s="1">
        <v>2</v>
      </c>
      <c r="F104" s="2">
        <v>40404</v>
      </c>
      <c r="G104" s="2">
        <v>44375</v>
      </c>
      <c r="H104" s="8">
        <f t="shared" si="19"/>
        <v>10</v>
      </c>
      <c r="I104" s="8">
        <f t="shared" si="11"/>
        <v>130</v>
      </c>
      <c r="J104" s="1">
        <v>30.1</v>
      </c>
      <c r="K104" s="1">
        <v>1.38</v>
      </c>
      <c r="L104" s="1">
        <f t="shared" si="12"/>
        <v>138</v>
      </c>
      <c r="M104" s="1">
        <v>72</v>
      </c>
      <c r="N104" s="1">
        <f t="shared" si="13"/>
        <v>47.826086956521742</v>
      </c>
      <c r="O104" s="1">
        <v>0</v>
      </c>
      <c r="P104" s="1">
        <v>56</v>
      </c>
      <c r="Q104" s="5">
        <f t="shared" si="14"/>
        <v>15.805503045578664</v>
      </c>
      <c r="R104" s="34"/>
      <c r="S104" s="91">
        <v>-0.89628883847029728</v>
      </c>
      <c r="T104" s="91">
        <v>18.504925937790738</v>
      </c>
      <c r="U104" s="39" t="str">
        <f t="shared" si="15"/>
        <v>Normal</v>
      </c>
      <c r="V104" s="91">
        <v>-0.48489413285804783</v>
      </c>
      <c r="W104" s="91">
        <v>31.387572223834088</v>
      </c>
      <c r="X104" s="40" t="str">
        <f t="shared" si="16"/>
        <v>Normal</v>
      </c>
      <c r="Y104" s="155">
        <v>-0.6745809400269539</v>
      </c>
      <c r="Z104" s="91">
        <v>24.997102289927263</v>
      </c>
      <c r="AA104" s="39" t="str">
        <f t="shared" si="18"/>
        <v>Normal</v>
      </c>
      <c r="AB104" s="36">
        <v>-0.33056987533187987</v>
      </c>
      <c r="AC104" s="36">
        <v>37.048470202827573</v>
      </c>
      <c r="AD104" s="39" t="str">
        <f t="shared" si="17"/>
        <v>Normal</v>
      </c>
      <c r="AE104" s="34" t="s">
        <v>172</v>
      </c>
      <c r="AF104" s="34" t="s">
        <v>172</v>
      </c>
      <c r="AG104" s="34" t="s">
        <v>172</v>
      </c>
    </row>
    <row r="105" spans="1:33" ht="15.75" x14ac:dyDescent="0.25">
      <c r="A105" s="55">
        <v>102</v>
      </c>
      <c r="B105" s="61" t="s">
        <v>216</v>
      </c>
      <c r="C105" s="55">
        <v>1</v>
      </c>
      <c r="D105" s="55" t="s">
        <v>7</v>
      </c>
      <c r="E105" s="55">
        <v>2</v>
      </c>
      <c r="F105" s="56">
        <v>42073</v>
      </c>
      <c r="G105" s="56">
        <v>44448</v>
      </c>
      <c r="H105" s="57">
        <f t="shared" si="19"/>
        <v>6</v>
      </c>
      <c r="I105" s="57">
        <f t="shared" si="11"/>
        <v>77</v>
      </c>
      <c r="J105" s="55">
        <v>22</v>
      </c>
      <c r="K105" s="55">
        <v>1.18</v>
      </c>
      <c r="L105" s="55">
        <f t="shared" si="12"/>
        <v>118</v>
      </c>
      <c r="M105" s="55">
        <f>103.6-40</f>
        <v>63.599999999999994</v>
      </c>
      <c r="N105" s="55">
        <f t="shared" si="13"/>
        <v>46.101694915254242</v>
      </c>
      <c r="O105" s="1">
        <v>0</v>
      </c>
      <c r="P105" s="1">
        <v>0</v>
      </c>
      <c r="Q105" s="100">
        <f t="shared" si="14"/>
        <v>15.800057454754382</v>
      </c>
      <c r="S105" s="91">
        <v>9.4103400278492191E-2</v>
      </c>
      <c r="T105" s="91">
        <v>53.748649033074649</v>
      </c>
      <c r="U105" s="39" t="str">
        <f t="shared" si="15"/>
        <v>Normal</v>
      </c>
      <c r="V105" s="91">
        <v>-0.53689544037974546</v>
      </c>
      <c r="W105" s="91">
        <v>29.566992037228857</v>
      </c>
      <c r="X105" s="40" t="str">
        <f t="shared" si="16"/>
        <v>Normal</v>
      </c>
      <c r="Y105" s="155">
        <v>0.29708440394598817</v>
      </c>
      <c r="Z105" s="91">
        <v>61.679896450425453</v>
      </c>
      <c r="AA105" s="39" t="str">
        <f t="shared" si="18"/>
        <v>Normal</v>
      </c>
      <c r="AB105" s="58"/>
      <c r="AC105" s="58"/>
      <c r="AD105" s="63"/>
      <c r="AE105" s="58" t="s">
        <v>172</v>
      </c>
      <c r="AF105" s="58" t="s">
        <v>172</v>
      </c>
      <c r="AG105" s="58" t="s">
        <v>172</v>
      </c>
    </row>
    <row r="106" spans="1:33" ht="15.75" x14ac:dyDescent="0.25">
      <c r="A106" s="55">
        <v>103</v>
      </c>
      <c r="B106" s="61" t="s">
        <v>217</v>
      </c>
      <c r="C106" s="55">
        <v>1</v>
      </c>
      <c r="D106" s="55" t="s">
        <v>7</v>
      </c>
      <c r="E106" s="55">
        <v>2</v>
      </c>
      <c r="F106" s="56">
        <v>42138</v>
      </c>
      <c r="G106" s="56">
        <v>44448</v>
      </c>
      <c r="H106" s="57">
        <f t="shared" si="19"/>
        <v>6</v>
      </c>
      <c r="I106" s="57">
        <f t="shared" si="11"/>
        <v>75</v>
      </c>
      <c r="J106" s="55">
        <v>20</v>
      </c>
      <c r="K106" s="55">
        <v>1.1599999999999999</v>
      </c>
      <c r="L106" s="55">
        <f t="shared" si="12"/>
        <v>115.99999999999999</v>
      </c>
      <c r="M106" s="55">
        <f>103.5-40</f>
        <v>63.5</v>
      </c>
      <c r="N106" s="55">
        <f t="shared" si="13"/>
        <v>45.258620689655167</v>
      </c>
      <c r="O106" s="1">
        <v>0</v>
      </c>
      <c r="P106" s="1">
        <v>0</v>
      </c>
      <c r="Q106" s="100">
        <f t="shared" si="14"/>
        <v>14.863258026159334</v>
      </c>
      <c r="S106" s="91">
        <v>-0.10689348990141691</v>
      </c>
      <c r="T106" s="91">
        <v>45.743673895312568</v>
      </c>
      <c r="U106" s="39" t="str">
        <f t="shared" si="15"/>
        <v>Normal</v>
      </c>
      <c r="V106" s="91">
        <v>-1.114974959392474</v>
      </c>
      <c r="W106" s="91">
        <v>13.243057621372834</v>
      </c>
      <c r="X106" s="40" t="str">
        <f t="shared" si="16"/>
        <v>Normal</v>
      </c>
      <c r="Y106" s="155">
        <v>-0.27908130006359971</v>
      </c>
      <c r="Z106" s="91">
        <v>39.009121680214363</v>
      </c>
      <c r="AA106" s="39" t="str">
        <f t="shared" si="18"/>
        <v>Normal</v>
      </c>
      <c r="AB106" s="58"/>
      <c r="AC106" s="58"/>
      <c r="AD106" s="63"/>
      <c r="AE106" s="58" t="s">
        <v>172</v>
      </c>
      <c r="AF106" s="58" t="s">
        <v>172</v>
      </c>
      <c r="AG106" s="58" t="s">
        <v>172</v>
      </c>
    </row>
    <row r="107" spans="1:33" ht="15.75" x14ac:dyDescent="0.25">
      <c r="A107" s="55">
        <v>104</v>
      </c>
      <c r="B107" s="61" t="s">
        <v>218</v>
      </c>
      <c r="C107" s="55">
        <v>1</v>
      </c>
      <c r="D107" s="55" t="s">
        <v>7</v>
      </c>
      <c r="E107" s="55">
        <v>2</v>
      </c>
      <c r="F107" s="56">
        <v>42336</v>
      </c>
      <c r="G107" s="56">
        <v>44448</v>
      </c>
      <c r="H107" s="57">
        <f t="shared" si="19"/>
        <v>5</v>
      </c>
      <c r="I107" s="57">
        <f t="shared" si="11"/>
        <v>69</v>
      </c>
      <c r="J107" s="55">
        <v>16.3</v>
      </c>
      <c r="K107" s="55">
        <v>1.0900000000000001</v>
      </c>
      <c r="L107" s="55">
        <f t="shared" si="12"/>
        <v>109.00000000000001</v>
      </c>
      <c r="M107" s="55">
        <f>98.5-40</f>
        <v>58.5</v>
      </c>
      <c r="N107" s="55">
        <f t="shared" si="13"/>
        <v>46.330275229357802</v>
      </c>
      <c r="O107" s="1">
        <v>0</v>
      </c>
      <c r="P107" s="1">
        <v>0</v>
      </c>
      <c r="Q107" s="100">
        <f t="shared" si="14"/>
        <v>13.719383890244927</v>
      </c>
      <c r="S107" s="91">
        <v>-0.92833411483768313</v>
      </c>
      <c r="T107" s="91">
        <v>17.661714155361221</v>
      </c>
      <c r="U107" s="39" t="str">
        <f t="shared" si="15"/>
        <v>Normal</v>
      </c>
      <c r="V107" s="91">
        <v>0.19813629681735809</v>
      </c>
      <c r="W107" s="91">
        <v>57.853078650656556</v>
      </c>
      <c r="X107" s="40" t="str">
        <f t="shared" si="16"/>
        <v>Normal</v>
      </c>
      <c r="Y107" s="155">
        <v>-1.1147023774458087</v>
      </c>
      <c r="Z107" s="91">
        <v>13.248899094640326</v>
      </c>
      <c r="AA107" s="39" t="str">
        <f t="shared" si="18"/>
        <v>Bajo Peso</v>
      </c>
      <c r="AB107" s="58"/>
      <c r="AC107" s="58"/>
      <c r="AD107" s="63"/>
      <c r="AE107" s="58" t="s">
        <v>172</v>
      </c>
      <c r="AF107" s="58" t="s">
        <v>172</v>
      </c>
      <c r="AG107" s="58" t="s">
        <v>172</v>
      </c>
    </row>
    <row r="108" spans="1:33" ht="15.75" x14ac:dyDescent="0.25">
      <c r="A108" s="55">
        <v>105</v>
      </c>
      <c r="B108" s="61" t="s">
        <v>219</v>
      </c>
      <c r="C108" s="55">
        <v>1</v>
      </c>
      <c r="D108" s="55" t="s">
        <v>7</v>
      </c>
      <c r="E108" s="55">
        <v>1</v>
      </c>
      <c r="F108" s="56">
        <v>42312</v>
      </c>
      <c r="G108" s="56">
        <v>44448</v>
      </c>
      <c r="H108" s="57">
        <f t="shared" si="19"/>
        <v>5</v>
      </c>
      <c r="I108" s="57">
        <f t="shared" si="11"/>
        <v>70</v>
      </c>
      <c r="J108" s="55">
        <v>15.7</v>
      </c>
      <c r="K108" s="55">
        <v>1.04</v>
      </c>
      <c r="L108" s="55">
        <f t="shared" si="12"/>
        <v>104</v>
      </c>
      <c r="M108" s="55">
        <f>97.4-40</f>
        <v>57.400000000000006</v>
      </c>
      <c r="N108" s="55">
        <f t="shared" si="13"/>
        <v>44.807692307692307</v>
      </c>
      <c r="O108" s="1">
        <v>0</v>
      </c>
      <c r="P108" s="1">
        <v>0</v>
      </c>
      <c r="Q108" s="100">
        <f t="shared" si="14"/>
        <v>14.515532544378695</v>
      </c>
      <c r="S108" s="91">
        <v>-2.2507274238977413</v>
      </c>
      <c r="T108" s="91">
        <v>1.2201403359779874</v>
      </c>
      <c r="U108" s="39" t="str">
        <f t="shared" si="15"/>
        <v>Desnutricion</v>
      </c>
      <c r="V108" s="91">
        <v>-0.70001321556236196</v>
      </c>
      <c r="W108" s="91">
        <v>24.195952563083129</v>
      </c>
      <c r="X108" s="40" t="str">
        <f t="shared" si="16"/>
        <v>Normal</v>
      </c>
      <c r="Y108" s="155">
        <v>-0.61591253310839456</v>
      </c>
      <c r="Z108" s="91">
        <v>26.897612463624217</v>
      </c>
      <c r="AA108" s="39" t="str">
        <f t="shared" si="18"/>
        <v>Normal</v>
      </c>
      <c r="AB108" s="58"/>
      <c r="AC108" s="58"/>
      <c r="AD108" s="63"/>
      <c r="AE108" s="58" t="s">
        <v>172</v>
      </c>
      <c r="AF108" s="58" t="s">
        <v>172</v>
      </c>
      <c r="AG108" s="58" t="s">
        <v>172</v>
      </c>
    </row>
    <row r="109" spans="1:33" ht="15.75" x14ac:dyDescent="0.25">
      <c r="A109" s="55">
        <v>106</v>
      </c>
      <c r="B109" s="61" t="s">
        <v>220</v>
      </c>
      <c r="C109" s="55">
        <v>1</v>
      </c>
      <c r="D109" s="55" t="s">
        <v>7</v>
      </c>
      <c r="E109" s="55">
        <v>1</v>
      </c>
      <c r="F109" s="56">
        <v>42030</v>
      </c>
      <c r="G109" s="56">
        <v>44448</v>
      </c>
      <c r="H109" s="57">
        <f t="shared" si="19"/>
        <v>6</v>
      </c>
      <c r="I109" s="57">
        <f t="shared" si="11"/>
        <v>79</v>
      </c>
      <c r="J109" s="55">
        <v>23.8</v>
      </c>
      <c r="K109" s="55">
        <v>1.18</v>
      </c>
      <c r="L109" s="55">
        <f t="shared" si="12"/>
        <v>118</v>
      </c>
      <c r="M109" s="55">
        <f>103.3-40</f>
        <v>63.3</v>
      </c>
      <c r="N109" s="55">
        <f t="shared" si="13"/>
        <v>46.355932203389834</v>
      </c>
      <c r="O109" s="1">
        <v>0</v>
      </c>
      <c r="P109" s="1">
        <v>0</v>
      </c>
      <c r="Q109" s="100">
        <f t="shared" si="14"/>
        <v>17.092789428325197</v>
      </c>
      <c r="S109" s="91">
        <v>-0.26302339034765504</v>
      </c>
      <c r="T109" s="91">
        <v>39.626627539150803</v>
      </c>
      <c r="U109" s="39" t="str">
        <f t="shared" si="15"/>
        <v>Normal</v>
      </c>
      <c r="V109" s="91">
        <v>-0.24906134941826075</v>
      </c>
      <c r="W109" s="91">
        <v>40.165666310484248</v>
      </c>
      <c r="X109" s="40" t="str">
        <f t="shared" si="16"/>
        <v>Normal</v>
      </c>
      <c r="Y109" s="155">
        <v>1.1062539563516518</v>
      </c>
      <c r="Z109" s="91">
        <v>86.569169260694821</v>
      </c>
      <c r="AA109" s="39" t="str">
        <f t="shared" si="18"/>
        <v>Obesidad</v>
      </c>
      <c r="AB109" s="58"/>
      <c r="AC109" s="58"/>
      <c r="AD109" s="63"/>
      <c r="AE109" s="58" t="s">
        <v>172</v>
      </c>
      <c r="AF109" s="58" t="s">
        <v>172</v>
      </c>
      <c r="AG109" s="58" t="s">
        <v>172</v>
      </c>
    </row>
    <row r="110" spans="1:33" ht="15.75" x14ac:dyDescent="0.25">
      <c r="A110" s="55">
        <v>107</v>
      </c>
      <c r="B110" s="61" t="s">
        <v>221</v>
      </c>
      <c r="C110" s="55">
        <v>1</v>
      </c>
      <c r="D110" s="55" t="s">
        <v>7</v>
      </c>
      <c r="E110" s="55">
        <v>1</v>
      </c>
      <c r="F110" s="56">
        <v>42058</v>
      </c>
      <c r="G110" s="56">
        <v>44448</v>
      </c>
      <c r="H110" s="57">
        <f t="shared" si="19"/>
        <v>6</v>
      </c>
      <c r="I110" s="57">
        <f t="shared" si="11"/>
        <v>78</v>
      </c>
      <c r="J110" s="55">
        <v>30.2</v>
      </c>
      <c r="K110" s="55">
        <v>1.18</v>
      </c>
      <c r="L110" s="55">
        <f t="shared" si="12"/>
        <v>118</v>
      </c>
      <c r="M110" s="55">
        <f>104.2-40</f>
        <v>64.2</v>
      </c>
      <c r="N110" s="55">
        <f t="shared" si="13"/>
        <v>45.593220338983045</v>
      </c>
      <c r="O110" s="1">
        <v>0</v>
      </c>
      <c r="P110" s="1">
        <v>0</v>
      </c>
      <c r="Q110" s="100">
        <f t="shared" si="14"/>
        <v>21.689169778799197</v>
      </c>
      <c r="S110" s="91">
        <v>-0.17040558389718163</v>
      </c>
      <c r="T110" s="91">
        <v>43.234559052693569</v>
      </c>
      <c r="U110" s="39" t="str">
        <f t="shared" si="15"/>
        <v>Normal</v>
      </c>
      <c r="V110" s="91">
        <v>-0.7377178872774629</v>
      </c>
      <c r="W110" s="91">
        <v>23.034295005996004</v>
      </c>
      <c r="X110" s="40" t="str">
        <f t="shared" si="16"/>
        <v>Normal</v>
      </c>
      <c r="Y110" s="155">
        <v>3.2155718456268811</v>
      </c>
      <c r="Z110" s="91">
        <v>99.934907548523924</v>
      </c>
      <c r="AA110" s="39" t="str">
        <f t="shared" si="18"/>
        <v>Obesidad</v>
      </c>
      <c r="AB110" s="58"/>
      <c r="AC110" s="58"/>
      <c r="AD110" s="63"/>
      <c r="AE110" s="58" t="s">
        <v>172</v>
      </c>
      <c r="AF110" s="58" t="s">
        <v>172</v>
      </c>
      <c r="AG110" s="58" t="s">
        <v>172</v>
      </c>
    </row>
    <row r="111" spans="1:33" ht="15.75" x14ac:dyDescent="0.25">
      <c r="A111" s="55">
        <v>108</v>
      </c>
      <c r="B111" s="61" t="s">
        <v>222</v>
      </c>
      <c r="C111" s="55">
        <v>1</v>
      </c>
      <c r="D111" s="55" t="s">
        <v>7</v>
      </c>
      <c r="E111" s="55">
        <v>1</v>
      </c>
      <c r="F111" s="56">
        <v>42063</v>
      </c>
      <c r="G111" s="56">
        <v>44448</v>
      </c>
      <c r="H111" s="57">
        <f t="shared" si="19"/>
        <v>6</v>
      </c>
      <c r="I111" s="57">
        <f t="shared" si="11"/>
        <v>78</v>
      </c>
      <c r="J111" s="55">
        <v>23.7</v>
      </c>
      <c r="K111" s="55">
        <v>1.21</v>
      </c>
      <c r="L111" s="55">
        <f t="shared" si="12"/>
        <v>121</v>
      </c>
      <c r="M111" s="55">
        <f>106-40</f>
        <v>66</v>
      </c>
      <c r="N111" s="55">
        <f t="shared" si="13"/>
        <v>45.454545454545453</v>
      </c>
      <c r="O111" s="1">
        <v>0</v>
      </c>
      <c r="P111" s="1">
        <v>0</v>
      </c>
      <c r="Q111" s="100">
        <f t="shared" si="14"/>
        <v>16.187418892152177</v>
      </c>
      <c r="S111" s="91">
        <v>0.41719987781723522</v>
      </c>
      <c r="T111" s="91">
        <v>66.173389272054692</v>
      </c>
      <c r="U111" s="39" t="str">
        <f t="shared" si="15"/>
        <v>Normal</v>
      </c>
      <c r="V111" s="91">
        <v>-0.82751839283936213</v>
      </c>
      <c r="W111" s="91">
        <v>20.397165074356817</v>
      </c>
      <c r="X111" s="40" t="str">
        <f t="shared" si="16"/>
        <v>Normal</v>
      </c>
      <c r="Y111" s="155">
        <v>0.55917249423638193</v>
      </c>
      <c r="Z111" s="91">
        <v>71.197799842712499</v>
      </c>
      <c r="AA111" s="39" t="str">
        <f t="shared" si="18"/>
        <v>Normal</v>
      </c>
      <c r="AB111" s="58"/>
      <c r="AC111" s="58"/>
      <c r="AD111" s="63"/>
      <c r="AE111" s="58" t="s">
        <v>172</v>
      </c>
      <c r="AF111" s="58" t="s">
        <v>172</v>
      </c>
      <c r="AG111" s="58" t="s">
        <v>172</v>
      </c>
    </row>
    <row r="112" spans="1:33" ht="15.75" x14ac:dyDescent="0.25">
      <c r="A112" s="55">
        <v>109</v>
      </c>
      <c r="B112" s="61" t="s">
        <v>223</v>
      </c>
      <c r="C112" s="55">
        <v>1</v>
      </c>
      <c r="D112" s="55" t="s">
        <v>7</v>
      </c>
      <c r="E112" s="55">
        <v>1</v>
      </c>
      <c r="F112" s="56">
        <v>42034</v>
      </c>
      <c r="G112" s="56">
        <v>44448</v>
      </c>
      <c r="H112" s="57">
        <f t="shared" si="19"/>
        <v>6</v>
      </c>
      <c r="I112" s="57">
        <f t="shared" si="11"/>
        <v>79</v>
      </c>
      <c r="J112" s="55">
        <v>43.4</v>
      </c>
      <c r="K112" s="55">
        <v>1.31</v>
      </c>
      <c r="L112" s="55">
        <f t="shared" si="12"/>
        <v>131</v>
      </c>
      <c r="M112" s="55">
        <f>111-40</f>
        <v>71</v>
      </c>
      <c r="N112" s="55">
        <f t="shared" si="13"/>
        <v>45.801526717557252</v>
      </c>
      <c r="O112" s="1">
        <v>0</v>
      </c>
      <c r="P112" s="1">
        <v>0</v>
      </c>
      <c r="Q112" s="100">
        <f t="shared" si="14"/>
        <v>25.289901520890389</v>
      </c>
      <c r="S112" s="91">
        <v>2.268294402456231</v>
      </c>
      <c r="T112" s="91">
        <v>98.834436556454904</v>
      </c>
      <c r="U112" s="39" t="str">
        <f t="shared" si="15"/>
        <v>Alto</v>
      </c>
      <c r="V112" s="91">
        <v>-0.60338290624598656</v>
      </c>
      <c r="W112" s="91">
        <v>27.312699556497932</v>
      </c>
      <c r="X112" s="40" t="str">
        <f t="shared" si="16"/>
        <v>Normal</v>
      </c>
      <c r="Y112" s="155">
        <v>4.2549362577739007</v>
      </c>
      <c r="Z112" s="91">
        <v>99.998954457113371</v>
      </c>
      <c r="AA112" s="39" t="str">
        <f t="shared" si="18"/>
        <v>Obesidad</v>
      </c>
      <c r="AB112" s="58"/>
      <c r="AC112" s="58"/>
      <c r="AD112" s="63"/>
      <c r="AE112" s="58" t="s">
        <v>172</v>
      </c>
      <c r="AF112" s="58" t="s">
        <v>172</v>
      </c>
      <c r="AG112" s="58" t="s">
        <v>172</v>
      </c>
    </row>
    <row r="113" spans="1:40" ht="15.75" x14ac:dyDescent="0.25">
      <c r="A113" s="55">
        <v>110</v>
      </c>
      <c r="B113" s="61" t="s">
        <v>224</v>
      </c>
      <c r="C113" s="55">
        <v>1</v>
      </c>
      <c r="D113" s="55" t="s">
        <v>7</v>
      </c>
      <c r="E113" s="55">
        <v>2</v>
      </c>
      <c r="F113" s="56">
        <v>42024</v>
      </c>
      <c r="G113" s="56">
        <v>44448</v>
      </c>
      <c r="H113" s="57">
        <f t="shared" si="19"/>
        <v>6</v>
      </c>
      <c r="I113" s="57">
        <f t="shared" ref="I113:I143" si="20">DATEDIF(F113,G113,"m")</f>
        <v>79</v>
      </c>
      <c r="J113" s="55">
        <v>23.6</v>
      </c>
      <c r="K113" s="55">
        <f>1.21</f>
        <v>1.21</v>
      </c>
      <c r="L113" s="55">
        <f t="shared" ref="L113:L143" si="21">K113*100</f>
        <v>121</v>
      </c>
      <c r="M113" s="55">
        <f>106.1-40</f>
        <v>66.099999999999994</v>
      </c>
      <c r="N113" s="55">
        <f t="shared" ref="N113:N143" si="22">((L113-M113)/L113)*100</f>
        <v>45.371900826446286</v>
      </c>
      <c r="O113" s="1">
        <v>0</v>
      </c>
      <c r="P113" s="1">
        <v>0</v>
      </c>
      <c r="Q113" s="100">
        <f t="shared" ref="Q113:Q143" si="23">J113/(K113*K113)</f>
        <v>16.119117546615669</v>
      </c>
      <c r="S113" s="91">
        <v>0.47914477299026131</v>
      </c>
      <c r="T113" s="91">
        <v>68.408218008120713</v>
      </c>
      <c r="U113" s="39" t="str">
        <f t="shared" ref="U113:U143" si="24">IF(S113&lt;-1.645,"Desnutricion",IF(AND(S113&gt;=-1.645,S113&lt;=1.645),"Normal",IF(S113&gt;1.645,"Alto")))</f>
        <v>Normal</v>
      </c>
      <c r="V113" s="91">
        <v>-1.0366239102154009</v>
      </c>
      <c r="W113" s="91">
        <v>14.99555828076563</v>
      </c>
      <c r="X113" s="40" t="str">
        <f t="shared" ref="X113:X143" si="25">IF(V113&lt;-1.645,"Piernas cortas",IF(AND(V113&gt;=-1.645,V113&lt;=1.645),"Normal",IF(V113&gt;1.645,"Piernas largas")))</f>
        <v>Normal</v>
      </c>
      <c r="Y113" s="155">
        <v>0.46250460983320446</v>
      </c>
      <c r="Z113" s="91">
        <v>67.814025135230608</v>
      </c>
      <c r="AA113" s="39" t="str">
        <f t="shared" si="18"/>
        <v>Normal</v>
      </c>
      <c r="AB113" s="58"/>
      <c r="AC113" s="58"/>
      <c r="AD113" s="63"/>
      <c r="AE113" s="58" t="s">
        <v>172</v>
      </c>
      <c r="AF113" s="58" t="s">
        <v>172</v>
      </c>
      <c r="AG113" s="58" t="s">
        <v>172</v>
      </c>
    </row>
    <row r="114" spans="1:40" ht="15.75" x14ac:dyDescent="0.25">
      <c r="A114" s="55">
        <v>111</v>
      </c>
      <c r="B114" s="61" t="s">
        <v>225</v>
      </c>
      <c r="C114" s="55">
        <v>1</v>
      </c>
      <c r="D114" s="55" t="s">
        <v>7</v>
      </c>
      <c r="E114" s="55">
        <v>2</v>
      </c>
      <c r="F114" s="56">
        <v>40736</v>
      </c>
      <c r="G114" s="56">
        <v>44448</v>
      </c>
      <c r="H114" s="57">
        <f t="shared" si="19"/>
        <v>10</v>
      </c>
      <c r="I114" s="57">
        <f t="shared" si="20"/>
        <v>121</v>
      </c>
      <c r="J114" s="55">
        <v>23.7</v>
      </c>
      <c r="K114" s="55">
        <v>1.1100000000000001</v>
      </c>
      <c r="L114" s="55">
        <f t="shared" si="21"/>
        <v>111.00000000000001</v>
      </c>
      <c r="M114" s="55">
        <f>100.6-40</f>
        <v>60.599999999999994</v>
      </c>
      <c r="N114" s="55">
        <f t="shared" si="22"/>
        <v>45.405405405405418</v>
      </c>
      <c r="O114" s="1">
        <v>0</v>
      </c>
      <c r="P114" s="1">
        <v>0</v>
      </c>
      <c r="Q114" s="100">
        <f t="shared" si="23"/>
        <v>19.235451667884096</v>
      </c>
      <c r="S114" s="91">
        <v>-4.387308527268365</v>
      </c>
      <c r="T114" s="91">
        <v>5.7380972423501993E-4</v>
      </c>
      <c r="U114" s="39" t="str">
        <f t="shared" si="24"/>
        <v>Desnutricion</v>
      </c>
      <c r="V114" s="91">
        <v>-2.1657238478953253</v>
      </c>
      <c r="W114" s="91">
        <v>1.5166147779868122</v>
      </c>
      <c r="X114" s="40" t="str">
        <f t="shared" si="25"/>
        <v>Piernas cortas</v>
      </c>
      <c r="Y114" s="155">
        <v>1.047886241155489</v>
      </c>
      <c r="Z114" s="91">
        <v>85.265448894763438</v>
      </c>
      <c r="AA114" s="39" t="str">
        <f t="shared" ref="AA114:AA143" si="26">IF(Z114&lt;5,"Desnutricion",IF(AND(Z114&gt;=5,Z114&lt;15),"Bajo Peso",IF(AND(Z114&gt;=15,Z114&lt;=85),"Normal",IF(Z114&gt;85,"Obesidad"))))</f>
        <v>Obesidad</v>
      </c>
      <c r="AB114" s="58"/>
      <c r="AC114" s="58"/>
      <c r="AD114" s="63"/>
      <c r="AE114" s="58" t="s">
        <v>172</v>
      </c>
      <c r="AF114" s="58" t="s">
        <v>172</v>
      </c>
      <c r="AG114" s="58" t="s">
        <v>172</v>
      </c>
    </row>
    <row r="115" spans="1:40" ht="15.75" x14ac:dyDescent="0.25">
      <c r="A115" s="55">
        <v>112</v>
      </c>
      <c r="B115" s="61" t="s">
        <v>226</v>
      </c>
      <c r="C115" s="55">
        <v>1</v>
      </c>
      <c r="D115" s="55" t="s">
        <v>7</v>
      </c>
      <c r="E115" s="55">
        <v>2</v>
      </c>
      <c r="F115" s="56">
        <v>42068</v>
      </c>
      <c r="G115" s="56">
        <v>44448</v>
      </c>
      <c r="H115" s="57">
        <f t="shared" si="19"/>
        <v>6</v>
      </c>
      <c r="I115" s="57">
        <f t="shared" si="20"/>
        <v>78</v>
      </c>
      <c r="J115" s="55">
        <v>20.2</v>
      </c>
      <c r="K115" s="55">
        <v>1.1299999999999999</v>
      </c>
      <c r="L115" s="55">
        <f t="shared" si="21"/>
        <v>112.99999999999999</v>
      </c>
      <c r="M115" s="55">
        <f>101.8-40</f>
        <v>61.8</v>
      </c>
      <c r="N115" s="55">
        <f t="shared" si="22"/>
        <v>45.309734513274329</v>
      </c>
      <c r="O115" s="1">
        <v>0</v>
      </c>
      <c r="P115" s="1">
        <v>0</v>
      </c>
      <c r="Q115" s="100">
        <f t="shared" si="23"/>
        <v>15.81956300415068</v>
      </c>
      <c r="S115" s="91">
        <v>-0.93974998814578248</v>
      </c>
      <c r="T115" s="91">
        <v>17.36729087369784</v>
      </c>
      <c r="U115" s="39" t="str">
        <f t="shared" si="24"/>
        <v>Normal</v>
      </c>
      <c r="V115" s="91">
        <v>-1.0795953631656012</v>
      </c>
      <c r="W115" s="91">
        <v>14.016120358192765</v>
      </c>
      <c r="X115" s="40" t="str">
        <f t="shared" si="25"/>
        <v>Normal</v>
      </c>
      <c r="Y115" s="155">
        <v>0.30075342100437186</v>
      </c>
      <c r="Z115" s="91">
        <v>61.819873528136768</v>
      </c>
      <c r="AA115" s="39" t="str">
        <f t="shared" si="26"/>
        <v>Normal</v>
      </c>
      <c r="AB115" s="58"/>
      <c r="AC115" s="58"/>
      <c r="AD115" s="63"/>
      <c r="AE115" s="58" t="s">
        <v>172</v>
      </c>
      <c r="AF115" s="58" t="s">
        <v>172</v>
      </c>
      <c r="AG115" s="58" t="s">
        <v>172</v>
      </c>
    </row>
    <row r="116" spans="1:40" ht="15.75" x14ac:dyDescent="0.25">
      <c r="A116" s="55">
        <v>113</v>
      </c>
      <c r="B116" s="61" t="s">
        <v>227</v>
      </c>
      <c r="C116" s="55">
        <v>1</v>
      </c>
      <c r="D116" s="55" t="s">
        <v>7</v>
      </c>
      <c r="E116" s="55">
        <v>2</v>
      </c>
      <c r="F116" s="56">
        <v>42208</v>
      </c>
      <c r="G116" s="56">
        <v>44448</v>
      </c>
      <c r="H116" s="57">
        <f t="shared" si="19"/>
        <v>6</v>
      </c>
      <c r="I116" s="57">
        <f t="shared" si="20"/>
        <v>73</v>
      </c>
      <c r="J116" s="55">
        <v>26.2</v>
      </c>
      <c r="K116" s="55">
        <v>1.1599999999999999</v>
      </c>
      <c r="L116" s="55">
        <f t="shared" si="21"/>
        <v>115.99999999999999</v>
      </c>
      <c r="M116" s="55">
        <f>105.2-40</f>
        <v>65.2</v>
      </c>
      <c r="N116" s="55">
        <f t="shared" si="22"/>
        <v>43.793103448275858</v>
      </c>
      <c r="O116" s="1">
        <v>0</v>
      </c>
      <c r="P116" s="1">
        <v>0</v>
      </c>
      <c r="Q116" s="100">
        <f t="shared" si="23"/>
        <v>19.470868014268728</v>
      </c>
      <c r="S116" s="91">
        <v>7.6927593022313973E-2</v>
      </c>
      <c r="T116" s="91">
        <v>53.065942673674236</v>
      </c>
      <c r="U116" s="39" t="str">
        <f t="shared" si="24"/>
        <v>Normal</v>
      </c>
      <c r="V116" s="91">
        <v>-2.1482486811527921</v>
      </c>
      <c r="W116" s="91">
        <v>1.5847002655130633</v>
      </c>
      <c r="X116" s="40" t="str">
        <f t="shared" si="25"/>
        <v>Piernas cortas</v>
      </c>
      <c r="Y116" s="155">
        <v>2.0804958946130903</v>
      </c>
      <c r="Z116" s="91">
        <v>98.125996409996063</v>
      </c>
      <c r="AA116" s="39" t="str">
        <f t="shared" si="26"/>
        <v>Obesidad</v>
      </c>
      <c r="AB116" s="58"/>
      <c r="AC116" s="58"/>
      <c r="AD116" s="63"/>
      <c r="AE116" s="58" t="s">
        <v>172</v>
      </c>
      <c r="AF116" s="58" t="s">
        <v>172</v>
      </c>
      <c r="AG116" s="58" t="s">
        <v>172</v>
      </c>
    </row>
    <row r="117" spans="1:40" ht="15.75" x14ac:dyDescent="0.25">
      <c r="A117" s="55">
        <v>114</v>
      </c>
      <c r="B117" s="61" t="s">
        <v>228</v>
      </c>
      <c r="C117" s="55">
        <v>1</v>
      </c>
      <c r="D117" s="55" t="s">
        <v>7</v>
      </c>
      <c r="E117" s="55">
        <v>1</v>
      </c>
      <c r="F117" s="56">
        <v>42225</v>
      </c>
      <c r="G117" s="56">
        <v>44448</v>
      </c>
      <c r="H117" s="57">
        <f t="shared" si="19"/>
        <v>6</v>
      </c>
      <c r="I117" s="57">
        <f t="shared" si="20"/>
        <v>73</v>
      </c>
      <c r="J117" s="55">
        <v>42.6</v>
      </c>
      <c r="K117" s="55">
        <v>1.19</v>
      </c>
      <c r="L117" s="55">
        <f t="shared" si="21"/>
        <v>119</v>
      </c>
      <c r="M117" s="55">
        <f>106-40</f>
        <v>66</v>
      </c>
      <c r="N117" s="55">
        <f t="shared" si="22"/>
        <v>44.537815126050425</v>
      </c>
      <c r="O117" s="1">
        <v>0</v>
      </c>
      <c r="P117" s="1">
        <v>0</v>
      </c>
      <c r="Q117" s="100">
        <f t="shared" si="23"/>
        <v>30.082621283807644</v>
      </c>
      <c r="S117" s="91">
        <v>0.51579719446931604</v>
      </c>
      <c r="T117" s="91">
        <v>69.700196888324882</v>
      </c>
      <c r="U117" s="39" t="str">
        <f t="shared" si="24"/>
        <v>Normal</v>
      </c>
      <c r="V117" s="91">
        <v>-1.4287489485117075</v>
      </c>
      <c r="W117" s="91">
        <v>7.6538201758508766</v>
      </c>
      <c r="X117" s="40" t="str">
        <f t="shared" si="25"/>
        <v>Normal</v>
      </c>
      <c r="Y117" s="155">
        <v>5.6104495980631111</v>
      </c>
      <c r="Z117" s="91">
        <v>99.999998990991784</v>
      </c>
      <c r="AA117" s="39" t="str">
        <f t="shared" si="26"/>
        <v>Obesidad</v>
      </c>
      <c r="AB117" s="58"/>
      <c r="AC117" s="58"/>
      <c r="AD117" s="63"/>
      <c r="AE117" s="58" t="s">
        <v>172</v>
      </c>
      <c r="AF117" s="58" t="s">
        <v>172</v>
      </c>
      <c r="AG117" s="58" t="s">
        <v>172</v>
      </c>
      <c r="AM117" s="112"/>
    </row>
    <row r="118" spans="1:40" ht="15.75" x14ac:dyDescent="0.25">
      <c r="A118" s="55">
        <v>115</v>
      </c>
      <c r="B118" s="61" t="s">
        <v>229</v>
      </c>
      <c r="C118" s="55">
        <v>1</v>
      </c>
      <c r="D118" s="55" t="s">
        <v>7</v>
      </c>
      <c r="E118" s="55">
        <v>1</v>
      </c>
      <c r="F118" s="56">
        <v>42194</v>
      </c>
      <c r="G118" s="56">
        <v>44448</v>
      </c>
      <c r="H118" s="57">
        <f t="shared" si="19"/>
        <v>6</v>
      </c>
      <c r="I118" s="57">
        <f t="shared" si="20"/>
        <v>74</v>
      </c>
      <c r="J118" s="55">
        <v>18</v>
      </c>
      <c r="K118" s="55">
        <v>1.2</v>
      </c>
      <c r="L118" s="55">
        <f t="shared" si="21"/>
        <v>120</v>
      </c>
      <c r="M118" s="55">
        <f>100.5-40</f>
        <v>60.5</v>
      </c>
      <c r="N118" s="55">
        <f t="shared" si="22"/>
        <v>49.583333333333336</v>
      </c>
      <c r="O118" s="1">
        <v>0</v>
      </c>
      <c r="P118" s="1">
        <v>0</v>
      </c>
      <c r="Q118" s="100">
        <f t="shared" si="23"/>
        <v>12.5</v>
      </c>
      <c r="S118" s="91">
        <v>0.61522240124341421</v>
      </c>
      <c r="T118" s="91">
        <v>73.079607207472719</v>
      </c>
      <c r="U118" s="39" t="str">
        <f t="shared" si="24"/>
        <v>Normal</v>
      </c>
      <c r="V118" s="91">
        <v>1.7262045513053244</v>
      </c>
      <c r="W118" s="91">
        <v>95.784469022809006</v>
      </c>
      <c r="X118" s="40" t="str">
        <f t="shared" si="25"/>
        <v>Piernas largas</v>
      </c>
      <c r="Y118" s="155">
        <v>-2.5987095334711214</v>
      </c>
      <c r="Z118" s="91">
        <v>0.46787458246178693</v>
      </c>
      <c r="AA118" s="39" t="str">
        <f t="shared" si="26"/>
        <v>Desnutricion</v>
      </c>
      <c r="AB118" s="58"/>
      <c r="AC118" s="58"/>
      <c r="AD118" s="63"/>
      <c r="AE118" s="58" t="s">
        <v>172</v>
      </c>
      <c r="AF118" s="58" t="s">
        <v>172</v>
      </c>
      <c r="AG118" s="58" t="s">
        <v>172</v>
      </c>
    </row>
    <row r="119" spans="1:40" ht="15.75" x14ac:dyDescent="0.25">
      <c r="A119" s="55">
        <v>116</v>
      </c>
      <c r="B119" s="61" t="s">
        <v>230</v>
      </c>
      <c r="C119" s="55">
        <v>1</v>
      </c>
      <c r="D119" s="55" t="s">
        <v>7</v>
      </c>
      <c r="E119" s="55">
        <v>2</v>
      </c>
      <c r="F119" s="56">
        <v>42067</v>
      </c>
      <c r="G119" s="56">
        <v>44448</v>
      </c>
      <c r="H119" s="57">
        <f t="shared" si="19"/>
        <v>6</v>
      </c>
      <c r="I119" s="57">
        <f t="shared" si="20"/>
        <v>78</v>
      </c>
      <c r="J119" s="55">
        <v>17.5</v>
      </c>
      <c r="K119" s="55">
        <v>1.1499999999999999</v>
      </c>
      <c r="L119" s="55">
        <f t="shared" si="21"/>
        <v>114.99999999999999</v>
      </c>
      <c r="M119" s="55">
        <f>100-40</f>
        <v>60</v>
      </c>
      <c r="N119" s="55">
        <f t="shared" si="22"/>
        <v>47.826086956521735</v>
      </c>
      <c r="O119" s="1">
        <v>0</v>
      </c>
      <c r="P119" s="1">
        <v>0</v>
      </c>
      <c r="Q119" s="100">
        <f t="shared" si="23"/>
        <v>13.232514177693764</v>
      </c>
      <c r="S119" s="91">
        <v>-0.56210527430954749</v>
      </c>
      <c r="T119" s="91">
        <v>28.702214751683996</v>
      </c>
      <c r="U119" s="39" t="str">
        <f t="shared" si="24"/>
        <v>Normal</v>
      </c>
      <c r="V119" s="91">
        <v>0.61053493031235695</v>
      </c>
      <c r="W119" s="91">
        <v>72.92462440769684</v>
      </c>
      <c r="X119" s="40" t="str">
        <f t="shared" si="25"/>
        <v>Normal</v>
      </c>
      <c r="Y119" s="155">
        <v>-1.5262834131017982</v>
      </c>
      <c r="Z119" s="91">
        <v>6.3469648841246995</v>
      </c>
      <c r="AA119" s="39" t="str">
        <f t="shared" si="26"/>
        <v>Bajo Peso</v>
      </c>
      <c r="AB119" s="58"/>
      <c r="AC119" s="58"/>
      <c r="AD119" s="63"/>
      <c r="AE119" s="58" t="s">
        <v>172</v>
      </c>
      <c r="AF119" s="58" t="s">
        <v>172</v>
      </c>
      <c r="AG119" s="58" t="s">
        <v>172</v>
      </c>
      <c r="AN119" s="117"/>
    </row>
    <row r="120" spans="1:40" ht="15.75" x14ac:dyDescent="0.25">
      <c r="A120" s="55">
        <v>117</v>
      </c>
      <c r="B120" s="61" t="s">
        <v>231</v>
      </c>
      <c r="C120" s="55">
        <v>1</v>
      </c>
      <c r="D120" s="55" t="s">
        <v>7</v>
      </c>
      <c r="E120" s="55">
        <v>2</v>
      </c>
      <c r="F120" s="56">
        <v>42293</v>
      </c>
      <c r="G120" s="56">
        <v>44448</v>
      </c>
      <c r="H120" s="57">
        <f t="shared" si="19"/>
        <v>5</v>
      </c>
      <c r="I120" s="57">
        <f t="shared" si="20"/>
        <v>70</v>
      </c>
      <c r="J120" s="55">
        <v>25.3</v>
      </c>
      <c r="K120" s="55">
        <v>1.1599999999999999</v>
      </c>
      <c r="L120" s="55">
        <f t="shared" si="21"/>
        <v>115.99999999999999</v>
      </c>
      <c r="M120" s="55">
        <f>104-40</f>
        <v>64</v>
      </c>
      <c r="N120" s="55">
        <f t="shared" si="22"/>
        <v>44.827586206896548</v>
      </c>
      <c r="O120" s="1">
        <v>0</v>
      </c>
      <c r="P120" s="1">
        <v>0</v>
      </c>
      <c r="Q120" s="100">
        <f t="shared" si="23"/>
        <v>18.802021403091558</v>
      </c>
      <c r="S120" s="91">
        <v>0.36445234329081977</v>
      </c>
      <c r="T120" s="91">
        <v>64.223987262244194</v>
      </c>
      <c r="U120" s="39" t="str">
        <f t="shared" si="24"/>
        <v>Normal</v>
      </c>
      <c r="V120" s="91">
        <v>-0.74470677697780585</v>
      </c>
      <c r="W120" s="91">
        <v>22.822450069050472</v>
      </c>
      <c r="X120" s="40" t="str">
        <f t="shared" si="25"/>
        <v>Normal</v>
      </c>
      <c r="Y120" s="155">
        <v>1.8561907814385619</v>
      </c>
      <c r="Z120" s="91">
        <v>96.828681519438661</v>
      </c>
      <c r="AA120" s="39" t="str">
        <f t="shared" si="26"/>
        <v>Obesidad</v>
      </c>
      <c r="AB120" s="58"/>
      <c r="AC120" s="58"/>
      <c r="AD120" s="63"/>
      <c r="AE120" s="58" t="s">
        <v>172</v>
      </c>
      <c r="AF120" s="58" t="s">
        <v>172</v>
      </c>
      <c r="AG120" s="58" t="s">
        <v>172</v>
      </c>
      <c r="AN120" s="117"/>
    </row>
    <row r="121" spans="1:40" ht="15.75" x14ac:dyDescent="0.25">
      <c r="A121" s="55">
        <v>118</v>
      </c>
      <c r="B121" s="61" t="s">
        <v>232</v>
      </c>
      <c r="C121" s="55">
        <v>1</v>
      </c>
      <c r="D121" s="55" t="s">
        <v>7</v>
      </c>
      <c r="E121" s="55">
        <v>2</v>
      </c>
      <c r="F121" s="56">
        <v>42086</v>
      </c>
      <c r="G121" s="56">
        <v>44448</v>
      </c>
      <c r="H121" s="57">
        <f t="shared" si="19"/>
        <v>6</v>
      </c>
      <c r="I121" s="57">
        <f t="shared" si="20"/>
        <v>77</v>
      </c>
      <c r="J121" s="55">
        <v>17.100000000000001</v>
      </c>
      <c r="K121" s="55">
        <v>1.1200000000000001</v>
      </c>
      <c r="L121" s="55">
        <f t="shared" si="21"/>
        <v>112.00000000000001</v>
      </c>
      <c r="M121" s="55">
        <f>101-40</f>
        <v>61</v>
      </c>
      <c r="N121" s="55">
        <f t="shared" si="22"/>
        <v>45.535714285714292</v>
      </c>
      <c r="O121" s="1">
        <v>0</v>
      </c>
      <c r="P121" s="1">
        <v>0</v>
      </c>
      <c r="Q121" s="100">
        <f t="shared" si="23"/>
        <v>13.632015306122447</v>
      </c>
      <c r="S121" s="91">
        <v>-1.0451629469187491</v>
      </c>
      <c r="T121" s="91">
        <v>14.79738326767975</v>
      </c>
      <c r="U121" s="39" t="str">
        <f t="shared" si="24"/>
        <v>Normal</v>
      </c>
      <c r="V121" s="91">
        <v>-0.92369608087299793</v>
      </c>
      <c r="W121" s="91">
        <v>17.782228658811743</v>
      </c>
      <c r="X121" s="40" t="str">
        <f t="shared" si="25"/>
        <v>Normal</v>
      </c>
      <c r="Y121" s="155">
        <v>-1.1914741146677417</v>
      </c>
      <c r="Z121" s="91">
        <v>11.673375631936933</v>
      </c>
      <c r="AA121" s="39" t="str">
        <f t="shared" si="26"/>
        <v>Bajo Peso</v>
      </c>
      <c r="AB121" s="58"/>
      <c r="AC121" s="58"/>
      <c r="AD121" s="63"/>
      <c r="AE121" s="58" t="s">
        <v>172</v>
      </c>
      <c r="AF121" s="58" t="s">
        <v>172</v>
      </c>
      <c r="AG121" s="58" t="s">
        <v>172</v>
      </c>
      <c r="AN121" s="98"/>
    </row>
    <row r="122" spans="1:40" ht="15.75" x14ac:dyDescent="0.25">
      <c r="A122" s="55">
        <v>119</v>
      </c>
      <c r="B122" s="61" t="s">
        <v>233</v>
      </c>
      <c r="C122" s="55">
        <v>1</v>
      </c>
      <c r="D122" s="55" t="s">
        <v>7</v>
      </c>
      <c r="E122" s="55">
        <v>2</v>
      </c>
      <c r="F122" s="56">
        <v>42320</v>
      </c>
      <c r="G122" s="56">
        <v>44448</v>
      </c>
      <c r="H122" s="57">
        <f t="shared" si="19"/>
        <v>5</v>
      </c>
      <c r="I122" s="57">
        <f t="shared" si="20"/>
        <v>69</v>
      </c>
      <c r="J122" s="55">
        <v>17</v>
      </c>
      <c r="K122" s="55">
        <v>1.07</v>
      </c>
      <c r="L122" s="55">
        <f t="shared" si="21"/>
        <v>107</v>
      </c>
      <c r="M122" s="55">
        <f>98.5-40</f>
        <v>58.5</v>
      </c>
      <c r="N122" s="55">
        <f t="shared" si="22"/>
        <v>45.32710280373832</v>
      </c>
      <c r="O122" s="1">
        <v>0</v>
      </c>
      <c r="P122" s="1">
        <v>0</v>
      </c>
      <c r="Q122" s="100">
        <f t="shared" si="23"/>
        <v>14.848458380644598</v>
      </c>
      <c r="S122" s="91">
        <v>-1.3261461283951448</v>
      </c>
      <c r="T122" s="91">
        <v>9.2395649668188771</v>
      </c>
      <c r="U122" s="39" t="str">
        <f t="shared" si="24"/>
        <v>Normal</v>
      </c>
      <c r="V122" s="91">
        <v>-0.42752585573606289</v>
      </c>
      <c r="W122" s="91">
        <v>33.449817844755799</v>
      </c>
      <c r="X122" s="40" t="str">
        <f t="shared" si="25"/>
        <v>Normal</v>
      </c>
      <c r="Y122" s="155">
        <v>-0.27239133054414683</v>
      </c>
      <c r="Z122" s="91">
        <v>39.266056899979901</v>
      </c>
      <c r="AA122" s="39" t="str">
        <f t="shared" si="26"/>
        <v>Normal</v>
      </c>
      <c r="AB122" s="58"/>
      <c r="AC122" s="58"/>
      <c r="AD122" s="63"/>
      <c r="AE122" s="58" t="s">
        <v>172</v>
      </c>
      <c r="AF122" s="58" t="s">
        <v>172</v>
      </c>
      <c r="AG122" s="58" t="s">
        <v>172</v>
      </c>
      <c r="AN122" s="98"/>
    </row>
    <row r="123" spans="1:40" ht="15.75" x14ac:dyDescent="0.25">
      <c r="A123" s="55">
        <v>120</v>
      </c>
      <c r="B123" s="61" t="s">
        <v>234</v>
      </c>
      <c r="C123" s="55">
        <v>2</v>
      </c>
      <c r="D123" s="55" t="s">
        <v>7</v>
      </c>
      <c r="E123" s="55">
        <v>1</v>
      </c>
      <c r="F123" s="56">
        <v>41481</v>
      </c>
      <c r="G123" s="56">
        <v>44448</v>
      </c>
      <c r="H123" s="57">
        <f t="shared" ref="H123:H143" si="27">DATEDIF(F123,G123,"y")</f>
        <v>8</v>
      </c>
      <c r="I123" s="57">
        <f t="shared" si="20"/>
        <v>97</v>
      </c>
      <c r="J123" s="55">
        <v>23.2</v>
      </c>
      <c r="K123" s="55">
        <v>1.22</v>
      </c>
      <c r="L123" s="55">
        <f t="shared" si="21"/>
        <v>122</v>
      </c>
      <c r="M123" s="55">
        <f>107.5-40</f>
        <v>67.5</v>
      </c>
      <c r="N123" s="55">
        <f t="shared" si="22"/>
        <v>44.672131147540981</v>
      </c>
      <c r="O123" s="1">
        <v>0</v>
      </c>
      <c r="P123" s="1">
        <v>0</v>
      </c>
      <c r="Q123" s="100">
        <f t="shared" si="23"/>
        <v>15.587207739854877</v>
      </c>
      <c r="S123" s="91">
        <v>-1.0061260581599163</v>
      </c>
      <c r="T123" s="91">
        <v>15.717746758157569</v>
      </c>
      <c r="U123" s="39" t="str">
        <f t="shared" si="24"/>
        <v>Normal</v>
      </c>
      <c r="V123" s="91">
        <v>-2.1475860883558218</v>
      </c>
      <c r="W123" s="91">
        <v>1.5873325774222939</v>
      </c>
      <c r="X123" s="40" t="str">
        <f t="shared" si="25"/>
        <v>Piernas cortas</v>
      </c>
      <c r="Y123" s="155">
        <v>-0.11658398583976626</v>
      </c>
      <c r="Z123" s="91">
        <v>45.359486431238864</v>
      </c>
      <c r="AA123" s="39" t="str">
        <f t="shared" si="26"/>
        <v>Normal</v>
      </c>
      <c r="AB123" s="58"/>
      <c r="AC123" s="58"/>
      <c r="AD123" s="63"/>
      <c r="AE123" s="58" t="s">
        <v>172</v>
      </c>
      <c r="AF123" s="58" t="s">
        <v>172</v>
      </c>
      <c r="AG123" s="58" t="s">
        <v>172</v>
      </c>
      <c r="AN123" s="98"/>
    </row>
    <row r="124" spans="1:40" ht="15.75" x14ac:dyDescent="0.25">
      <c r="A124" s="55">
        <v>121</v>
      </c>
      <c r="B124" s="61" t="s">
        <v>235</v>
      </c>
      <c r="C124" s="55">
        <v>2</v>
      </c>
      <c r="D124" s="55" t="s">
        <v>7</v>
      </c>
      <c r="E124" s="55">
        <v>2</v>
      </c>
      <c r="F124" s="56">
        <v>41736</v>
      </c>
      <c r="G124" s="56">
        <v>44448</v>
      </c>
      <c r="H124" s="57">
        <f t="shared" si="27"/>
        <v>7</v>
      </c>
      <c r="I124" s="57">
        <f t="shared" si="20"/>
        <v>89</v>
      </c>
      <c r="J124" s="55">
        <v>24.4</v>
      </c>
      <c r="K124" s="55">
        <v>1.28</v>
      </c>
      <c r="L124" s="55">
        <f t="shared" si="21"/>
        <v>128</v>
      </c>
      <c r="M124" s="55">
        <f>107.8-40</f>
        <v>67.8</v>
      </c>
      <c r="N124" s="55">
        <f t="shared" si="22"/>
        <v>47.03125</v>
      </c>
      <c r="O124" s="1">
        <v>0</v>
      </c>
      <c r="P124" s="1">
        <v>0</v>
      </c>
      <c r="Q124" s="100">
        <f t="shared" si="23"/>
        <v>14.892578124999998</v>
      </c>
      <c r="S124" s="91">
        <v>0.85854467465040718</v>
      </c>
      <c r="T124" s="91">
        <v>80.47041135500406</v>
      </c>
      <c r="U124" s="39" t="str">
        <f t="shared" si="24"/>
        <v>Normal</v>
      </c>
      <c r="V124" s="91">
        <v>-0.37438352657373036</v>
      </c>
      <c r="W124" s="91">
        <v>35.40594985960179</v>
      </c>
      <c r="X124" s="40" t="str">
        <f t="shared" si="25"/>
        <v>Normal</v>
      </c>
      <c r="Y124" s="155">
        <v>-0.37492050612201994</v>
      </c>
      <c r="Z124" s="91">
        <v>35.385979397130562</v>
      </c>
      <c r="AA124" s="39" t="str">
        <f t="shared" si="26"/>
        <v>Normal</v>
      </c>
      <c r="AB124" s="58"/>
      <c r="AC124" s="58"/>
      <c r="AD124" s="63"/>
      <c r="AE124" s="58" t="s">
        <v>172</v>
      </c>
      <c r="AF124" s="58" t="s">
        <v>172</v>
      </c>
      <c r="AG124" s="58" t="s">
        <v>172</v>
      </c>
    </row>
    <row r="125" spans="1:40" ht="15.75" x14ac:dyDescent="0.25">
      <c r="A125" s="55">
        <v>122</v>
      </c>
      <c r="B125" s="61" t="s">
        <v>236</v>
      </c>
      <c r="C125" s="55">
        <v>2</v>
      </c>
      <c r="D125" s="55" t="s">
        <v>7</v>
      </c>
      <c r="E125" s="55">
        <v>2</v>
      </c>
      <c r="F125" s="56">
        <v>41663</v>
      </c>
      <c r="G125" s="56">
        <v>44448</v>
      </c>
      <c r="H125" s="57">
        <f t="shared" si="27"/>
        <v>7</v>
      </c>
      <c r="I125" s="57">
        <f t="shared" si="20"/>
        <v>91</v>
      </c>
      <c r="J125" s="55">
        <v>29.8</v>
      </c>
      <c r="K125" s="55">
        <v>1.29</v>
      </c>
      <c r="L125" s="55">
        <f t="shared" si="21"/>
        <v>129</v>
      </c>
      <c r="M125" s="55">
        <f>111.5-40</f>
        <v>71.5</v>
      </c>
      <c r="N125" s="55">
        <f t="shared" si="22"/>
        <v>44.573643410852718</v>
      </c>
      <c r="O125" s="1">
        <v>0</v>
      </c>
      <c r="P125" s="1">
        <v>0</v>
      </c>
      <c r="Q125" s="100">
        <f t="shared" si="23"/>
        <v>17.9075776696112</v>
      </c>
      <c r="S125" s="91">
        <v>0.85770775239244423</v>
      </c>
      <c r="T125" s="91">
        <v>80.447307089568937</v>
      </c>
      <c r="U125" s="39" t="str">
        <f t="shared" si="24"/>
        <v>Normal</v>
      </c>
      <c r="V125" s="91">
        <v>-2.1112643766376435</v>
      </c>
      <c r="W125" s="91">
        <v>1.7374797086947562</v>
      </c>
      <c r="X125" s="40" t="str">
        <f t="shared" si="25"/>
        <v>Piernas cortas</v>
      </c>
      <c r="Y125" s="155">
        <v>1.1635589217301574</v>
      </c>
      <c r="Z125" s="91">
        <v>87.76985966338205</v>
      </c>
      <c r="AA125" s="39" t="str">
        <f t="shared" si="26"/>
        <v>Obesidad</v>
      </c>
      <c r="AB125" s="58"/>
      <c r="AC125" s="58"/>
      <c r="AD125" s="63"/>
      <c r="AE125" s="58" t="s">
        <v>172</v>
      </c>
      <c r="AF125" s="58" t="s">
        <v>172</v>
      </c>
      <c r="AG125" s="58" t="s">
        <v>172</v>
      </c>
    </row>
    <row r="126" spans="1:40" ht="15.75" x14ac:dyDescent="0.25">
      <c r="A126" s="55">
        <v>123</v>
      </c>
      <c r="B126" s="61" t="s">
        <v>237</v>
      </c>
      <c r="C126" s="55">
        <v>3</v>
      </c>
      <c r="D126" s="55" t="s">
        <v>7</v>
      </c>
      <c r="E126" s="55">
        <v>2</v>
      </c>
      <c r="F126" s="56">
        <v>41601</v>
      </c>
      <c r="G126" s="56">
        <v>44448</v>
      </c>
      <c r="H126" s="57">
        <f t="shared" si="27"/>
        <v>7</v>
      </c>
      <c r="I126" s="57">
        <f t="shared" si="20"/>
        <v>93</v>
      </c>
      <c r="J126" s="55">
        <v>30.2</v>
      </c>
      <c r="K126" s="55">
        <v>1.21</v>
      </c>
      <c r="L126" s="55">
        <f t="shared" si="21"/>
        <v>121</v>
      </c>
      <c r="M126" s="55">
        <f>100.6-40</f>
        <v>60.599999999999994</v>
      </c>
      <c r="N126" s="55">
        <f t="shared" si="22"/>
        <v>49.917355371900825</v>
      </c>
      <c r="O126" s="1">
        <v>0</v>
      </c>
      <c r="P126" s="1">
        <v>0</v>
      </c>
      <c r="Q126" s="100">
        <f t="shared" si="23"/>
        <v>20.627006352025134</v>
      </c>
      <c r="S126" s="91">
        <v>-0.71806898738848191</v>
      </c>
      <c r="T126" s="91">
        <v>23.635737551820522</v>
      </c>
      <c r="U126" s="39" t="str">
        <f t="shared" si="24"/>
        <v>Normal</v>
      </c>
      <c r="V126" s="91">
        <v>1.5438609333562203</v>
      </c>
      <c r="W126" s="91">
        <v>93.86889870011747</v>
      </c>
      <c r="X126" s="40" t="str">
        <f t="shared" si="25"/>
        <v>Normal</v>
      </c>
      <c r="Y126" s="155">
        <v>2.0840013672545954</v>
      </c>
      <c r="Z126" s="91">
        <v>98.141997855136054</v>
      </c>
      <c r="AA126" s="39" t="str">
        <f t="shared" si="26"/>
        <v>Obesidad</v>
      </c>
      <c r="AB126" s="58"/>
      <c r="AC126" s="58"/>
      <c r="AD126" s="63"/>
      <c r="AE126" s="58" t="s">
        <v>172</v>
      </c>
      <c r="AF126" s="58" t="s">
        <v>172</v>
      </c>
      <c r="AG126" s="58" t="s">
        <v>172</v>
      </c>
    </row>
    <row r="127" spans="1:40" ht="15.75" x14ac:dyDescent="0.25">
      <c r="A127" s="55">
        <v>124</v>
      </c>
      <c r="B127" s="61" t="s">
        <v>238</v>
      </c>
      <c r="C127" s="55">
        <v>4</v>
      </c>
      <c r="D127" s="55" t="s">
        <v>7</v>
      </c>
      <c r="E127" s="55">
        <v>1</v>
      </c>
      <c r="F127" s="56">
        <v>41246</v>
      </c>
      <c r="G127" s="56">
        <v>44448</v>
      </c>
      <c r="H127" s="57">
        <f t="shared" si="27"/>
        <v>8</v>
      </c>
      <c r="I127" s="57">
        <f t="shared" si="20"/>
        <v>105</v>
      </c>
      <c r="J127" s="55">
        <v>21.7</v>
      </c>
      <c r="K127" s="55">
        <v>1.32</v>
      </c>
      <c r="L127" s="55">
        <f t="shared" si="21"/>
        <v>132</v>
      </c>
      <c r="M127" s="55">
        <f>108.7-40</f>
        <v>68.7</v>
      </c>
      <c r="N127" s="55">
        <f t="shared" si="22"/>
        <v>47.954545454545453</v>
      </c>
      <c r="O127" s="1">
        <v>0</v>
      </c>
      <c r="P127" s="1">
        <v>0</v>
      </c>
      <c r="Q127" s="100">
        <f t="shared" si="23"/>
        <v>12.45408631772268</v>
      </c>
      <c r="S127" s="91">
        <v>0.12675941080465566</v>
      </c>
      <c r="T127" s="91">
        <v>55.043458899690293</v>
      </c>
      <c r="U127" s="39" t="str">
        <f t="shared" si="24"/>
        <v>Normal</v>
      </c>
      <c r="V127" s="91">
        <v>7.4725843382462576E-2</v>
      </c>
      <c r="W127" s="91">
        <v>52.978357744522889</v>
      </c>
      <c r="X127" s="40" t="str">
        <f t="shared" si="25"/>
        <v>Normal</v>
      </c>
      <c r="Y127" s="155">
        <v>-3.0759233550126086</v>
      </c>
      <c r="Z127" s="91">
        <v>0.10492589041197929</v>
      </c>
      <c r="AA127" s="39" t="str">
        <f t="shared" si="26"/>
        <v>Desnutricion</v>
      </c>
      <c r="AB127" s="58"/>
      <c r="AC127" s="58"/>
      <c r="AD127" s="63"/>
      <c r="AE127" s="58" t="s">
        <v>172</v>
      </c>
      <c r="AF127" s="58" t="s">
        <v>172</v>
      </c>
      <c r="AG127" s="58" t="s">
        <v>172</v>
      </c>
    </row>
    <row r="128" spans="1:40" ht="15.75" x14ac:dyDescent="0.25">
      <c r="A128" s="55">
        <v>125</v>
      </c>
      <c r="B128" s="61" t="s">
        <v>239</v>
      </c>
      <c r="C128" s="55">
        <v>4</v>
      </c>
      <c r="D128" s="55" t="s">
        <v>7</v>
      </c>
      <c r="E128" s="55">
        <v>1</v>
      </c>
      <c r="F128" s="56">
        <v>41209</v>
      </c>
      <c r="G128" s="56">
        <v>44448</v>
      </c>
      <c r="H128" s="57">
        <f t="shared" si="27"/>
        <v>8</v>
      </c>
      <c r="I128" s="57">
        <f t="shared" si="20"/>
        <v>106</v>
      </c>
      <c r="J128" s="55">
        <v>26</v>
      </c>
      <c r="K128" s="55">
        <v>1.29</v>
      </c>
      <c r="L128" s="55">
        <f t="shared" si="21"/>
        <v>129</v>
      </c>
      <c r="M128" s="55">
        <f>107.2-40</f>
        <v>67.2</v>
      </c>
      <c r="N128" s="55">
        <f t="shared" si="22"/>
        <v>47.906976744186039</v>
      </c>
      <c r="O128" s="1">
        <v>0</v>
      </c>
      <c r="P128" s="1">
        <v>0</v>
      </c>
      <c r="Q128" s="100">
        <f t="shared" si="23"/>
        <v>15.624061054023194</v>
      </c>
      <c r="S128" s="91">
        <v>-0.4517560987925302</v>
      </c>
      <c r="T128" s="91">
        <v>32.572234974396828</v>
      </c>
      <c r="U128" s="39" t="str">
        <f t="shared" si="24"/>
        <v>Normal</v>
      </c>
      <c r="V128" s="91">
        <v>4.3717151877411098E-2</v>
      </c>
      <c r="W128" s="91">
        <v>51.743506646687401</v>
      </c>
      <c r="X128" s="40" t="str">
        <f t="shared" si="25"/>
        <v>Normal</v>
      </c>
      <c r="Y128" s="155">
        <v>-0.23866879881114669</v>
      </c>
      <c r="Z128" s="91">
        <v>40.568120628471178</v>
      </c>
      <c r="AA128" s="39" t="str">
        <f t="shared" si="26"/>
        <v>Normal</v>
      </c>
      <c r="AB128" s="58"/>
      <c r="AC128" s="58"/>
      <c r="AD128" s="63"/>
      <c r="AE128" s="58" t="s">
        <v>172</v>
      </c>
      <c r="AF128" s="58" t="s">
        <v>172</v>
      </c>
      <c r="AG128" s="58" t="s">
        <v>172</v>
      </c>
    </row>
    <row r="129" spans="1:41" ht="15.75" x14ac:dyDescent="0.25">
      <c r="A129" s="55">
        <v>126</v>
      </c>
      <c r="B129" s="61" t="s">
        <v>240</v>
      </c>
      <c r="C129" s="55">
        <v>4</v>
      </c>
      <c r="D129" s="55" t="s">
        <v>7</v>
      </c>
      <c r="E129" s="55">
        <v>1</v>
      </c>
      <c r="F129" s="56">
        <v>40945</v>
      </c>
      <c r="G129" s="56">
        <v>44448</v>
      </c>
      <c r="H129" s="57">
        <f t="shared" si="27"/>
        <v>9</v>
      </c>
      <c r="I129" s="57">
        <f t="shared" si="20"/>
        <v>115</v>
      </c>
      <c r="J129" s="55">
        <v>49.2</v>
      </c>
      <c r="K129" s="55">
        <v>1.36</v>
      </c>
      <c r="L129" s="55">
        <f t="shared" si="21"/>
        <v>136</v>
      </c>
      <c r="M129" s="55">
        <f>112-40</f>
        <v>72</v>
      </c>
      <c r="N129" s="55">
        <f t="shared" si="22"/>
        <v>47.058823529411761</v>
      </c>
      <c r="O129" s="1">
        <v>0</v>
      </c>
      <c r="P129" s="1">
        <v>0</v>
      </c>
      <c r="Q129" s="100">
        <f t="shared" si="23"/>
        <v>26.600346020761243</v>
      </c>
      <c r="S129" s="91">
        <v>6.1573515507949761E-2</v>
      </c>
      <c r="T129" s="91">
        <v>52.454876576288676</v>
      </c>
      <c r="U129" s="39" t="str">
        <f t="shared" si="24"/>
        <v>Normal</v>
      </c>
      <c r="V129" s="91">
        <v>-0.78858687134931427</v>
      </c>
      <c r="W129" s="91">
        <v>21.517675334806825</v>
      </c>
      <c r="X129" s="40" t="str">
        <f t="shared" si="25"/>
        <v>Normal</v>
      </c>
      <c r="Y129" s="155">
        <v>3.2189668184544531</v>
      </c>
      <c r="Z129" s="91">
        <v>99.935673314188719</v>
      </c>
      <c r="AA129" s="39" t="str">
        <f t="shared" si="26"/>
        <v>Obesidad</v>
      </c>
      <c r="AB129" s="58"/>
      <c r="AC129" s="58"/>
      <c r="AD129" s="63"/>
      <c r="AE129" s="58" t="s">
        <v>172</v>
      </c>
      <c r="AF129" s="58" t="s">
        <v>172</v>
      </c>
      <c r="AG129" s="58" t="s">
        <v>172</v>
      </c>
    </row>
    <row r="130" spans="1:41" ht="15.75" x14ac:dyDescent="0.25">
      <c r="A130" s="55">
        <v>127</v>
      </c>
      <c r="B130" s="61" t="s">
        <v>241</v>
      </c>
      <c r="C130" s="55">
        <v>4</v>
      </c>
      <c r="D130" s="55" t="s">
        <v>7</v>
      </c>
      <c r="E130" s="55">
        <v>2</v>
      </c>
      <c r="F130" s="56">
        <v>41135</v>
      </c>
      <c r="G130" s="56">
        <v>44448</v>
      </c>
      <c r="H130" s="57">
        <f t="shared" si="27"/>
        <v>9</v>
      </c>
      <c r="I130" s="57">
        <f t="shared" si="20"/>
        <v>108</v>
      </c>
      <c r="J130" s="55">
        <v>32.200000000000003</v>
      </c>
      <c r="K130" s="55">
        <v>1.3</v>
      </c>
      <c r="L130" s="55">
        <f t="shared" si="21"/>
        <v>130</v>
      </c>
      <c r="M130" s="55">
        <f>109.3-40</f>
        <v>69.3</v>
      </c>
      <c r="N130" s="55">
        <f t="shared" si="22"/>
        <v>46.692307692307693</v>
      </c>
      <c r="O130" s="1">
        <v>0</v>
      </c>
      <c r="P130" s="1">
        <v>0</v>
      </c>
      <c r="Q130" s="100">
        <f t="shared" si="23"/>
        <v>19.053254437869821</v>
      </c>
      <c r="S130" s="91">
        <v>-0.40820589899261317</v>
      </c>
      <c r="T130" s="91">
        <v>34.15612588507615</v>
      </c>
      <c r="U130" s="39" t="str">
        <f t="shared" si="24"/>
        <v>Normal</v>
      </c>
      <c r="V130" s="91">
        <v>-1.1472983709754025</v>
      </c>
      <c r="W130" s="91">
        <v>12.56291635306453</v>
      </c>
      <c r="X130" s="40" t="str">
        <f t="shared" si="25"/>
        <v>Normal</v>
      </c>
      <c r="Y130" s="155">
        <v>1.2645947004950051</v>
      </c>
      <c r="Z130" s="91">
        <v>89.699167311622773</v>
      </c>
      <c r="AA130" s="39" t="str">
        <f t="shared" si="26"/>
        <v>Obesidad</v>
      </c>
      <c r="AB130" s="58"/>
      <c r="AC130" s="58"/>
      <c r="AD130" s="63"/>
      <c r="AE130" s="58" t="s">
        <v>172</v>
      </c>
      <c r="AF130" s="58" t="s">
        <v>172</v>
      </c>
      <c r="AG130" s="58" t="s">
        <v>172</v>
      </c>
      <c r="AM130" s="112"/>
    </row>
    <row r="131" spans="1:41" ht="15.75" x14ac:dyDescent="0.25">
      <c r="A131" s="55">
        <v>128</v>
      </c>
      <c r="B131" s="61" t="s">
        <v>242</v>
      </c>
      <c r="C131" s="55">
        <v>4</v>
      </c>
      <c r="D131" s="55" t="s">
        <v>7</v>
      </c>
      <c r="E131" s="55">
        <v>2</v>
      </c>
      <c r="F131" s="56">
        <v>41214</v>
      </c>
      <c r="G131" s="56">
        <v>44448</v>
      </c>
      <c r="H131" s="57">
        <f t="shared" si="27"/>
        <v>8</v>
      </c>
      <c r="I131" s="57">
        <f t="shared" si="20"/>
        <v>106</v>
      </c>
      <c r="J131" s="55">
        <v>33.799999999999997</v>
      </c>
      <c r="K131" s="55">
        <v>1.34</v>
      </c>
      <c r="L131" s="55">
        <f t="shared" si="21"/>
        <v>134</v>
      </c>
      <c r="M131" s="55">
        <f>109.5-40</f>
        <v>69.5</v>
      </c>
      <c r="N131" s="55">
        <f t="shared" si="22"/>
        <v>48.134328358208954</v>
      </c>
      <c r="O131" s="1">
        <v>0</v>
      </c>
      <c r="P131" s="1">
        <v>0</v>
      </c>
      <c r="Q131" s="100">
        <f t="shared" si="23"/>
        <v>18.823791490309642</v>
      </c>
      <c r="S131" s="91">
        <v>0.4143398279372541</v>
      </c>
      <c r="T131" s="91">
        <v>66.068737524182936</v>
      </c>
      <c r="U131" s="39" t="str">
        <f t="shared" si="24"/>
        <v>Normal</v>
      </c>
      <c r="V131" s="91">
        <v>4.3136861037731261E-2</v>
      </c>
      <c r="W131" s="91">
        <v>51.720378211224237</v>
      </c>
      <c r="X131" s="40" t="str">
        <f t="shared" si="25"/>
        <v>Normal</v>
      </c>
      <c r="Y131" s="155">
        <v>1.2255931201748762</v>
      </c>
      <c r="Z131" s="91">
        <v>88.982408594631167</v>
      </c>
      <c r="AA131" s="39" t="str">
        <f t="shared" si="26"/>
        <v>Obesidad</v>
      </c>
      <c r="AB131" s="58"/>
      <c r="AC131" s="58"/>
      <c r="AD131" s="63"/>
      <c r="AE131" s="58" t="s">
        <v>172</v>
      </c>
      <c r="AF131" s="58" t="s">
        <v>172</v>
      </c>
      <c r="AG131" s="58" t="s">
        <v>172</v>
      </c>
    </row>
    <row r="132" spans="1:41" ht="15.75" x14ac:dyDescent="0.25">
      <c r="A132" s="55">
        <v>129</v>
      </c>
      <c r="B132" s="61" t="s">
        <v>243</v>
      </c>
      <c r="C132" s="55">
        <v>4</v>
      </c>
      <c r="D132" s="55" t="s">
        <v>7</v>
      </c>
      <c r="E132" s="55">
        <v>2</v>
      </c>
      <c r="F132" s="56">
        <v>40990</v>
      </c>
      <c r="G132" s="56">
        <v>44448</v>
      </c>
      <c r="H132" s="57">
        <f t="shared" si="27"/>
        <v>9</v>
      </c>
      <c r="I132" s="57">
        <f t="shared" si="20"/>
        <v>113</v>
      </c>
      <c r="J132" s="55">
        <v>25</v>
      </c>
      <c r="K132" s="55">
        <v>1.32</v>
      </c>
      <c r="L132" s="55">
        <f t="shared" si="21"/>
        <v>132</v>
      </c>
      <c r="M132" s="55">
        <f>109-40</f>
        <v>69</v>
      </c>
      <c r="N132" s="55">
        <f t="shared" si="22"/>
        <v>47.727272727272727</v>
      </c>
      <c r="O132" s="1">
        <v>0</v>
      </c>
      <c r="P132" s="1">
        <v>0</v>
      </c>
      <c r="Q132" s="100">
        <f t="shared" si="23"/>
        <v>14.348025711662073</v>
      </c>
      <c r="S132" s="91">
        <v>-0.48610775432556563</v>
      </c>
      <c r="T132" s="91">
        <v>31.344538466551587</v>
      </c>
      <c r="U132" s="39" t="str">
        <f t="shared" si="24"/>
        <v>Normal</v>
      </c>
      <c r="V132" s="91">
        <v>-0.4384571025713272</v>
      </c>
      <c r="W132" s="91">
        <v>33.052748011687825</v>
      </c>
      <c r="X132" s="40" t="str">
        <f t="shared" si="25"/>
        <v>Normal</v>
      </c>
      <c r="Y132" s="155">
        <v>-1.1673245487744919</v>
      </c>
      <c r="Z132" s="91">
        <v>12.153966424886603</v>
      </c>
      <c r="AA132" s="39" t="str">
        <f t="shared" si="26"/>
        <v>Bajo Peso</v>
      </c>
      <c r="AB132" s="58"/>
      <c r="AC132" s="58"/>
      <c r="AD132" s="63"/>
      <c r="AE132" s="58" t="s">
        <v>172</v>
      </c>
      <c r="AF132" s="58" t="s">
        <v>172</v>
      </c>
      <c r="AG132" s="58" t="s">
        <v>172</v>
      </c>
      <c r="AM132" s="109"/>
      <c r="AN132" s="109"/>
    </row>
    <row r="133" spans="1:41" ht="15.75" x14ac:dyDescent="0.25">
      <c r="A133" s="55">
        <v>130</v>
      </c>
      <c r="B133" s="61" t="s">
        <v>244</v>
      </c>
      <c r="C133" s="55">
        <v>4</v>
      </c>
      <c r="D133" s="55" t="s">
        <v>7</v>
      </c>
      <c r="E133" s="55">
        <v>2</v>
      </c>
      <c r="F133" s="56">
        <v>41047</v>
      </c>
      <c r="G133" s="56">
        <v>44448</v>
      </c>
      <c r="H133" s="57">
        <f t="shared" si="27"/>
        <v>9</v>
      </c>
      <c r="I133" s="57">
        <f t="shared" si="20"/>
        <v>111</v>
      </c>
      <c r="J133" s="55">
        <v>48.5</v>
      </c>
      <c r="K133" s="55">
        <v>1.49</v>
      </c>
      <c r="L133" s="55">
        <f t="shared" si="21"/>
        <v>149</v>
      </c>
      <c r="M133" s="55">
        <f>119.5-40</f>
        <v>79.5</v>
      </c>
      <c r="N133" s="55">
        <f t="shared" si="22"/>
        <v>46.644295302013425</v>
      </c>
      <c r="O133" s="1">
        <v>0</v>
      </c>
      <c r="P133" s="1">
        <v>0</v>
      </c>
      <c r="Q133" s="100">
        <f t="shared" si="23"/>
        <v>21.84586279897302</v>
      </c>
      <c r="S133" s="91">
        <v>2.4234537377788263</v>
      </c>
      <c r="T133" s="91">
        <v>99.231314437761213</v>
      </c>
      <c r="U133" s="39" t="str">
        <f t="shared" si="24"/>
        <v>Alto</v>
      </c>
      <c r="V133" s="91">
        <v>-1.1805977899261451</v>
      </c>
      <c r="W133" s="91">
        <v>11.888127101090101</v>
      </c>
      <c r="X133" s="40" t="str">
        <f t="shared" si="25"/>
        <v>Normal</v>
      </c>
      <c r="Y133" s="155">
        <v>2.0188340620204364</v>
      </c>
      <c r="Z133" s="91">
        <v>97.824776526735562</v>
      </c>
      <c r="AA133" s="39" t="str">
        <f t="shared" si="26"/>
        <v>Obesidad</v>
      </c>
      <c r="AB133" s="58"/>
      <c r="AC133" s="58"/>
      <c r="AD133" s="63"/>
      <c r="AE133" s="58" t="s">
        <v>172</v>
      </c>
      <c r="AF133" s="58" t="s">
        <v>172</v>
      </c>
      <c r="AG133" s="58" t="s">
        <v>172</v>
      </c>
      <c r="AN133" s="106"/>
      <c r="AO133" s="118"/>
    </row>
    <row r="134" spans="1:41" ht="15.75" x14ac:dyDescent="0.25">
      <c r="A134" s="55">
        <v>131</v>
      </c>
      <c r="B134" s="62" t="s">
        <v>245</v>
      </c>
      <c r="C134" s="55">
        <v>4</v>
      </c>
      <c r="D134" s="55" t="s">
        <v>7</v>
      </c>
      <c r="E134" s="55">
        <v>1</v>
      </c>
      <c r="F134" s="56">
        <v>41264</v>
      </c>
      <c r="G134" s="56">
        <v>44448</v>
      </c>
      <c r="H134" s="57">
        <f t="shared" si="27"/>
        <v>8</v>
      </c>
      <c r="I134" s="57">
        <f t="shared" si="20"/>
        <v>104</v>
      </c>
      <c r="J134" s="55">
        <v>29.7</v>
      </c>
      <c r="K134" s="55">
        <v>1.28</v>
      </c>
      <c r="L134" s="55">
        <f t="shared" si="21"/>
        <v>128</v>
      </c>
      <c r="M134" s="55">
        <f>109.9-40</f>
        <v>69.900000000000006</v>
      </c>
      <c r="N134" s="55">
        <f t="shared" si="22"/>
        <v>45.390624999999993</v>
      </c>
      <c r="O134" s="1">
        <v>0</v>
      </c>
      <c r="P134" s="1">
        <v>0</v>
      </c>
      <c r="Q134" s="100">
        <f t="shared" si="23"/>
        <v>18.12744140625</v>
      </c>
      <c r="S134" s="91">
        <v>-0.47709931690849172</v>
      </c>
      <c r="T134" s="91">
        <v>31.664570054070907</v>
      </c>
      <c r="U134" s="39" t="str">
        <f t="shared" si="24"/>
        <v>Normal</v>
      </c>
      <c r="V134" s="91">
        <v>-1.6462602639267994</v>
      </c>
      <c r="W134" s="91">
        <v>4.9855093343361441</v>
      </c>
      <c r="X134" s="40" t="str">
        <f t="shared" si="25"/>
        <v>Piernas cortas</v>
      </c>
      <c r="Y134" s="155">
        <v>1.1806343736508942</v>
      </c>
      <c r="Z134" s="91">
        <v>88.112599885439806</v>
      </c>
      <c r="AA134" s="39" t="str">
        <f t="shared" si="26"/>
        <v>Obesidad</v>
      </c>
      <c r="AB134" s="58"/>
      <c r="AC134" s="58"/>
      <c r="AD134" s="63"/>
      <c r="AE134" s="58" t="s">
        <v>172</v>
      </c>
      <c r="AF134" s="58" t="s">
        <v>172</v>
      </c>
      <c r="AG134" s="58" t="s">
        <v>172</v>
      </c>
      <c r="AN134" s="110"/>
      <c r="AO134" s="111"/>
    </row>
    <row r="135" spans="1:41" ht="15.75" x14ac:dyDescent="0.25">
      <c r="A135" s="55">
        <v>132</v>
      </c>
      <c r="B135" s="62" t="s">
        <v>246</v>
      </c>
      <c r="C135" s="55">
        <v>4</v>
      </c>
      <c r="D135" s="55" t="s">
        <v>7</v>
      </c>
      <c r="E135" s="55">
        <v>2</v>
      </c>
      <c r="F135" s="56">
        <v>41060</v>
      </c>
      <c r="G135" s="56">
        <v>44448</v>
      </c>
      <c r="H135" s="57">
        <f t="shared" si="27"/>
        <v>9</v>
      </c>
      <c r="I135" s="57">
        <f t="shared" si="20"/>
        <v>111</v>
      </c>
      <c r="J135" s="55">
        <v>31.8</v>
      </c>
      <c r="K135" s="55">
        <v>1.34</v>
      </c>
      <c r="L135" s="55">
        <f t="shared" si="21"/>
        <v>134</v>
      </c>
      <c r="M135" s="55">
        <f>109.8-40</f>
        <v>69.8</v>
      </c>
      <c r="N135" s="55">
        <f t="shared" si="22"/>
        <v>47.910447761194028</v>
      </c>
      <c r="O135" s="1">
        <v>0</v>
      </c>
      <c r="P135" s="1">
        <v>0</v>
      </c>
      <c r="Q135" s="100">
        <f t="shared" si="23"/>
        <v>17.709957674314989</v>
      </c>
      <c r="S135" s="91">
        <v>-1.9079511953252067E-3</v>
      </c>
      <c r="T135" s="91">
        <v>49.923883806104918</v>
      </c>
      <c r="U135" s="39" t="str">
        <f t="shared" si="24"/>
        <v>Normal</v>
      </c>
      <c r="V135" s="91">
        <v>-0.31475385858521837</v>
      </c>
      <c r="W135" s="91">
        <v>37.647427388780287</v>
      </c>
      <c r="X135" s="40" t="str">
        <f t="shared" si="25"/>
        <v>Normal</v>
      </c>
      <c r="Y135" s="155">
        <v>0.69168142432363433</v>
      </c>
      <c r="Z135" s="91">
        <v>75.543129254132708</v>
      </c>
      <c r="AA135" s="39" t="str">
        <f t="shared" si="26"/>
        <v>Normal</v>
      </c>
      <c r="AB135" s="58"/>
      <c r="AC135" s="58"/>
      <c r="AD135" s="63"/>
      <c r="AE135" s="58" t="s">
        <v>172</v>
      </c>
      <c r="AF135" s="58" t="s">
        <v>172</v>
      </c>
      <c r="AG135" s="58" t="s">
        <v>172</v>
      </c>
      <c r="AN135" s="110"/>
      <c r="AO135" s="111"/>
    </row>
    <row r="136" spans="1:41" ht="15.75" x14ac:dyDescent="0.25">
      <c r="A136" s="55">
        <v>133</v>
      </c>
      <c r="B136" s="62" t="s">
        <v>247</v>
      </c>
      <c r="C136" s="55">
        <v>4</v>
      </c>
      <c r="D136" s="55" t="s">
        <v>7</v>
      </c>
      <c r="E136" s="55">
        <v>1</v>
      </c>
      <c r="F136" s="56">
        <v>41118</v>
      </c>
      <c r="G136" s="56">
        <v>44448</v>
      </c>
      <c r="H136" s="57">
        <f t="shared" si="27"/>
        <v>9</v>
      </c>
      <c r="I136" s="57">
        <f t="shared" si="20"/>
        <v>109</v>
      </c>
      <c r="J136" s="55">
        <v>25.6</v>
      </c>
      <c r="K136" s="55">
        <v>1.26</v>
      </c>
      <c r="L136" s="55">
        <f t="shared" si="21"/>
        <v>126</v>
      </c>
      <c r="M136" s="55">
        <f>108.5-40</f>
        <v>68.5</v>
      </c>
      <c r="N136" s="55">
        <f t="shared" si="22"/>
        <v>45.634920634920633</v>
      </c>
      <c r="O136" s="1">
        <v>0</v>
      </c>
      <c r="P136" s="1">
        <v>0</v>
      </c>
      <c r="Q136" s="100">
        <f t="shared" si="23"/>
        <v>16.124968505920886</v>
      </c>
      <c r="S136" s="91">
        <v>-1.1590063823968033</v>
      </c>
      <c r="T136" s="91">
        <v>12.322679174680074</v>
      </c>
      <c r="U136" s="39" t="str">
        <f t="shared" si="24"/>
        <v>Normal</v>
      </c>
      <c r="V136" s="91">
        <v>-1.7524440070228804</v>
      </c>
      <c r="W136" s="91">
        <v>3.9848744988225966</v>
      </c>
      <c r="X136" s="40" t="str">
        <f t="shared" si="25"/>
        <v>Piernas cortas</v>
      </c>
      <c r="Y136" s="155">
        <v>2.8802433864111701E-2</v>
      </c>
      <c r="Z136" s="91">
        <v>51.148892012813228</v>
      </c>
      <c r="AA136" s="39" t="str">
        <f t="shared" si="26"/>
        <v>Normal</v>
      </c>
      <c r="AB136" s="58"/>
      <c r="AC136" s="58"/>
      <c r="AD136" s="63"/>
      <c r="AE136" s="58" t="s">
        <v>172</v>
      </c>
      <c r="AF136" s="58" t="s">
        <v>172</v>
      </c>
      <c r="AG136" s="58" t="s">
        <v>172</v>
      </c>
      <c r="AN136" s="113"/>
      <c r="AO136" s="119"/>
    </row>
    <row r="137" spans="1:41" ht="15.75" x14ac:dyDescent="0.25">
      <c r="A137" s="55">
        <v>134</v>
      </c>
      <c r="B137" s="62" t="s">
        <v>248</v>
      </c>
      <c r="C137" s="55">
        <v>4</v>
      </c>
      <c r="D137" s="55" t="s">
        <v>7</v>
      </c>
      <c r="E137" s="55">
        <v>2</v>
      </c>
      <c r="F137" s="56">
        <v>41178</v>
      </c>
      <c r="G137" s="56">
        <v>44448</v>
      </c>
      <c r="H137" s="57">
        <f t="shared" si="27"/>
        <v>8</v>
      </c>
      <c r="I137" s="57">
        <f t="shared" si="20"/>
        <v>107</v>
      </c>
      <c r="J137" s="55">
        <v>27.7</v>
      </c>
      <c r="K137" s="55">
        <v>1.28</v>
      </c>
      <c r="L137" s="55">
        <f t="shared" si="21"/>
        <v>128</v>
      </c>
      <c r="M137" s="55">
        <f>108-40</f>
        <v>68</v>
      </c>
      <c r="N137" s="55">
        <f t="shared" si="22"/>
        <v>46.875</v>
      </c>
      <c r="O137" s="1">
        <v>0</v>
      </c>
      <c r="P137" s="1">
        <v>0</v>
      </c>
      <c r="Q137" s="100">
        <f t="shared" si="23"/>
        <v>16.90673828125</v>
      </c>
      <c r="S137" s="91">
        <v>-0.65593014161240959</v>
      </c>
      <c r="T137" s="91">
        <v>25.593453672680756</v>
      </c>
      <c r="U137" s="39" t="str">
        <f t="shared" si="24"/>
        <v>Normal</v>
      </c>
      <c r="V137" s="91">
        <v>-0.81303314277945693</v>
      </c>
      <c r="W137" s="91">
        <v>20.809952816562713</v>
      </c>
      <c r="X137" s="40" t="str">
        <f t="shared" si="25"/>
        <v>Normal</v>
      </c>
      <c r="Y137" s="155">
        <v>0.42164262846089362</v>
      </c>
      <c r="Z137" s="91">
        <v>66.335705682337661</v>
      </c>
      <c r="AA137" s="39" t="str">
        <f t="shared" si="26"/>
        <v>Normal</v>
      </c>
      <c r="AB137" s="58"/>
      <c r="AC137" s="58"/>
      <c r="AD137" s="63"/>
      <c r="AE137" s="58" t="s">
        <v>172</v>
      </c>
      <c r="AF137" s="58" t="s">
        <v>172</v>
      </c>
      <c r="AG137" s="58" t="s">
        <v>172</v>
      </c>
      <c r="AN137" s="113"/>
      <c r="AO137" s="111"/>
    </row>
    <row r="138" spans="1:41" ht="15.75" x14ac:dyDescent="0.25">
      <c r="A138" s="55">
        <v>135</v>
      </c>
      <c r="B138" s="62" t="s">
        <v>249</v>
      </c>
      <c r="C138" s="55">
        <v>4</v>
      </c>
      <c r="D138" s="55" t="s">
        <v>7</v>
      </c>
      <c r="E138" s="55">
        <v>2</v>
      </c>
      <c r="F138" s="56">
        <v>41023</v>
      </c>
      <c r="G138" s="56">
        <v>44448</v>
      </c>
      <c r="H138" s="57">
        <f t="shared" si="27"/>
        <v>9</v>
      </c>
      <c r="I138" s="57">
        <f t="shared" si="20"/>
        <v>112</v>
      </c>
      <c r="J138" s="55">
        <v>31</v>
      </c>
      <c r="K138" s="55">
        <v>1.32</v>
      </c>
      <c r="L138" s="55">
        <f t="shared" si="21"/>
        <v>132</v>
      </c>
      <c r="M138" s="55">
        <f>108-40</f>
        <v>68</v>
      </c>
      <c r="N138" s="55">
        <f t="shared" si="22"/>
        <v>48.484848484848484</v>
      </c>
      <c r="O138" s="1">
        <v>0</v>
      </c>
      <c r="P138" s="1">
        <v>0</v>
      </c>
      <c r="Q138" s="100">
        <f t="shared" si="23"/>
        <v>17.791551882460972</v>
      </c>
      <c r="S138" s="91">
        <v>-0.4058650948048666</v>
      </c>
      <c r="T138" s="91">
        <v>34.242086313412948</v>
      </c>
      <c r="U138" s="39" t="str">
        <f t="shared" si="24"/>
        <v>Normal</v>
      </c>
      <c r="V138" s="91">
        <v>6.9826511579564529E-2</v>
      </c>
      <c r="W138" s="91">
        <v>52.783412725708068</v>
      </c>
      <c r="X138" s="40" t="str">
        <f t="shared" si="25"/>
        <v>Normal</v>
      </c>
      <c r="Y138" s="155">
        <v>0.7041491383475984</v>
      </c>
      <c r="Z138" s="91">
        <v>75.933004921083125</v>
      </c>
      <c r="AA138" s="39" t="str">
        <f t="shared" si="26"/>
        <v>Normal</v>
      </c>
      <c r="AB138" s="58"/>
      <c r="AC138" s="58"/>
      <c r="AD138" s="63"/>
      <c r="AE138" s="58" t="s">
        <v>172</v>
      </c>
      <c r="AF138" s="58" t="s">
        <v>172</v>
      </c>
      <c r="AG138" s="58" t="s">
        <v>172</v>
      </c>
    </row>
    <row r="139" spans="1:41" ht="15.75" x14ac:dyDescent="0.25">
      <c r="A139" s="55">
        <v>136</v>
      </c>
      <c r="B139" s="62" t="s">
        <v>250</v>
      </c>
      <c r="C139" s="55">
        <v>5</v>
      </c>
      <c r="D139" s="55" t="s">
        <v>7</v>
      </c>
      <c r="E139" s="55">
        <v>1</v>
      </c>
      <c r="F139" s="56">
        <v>40875</v>
      </c>
      <c r="G139" s="56">
        <v>44448</v>
      </c>
      <c r="H139" s="57">
        <f t="shared" si="27"/>
        <v>9</v>
      </c>
      <c r="I139" s="57">
        <f t="shared" si="20"/>
        <v>117</v>
      </c>
      <c r="J139" s="55">
        <v>24.2</v>
      </c>
      <c r="K139" s="55">
        <v>1.26</v>
      </c>
      <c r="L139" s="55">
        <f t="shared" si="21"/>
        <v>126</v>
      </c>
      <c r="M139" s="55">
        <f>107-40</f>
        <v>67</v>
      </c>
      <c r="N139" s="55">
        <f t="shared" si="22"/>
        <v>46.825396825396822</v>
      </c>
      <c r="O139" s="1">
        <v>0</v>
      </c>
      <c r="P139" s="1">
        <v>0</v>
      </c>
      <c r="Q139" s="100">
        <f t="shared" si="23"/>
        <v>15.243134290753337</v>
      </c>
      <c r="S139" s="91">
        <v>-1.6682759388959867</v>
      </c>
      <c r="T139" s="91">
        <v>4.7630481037742971</v>
      </c>
      <c r="U139" s="39" t="str">
        <f t="shared" si="24"/>
        <v>Desnutricion</v>
      </c>
      <c r="V139" s="91">
        <v>-0.94439054049515381</v>
      </c>
      <c r="W139" s="91">
        <v>17.2485056807893</v>
      </c>
      <c r="X139" s="40" t="str">
        <f t="shared" si="25"/>
        <v>Normal</v>
      </c>
      <c r="Y139" s="155">
        <v>-0.70408138418487309</v>
      </c>
      <c r="Z139" s="91">
        <v>24.069104625686833</v>
      </c>
      <c r="AA139" s="39" t="str">
        <f t="shared" si="26"/>
        <v>Normal</v>
      </c>
      <c r="AB139" s="58"/>
      <c r="AC139" s="58"/>
      <c r="AD139" s="63"/>
      <c r="AE139" s="58" t="s">
        <v>172</v>
      </c>
      <c r="AF139" s="58" t="s">
        <v>172</v>
      </c>
      <c r="AG139" s="58" t="s">
        <v>172</v>
      </c>
    </row>
    <row r="140" spans="1:41" ht="15.75" x14ac:dyDescent="0.25">
      <c r="A140" s="55">
        <v>137</v>
      </c>
      <c r="B140" s="62" t="s">
        <v>251</v>
      </c>
      <c r="C140" s="55">
        <v>5</v>
      </c>
      <c r="D140" s="55" t="s">
        <v>7</v>
      </c>
      <c r="E140" s="55">
        <v>1</v>
      </c>
      <c r="F140" s="56">
        <v>40733</v>
      </c>
      <c r="G140" s="56">
        <v>44448</v>
      </c>
      <c r="H140" s="57">
        <f t="shared" si="27"/>
        <v>10</v>
      </c>
      <c r="I140" s="57">
        <f t="shared" si="20"/>
        <v>122</v>
      </c>
      <c r="J140" s="55">
        <v>38.1</v>
      </c>
      <c r="K140" s="55">
        <v>1.35</v>
      </c>
      <c r="L140" s="55">
        <f t="shared" si="21"/>
        <v>135</v>
      </c>
      <c r="M140" s="55">
        <f>111-40</f>
        <v>71</v>
      </c>
      <c r="N140" s="55">
        <f t="shared" si="22"/>
        <v>47.407407407407412</v>
      </c>
      <c r="O140" s="1">
        <v>0</v>
      </c>
      <c r="P140" s="1">
        <v>0</v>
      </c>
      <c r="Q140" s="100">
        <f t="shared" si="23"/>
        <v>20.905349794238681</v>
      </c>
      <c r="S140" s="91">
        <v>-0.56662866675215506</v>
      </c>
      <c r="T140" s="91">
        <v>28.548324717162888</v>
      </c>
      <c r="U140" s="39" t="str">
        <f t="shared" si="24"/>
        <v>Normal</v>
      </c>
      <c r="V140" s="91">
        <v>-0.8157174285276203</v>
      </c>
      <c r="W140" s="91">
        <v>20.733088428455297</v>
      </c>
      <c r="X140" s="40" t="str">
        <f t="shared" si="25"/>
        <v>Normal</v>
      </c>
      <c r="Y140" s="155">
        <v>1.8114146965859341</v>
      </c>
      <c r="Z140" s="91">
        <v>96.496165865084492</v>
      </c>
      <c r="AA140" s="39" t="str">
        <f t="shared" si="26"/>
        <v>Obesidad</v>
      </c>
      <c r="AB140" s="58"/>
      <c r="AC140" s="58"/>
      <c r="AD140" s="63"/>
      <c r="AE140" s="58" t="s">
        <v>172</v>
      </c>
      <c r="AF140" s="58" t="s">
        <v>172</v>
      </c>
      <c r="AG140" s="58" t="s">
        <v>172</v>
      </c>
    </row>
    <row r="141" spans="1:41" ht="15.75" x14ac:dyDescent="0.25">
      <c r="A141" s="55">
        <v>138</v>
      </c>
      <c r="B141" s="62" t="s">
        <v>252</v>
      </c>
      <c r="C141" s="55">
        <v>6</v>
      </c>
      <c r="D141" s="55" t="s">
        <v>7</v>
      </c>
      <c r="E141" s="55">
        <v>1</v>
      </c>
      <c r="F141" s="56">
        <v>40477</v>
      </c>
      <c r="G141" s="56">
        <v>44448</v>
      </c>
      <c r="H141" s="57">
        <f t="shared" si="27"/>
        <v>10</v>
      </c>
      <c r="I141" s="57">
        <f t="shared" si="20"/>
        <v>130</v>
      </c>
      <c r="J141" s="55">
        <v>36.1</v>
      </c>
      <c r="K141" s="55">
        <v>1.48</v>
      </c>
      <c r="L141" s="55">
        <f t="shared" si="21"/>
        <v>148</v>
      </c>
      <c r="M141" s="55">
        <f>116-40</f>
        <v>76</v>
      </c>
      <c r="N141" s="55">
        <f t="shared" si="22"/>
        <v>48.648648648648653</v>
      </c>
      <c r="O141" s="1">
        <v>0</v>
      </c>
      <c r="P141" s="1">
        <v>0</v>
      </c>
      <c r="Q141" s="100">
        <f t="shared" si="23"/>
        <v>16.481008035062089</v>
      </c>
      <c r="S141" s="91">
        <v>0.87061184619625398</v>
      </c>
      <c r="T141" s="91">
        <v>80.801693696302436</v>
      </c>
      <c r="U141" s="39" t="str">
        <f t="shared" si="24"/>
        <v>Normal</v>
      </c>
      <c r="V141" s="91">
        <v>1.9001472003080715E-2</v>
      </c>
      <c r="W141" s="91">
        <v>50.75800344330743</v>
      </c>
      <c r="X141" s="40" t="str">
        <f t="shared" si="25"/>
        <v>Normal</v>
      </c>
      <c r="Y141" s="155">
        <v>-0.20535333075303536</v>
      </c>
      <c r="Z141" s="91">
        <v>41.864803992833863</v>
      </c>
      <c r="AA141" s="39" t="str">
        <f t="shared" si="26"/>
        <v>Normal</v>
      </c>
      <c r="AB141" s="58"/>
      <c r="AC141" s="58"/>
      <c r="AD141" s="63"/>
      <c r="AE141" s="58" t="s">
        <v>172</v>
      </c>
      <c r="AF141" s="58" t="s">
        <v>172</v>
      </c>
      <c r="AG141" s="58" t="s">
        <v>172</v>
      </c>
    </row>
    <row r="142" spans="1:41" ht="15.75" x14ac:dyDescent="0.25">
      <c r="A142" s="55">
        <v>139</v>
      </c>
      <c r="B142" s="62" t="s">
        <v>253</v>
      </c>
      <c r="C142" s="55">
        <v>6</v>
      </c>
      <c r="D142" s="55" t="s">
        <v>7</v>
      </c>
      <c r="E142" s="55">
        <v>2</v>
      </c>
      <c r="F142" s="56">
        <v>40244</v>
      </c>
      <c r="G142" s="56">
        <v>44448</v>
      </c>
      <c r="H142" s="57">
        <f t="shared" si="27"/>
        <v>11</v>
      </c>
      <c r="I142" s="57">
        <f t="shared" si="20"/>
        <v>138</v>
      </c>
      <c r="J142" s="55">
        <v>56.2</v>
      </c>
      <c r="K142" s="55">
        <v>1.46</v>
      </c>
      <c r="L142" s="55">
        <f t="shared" si="21"/>
        <v>146</v>
      </c>
      <c r="M142" s="55">
        <f>118-40</f>
        <v>78</v>
      </c>
      <c r="N142" s="55">
        <f t="shared" si="22"/>
        <v>46.575342465753423</v>
      </c>
      <c r="O142" s="1">
        <v>0</v>
      </c>
      <c r="P142" s="1">
        <v>0</v>
      </c>
      <c r="Q142" s="100">
        <f t="shared" si="23"/>
        <v>26.365171702007885</v>
      </c>
      <c r="S142" s="91">
        <v>-0.32289876353035579</v>
      </c>
      <c r="T142" s="91">
        <v>37.338595637935441</v>
      </c>
      <c r="U142" s="39" t="str">
        <f t="shared" si="24"/>
        <v>Normal</v>
      </c>
      <c r="V142" s="91">
        <v>-1.3687424607592813</v>
      </c>
      <c r="W142" s="91">
        <v>8.553989628441574</v>
      </c>
      <c r="X142" s="40" t="str">
        <f t="shared" si="25"/>
        <v>Normal</v>
      </c>
      <c r="Y142" s="155">
        <v>2.3671579543072552</v>
      </c>
      <c r="Z142" s="91">
        <v>99.10373596550815</v>
      </c>
      <c r="AA142" s="39" t="str">
        <f t="shared" si="26"/>
        <v>Obesidad</v>
      </c>
      <c r="AB142" s="58"/>
      <c r="AC142" s="58"/>
      <c r="AD142" s="63"/>
      <c r="AE142" s="58" t="s">
        <v>172</v>
      </c>
      <c r="AF142" s="58" t="s">
        <v>172</v>
      </c>
      <c r="AG142" s="58" t="s">
        <v>172</v>
      </c>
    </row>
    <row r="143" spans="1:41" ht="15.75" x14ac:dyDescent="0.25">
      <c r="A143" s="55">
        <v>140</v>
      </c>
      <c r="B143" s="62" t="s">
        <v>254</v>
      </c>
      <c r="C143" s="55">
        <v>6</v>
      </c>
      <c r="D143" s="55" t="s">
        <v>7</v>
      </c>
      <c r="E143" s="55">
        <v>2</v>
      </c>
      <c r="F143" s="56">
        <v>40208</v>
      </c>
      <c r="G143" s="56">
        <v>44448</v>
      </c>
      <c r="H143" s="57">
        <f t="shared" si="27"/>
        <v>11</v>
      </c>
      <c r="I143" s="57">
        <f t="shared" si="20"/>
        <v>139</v>
      </c>
      <c r="J143" s="55">
        <v>44.7</v>
      </c>
      <c r="K143" s="55">
        <v>1.59</v>
      </c>
      <c r="L143" s="55">
        <f t="shared" si="21"/>
        <v>159</v>
      </c>
      <c r="M143" s="55">
        <f>121-40</f>
        <v>81</v>
      </c>
      <c r="N143" s="55">
        <f t="shared" si="22"/>
        <v>49.056603773584904</v>
      </c>
      <c r="O143" s="1">
        <v>0</v>
      </c>
      <c r="P143" s="1">
        <v>0</v>
      </c>
      <c r="Q143" s="100">
        <f t="shared" si="23"/>
        <v>17.6812626082829</v>
      </c>
      <c r="S143" s="91">
        <v>1.5213190243952899</v>
      </c>
      <c r="T143" s="91">
        <v>93.591010080337767</v>
      </c>
      <c r="U143" s="39" t="str">
        <f t="shared" si="24"/>
        <v>Normal</v>
      </c>
      <c r="V143" s="91">
        <v>0.30815365041334786</v>
      </c>
      <c r="W143" s="91">
        <v>62.101729049969002</v>
      </c>
      <c r="X143" s="40" t="str">
        <f t="shared" si="25"/>
        <v>Normal</v>
      </c>
      <c r="Y143" s="155">
        <v>4.0796837277686142E-3</v>
      </c>
      <c r="Z143" s="91">
        <v>50.162755381488608</v>
      </c>
      <c r="AA143" s="39" t="str">
        <f t="shared" si="26"/>
        <v>Normal</v>
      </c>
      <c r="AB143" s="58"/>
      <c r="AC143" s="58"/>
      <c r="AD143" s="63"/>
      <c r="AE143" s="58" t="s">
        <v>172</v>
      </c>
      <c r="AF143" s="58" t="s">
        <v>172</v>
      </c>
      <c r="AG143" s="58" t="s">
        <v>172</v>
      </c>
    </row>
    <row r="144" spans="1:41" x14ac:dyDescent="0.25">
      <c r="A144" s="55"/>
      <c r="B144" s="62"/>
      <c r="C144" s="55"/>
      <c r="D144" s="55"/>
      <c r="E144" s="55"/>
      <c r="F144" s="55"/>
      <c r="G144" s="56"/>
      <c r="H144" s="57"/>
      <c r="I144" s="57"/>
      <c r="J144" s="55"/>
      <c r="K144" s="55"/>
      <c r="L144" s="55"/>
      <c r="M144" s="55"/>
      <c r="N144" s="55"/>
      <c r="O144" s="1"/>
      <c r="P144" s="1"/>
      <c r="Q144" s="5"/>
      <c r="AA144" s="39"/>
    </row>
    <row r="145" spans="1:40" x14ac:dyDescent="0.25">
      <c r="A145" s="55"/>
      <c r="B145" s="4"/>
      <c r="D145" s="55"/>
      <c r="G145" s="56"/>
      <c r="H145" s="57"/>
      <c r="I145" s="57"/>
    </row>
    <row r="146" spans="1:40" x14ac:dyDescent="0.25">
      <c r="A146" s="55"/>
      <c r="B146" s="4"/>
    </row>
    <row r="147" spans="1:40" x14ac:dyDescent="0.25">
      <c r="A147" s="156"/>
      <c r="B147" s="156"/>
      <c r="C147" s="156"/>
      <c r="D147" s="156"/>
      <c r="E147" s="156"/>
      <c r="F147" s="156"/>
      <c r="G147" s="156"/>
      <c r="H147" s="157"/>
      <c r="I147" s="157"/>
      <c r="J147" s="156"/>
      <c r="K147" s="156"/>
      <c r="L147" s="156"/>
      <c r="M147" s="156"/>
      <c r="N147" s="156"/>
      <c r="O147" s="156"/>
      <c r="P147" s="156"/>
      <c r="Q147" s="156"/>
      <c r="R147" s="156"/>
      <c r="S147" s="156"/>
      <c r="T147" s="138"/>
      <c r="U147" s="138"/>
      <c r="V147" s="132"/>
      <c r="W147" s="132"/>
      <c r="X147" s="132"/>
      <c r="Y147" s="156"/>
      <c r="Z147" s="132"/>
      <c r="AA147" s="132"/>
      <c r="AB147" s="140"/>
      <c r="AC147" s="140"/>
      <c r="AD147" s="140"/>
      <c r="AE147" s="140"/>
      <c r="AF147" s="140"/>
      <c r="AG147" s="140"/>
      <c r="AH147" s="132"/>
      <c r="AI147" s="132"/>
      <c r="AJ147" s="132"/>
      <c r="AK147" s="132"/>
      <c r="AL147" s="156"/>
      <c r="AM147" s="156"/>
      <c r="AN147" s="156"/>
    </row>
    <row r="148" spans="1:40" x14ac:dyDescent="0.25">
      <c r="A148" s="156"/>
      <c r="B148" s="156"/>
      <c r="C148" s="156"/>
      <c r="D148" s="156"/>
      <c r="E148" s="156"/>
      <c r="F148" s="156"/>
      <c r="G148" s="156"/>
      <c r="H148" s="157"/>
      <c r="I148" s="157"/>
      <c r="J148" s="156"/>
      <c r="K148" s="156"/>
      <c r="L148" s="156"/>
      <c r="M148" s="156"/>
      <c r="N148" s="156"/>
      <c r="O148" s="156"/>
      <c r="P148" s="156"/>
      <c r="Q148" s="156"/>
      <c r="R148" s="156"/>
      <c r="S148" s="156"/>
      <c r="T148" s="138"/>
      <c r="U148" s="156"/>
      <c r="V148" s="138"/>
      <c r="W148" s="138"/>
      <c r="X148" s="138"/>
      <c r="Y148" s="156"/>
      <c r="Z148" s="140"/>
      <c r="AA148" s="158"/>
      <c r="AB148" s="159"/>
      <c r="AC148" s="140"/>
      <c r="AD148" s="158"/>
      <c r="AE148" s="159"/>
      <c r="AF148" s="156"/>
      <c r="AG148" s="156"/>
      <c r="AH148" s="156"/>
      <c r="AI148" s="140"/>
      <c r="AJ148" s="158"/>
      <c r="AK148" s="159"/>
      <c r="AL148" s="156"/>
      <c r="AM148" s="156"/>
      <c r="AN148" s="156"/>
    </row>
    <row r="149" spans="1:40" x14ac:dyDescent="0.25">
      <c r="A149" s="156"/>
      <c r="B149" s="156"/>
      <c r="C149" s="138"/>
      <c r="D149" s="156"/>
      <c r="E149" s="160"/>
      <c r="F149" s="156"/>
      <c r="G149" s="138"/>
      <c r="H149" s="160"/>
      <c r="I149" s="161"/>
      <c r="J149" s="162"/>
      <c r="K149" s="138"/>
      <c r="L149" s="138"/>
      <c r="M149" s="138"/>
      <c r="N149" s="156"/>
      <c r="O149" s="156"/>
      <c r="P149" s="156"/>
      <c r="Q149" s="156"/>
      <c r="R149" s="156"/>
      <c r="S149" s="156"/>
      <c r="T149" s="138"/>
      <c r="U149" s="138"/>
      <c r="V149" s="138"/>
      <c r="W149" s="138"/>
      <c r="X149" s="138"/>
      <c r="Y149" s="156"/>
      <c r="Z149" s="156"/>
      <c r="AA149" s="163"/>
      <c r="AB149" s="164"/>
      <c r="AC149" s="156"/>
      <c r="AD149" s="163"/>
      <c r="AE149" s="164"/>
      <c r="AF149" s="156"/>
      <c r="AG149" s="156"/>
      <c r="AH149" s="156"/>
      <c r="AI149" s="156"/>
      <c r="AJ149" s="163"/>
      <c r="AK149" s="164"/>
      <c r="AL149" s="156"/>
      <c r="AM149" s="156"/>
      <c r="AN149" s="156"/>
    </row>
    <row r="150" spans="1:40" x14ac:dyDescent="0.25">
      <c r="A150" s="156"/>
      <c r="B150" s="165"/>
      <c r="C150" s="140"/>
      <c r="D150" s="166"/>
      <c r="E150" s="140"/>
      <c r="F150" s="166"/>
      <c r="G150" s="140"/>
      <c r="H150" s="140"/>
      <c r="I150" s="167"/>
      <c r="J150" s="162"/>
      <c r="K150" s="140"/>
      <c r="L150" s="138"/>
      <c r="M150" s="140"/>
      <c r="N150" s="156"/>
      <c r="O150" s="156"/>
      <c r="P150" s="156"/>
      <c r="Q150" s="156"/>
      <c r="R150" s="156"/>
      <c r="S150" s="156"/>
      <c r="T150" s="138"/>
      <c r="U150" s="138"/>
      <c r="V150" s="138"/>
      <c r="W150" s="138"/>
      <c r="X150" s="138"/>
      <c r="Y150" s="156"/>
      <c r="Z150" s="140"/>
      <c r="AA150" s="163"/>
      <c r="AB150" s="164"/>
      <c r="AC150" s="140"/>
      <c r="AD150" s="163"/>
      <c r="AE150" s="164"/>
      <c r="AF150" s="156"/>
      <c r="AG150" s="156"/>
      <c r="AH150" s="156"/>
      <c r="AI150" s="140"/>
      <c r="AJ150" s="163"/>
      <c r="AK150" s="164"/>
      <c r="AL150" s="156"/>
      <c r="AM150" s="156"/>
      <c r="AN150" s="156"/>
    </row>
    <row r="151" spans="1:40" x14ac:dyDescent="0.25">
      <c r="A151" s="156"/>
      <c r="B151" s="166"/>
      <c r="C151" s="156"/>
      <c r="D151" s="156"/>
      <c r="E151" s="168"/>
      <c r="F151" s="156"/>
      <c r="G151" s="156"/>
      <c r="H151" s="168"/>
      <c r="I151" s="157"/>
      <c r="J151" s="169"/>
      <c r="K151" s="170"/>
      <c r="L151" s="169"/>
      <c r="M151" s="170"/>
      <c r="N151" s="169"/>
      <c r="O151" s="156"/>
      <c r="P151" s="156"/>
      <c r="Q151" s="156"/>
      <c r="R151" s="156"/>
      <c r="S151" s="156"/>
      <c r="T151" s="138"/>
      <c r="U151" s="138"/>
      <c r="V151" s="138"/>
      <c r="W151" s="171"/>
      <c r="X151" s="140"/>
      <c r="Y151" s="156"/>
      <c r="Z151" s="156"/>
      <c r="AA151" s="140"/>
      <c r="AB151" s="172"/>
      <c r="AC151" s="138"/>
      <c r="AD151" s="140"/>
      <c r="AE151" s="173"/>
      <c r="AF151" s="156"/>
      <c r="AG151" s="156"/>
      <c r="AH151" s="173"/>
      <c r="AI151" s="138"/>
      <c r="AJ151" s="140"/>
      <c r="AK151" s="173"/>
      <c r="AL151" s="156"/>
      <c r="AM151" s="156"/>
      <c r="AN151" s="156"/>
    </row>
    <row r="152" spans="1:40" x14ac:dyDescent="0.25">
      <c r="A152" s="156"/>
      <c r="B152" s="168"/>
      <c r="C152" s="174"/>
      <c r="D152" s="175"/>
      <c r="E152" s="176"/>
      <c r="F152" s="169"/>
      <c r="G152" s="176"/>
      <c r="H152" s="169"/>
      <c r="I152" s="176"/>
      <c r="J152" s="169"/>
      <c r="K152" s="176"/>
      <c r="L152" s="169"/>
      <c r="M152" s="176"/>
      <c r="N152" s="169"/>
      <c r="O152" s="156"/>
      <c r="P152" s="156"/>
      <c r="Q152" s="156"/>
      <c r="R152" s="156"/>
      <c r="S152" s="156"/>
      <c r="T152" s="138"/>
      <c r="U152" s="138"/>
      <c r="V152" s="138"/>
      <c r="W152" s="171"/>
      <c r="X152" s="140"/>
      <c r="Y152" s="156"/>
      <c r="Z152" s="156"/>
      <c r="AA152" s="140"/>
      <c r="AB152" s="172"/>
      <c r="AC152" s="138"/>
      <c r="AD152" s="140"/>
      <c r="AE152" s="173"/>
      <c r="AF152" s="156"/>
      <c r="AG152" s="156"/>
      <c r="AH152" s="173"/>
      <c r="AI152" s="138"/>
      <c r="AJ152" s="140"/>
      <c r="AK152" s="173"/>
      <c r="AL152" s="156"/>
      <c r="AM152" s="156"/>
      <c r="AN152" s="156"/>
    </row>
    <row r="153" spans="1:40" x14ac:dyDescent="0.25">
      <c r="A153" s="156"/>
      <c r="B153" s="168"/>
      <c r="C153" s="174"/>
      <c r="D153" s="175"/>
      <c r="E153" s="176"/>
      <c r="F153" s="169"/>
      <c r="G153" s="176"/>
      <c r="H153" s="169"/>
      <c r="I153" s="176"/>
      <c r="J153" s="169"/>
      <c r="K153" s="176"/>
      <c r="L153" s="169"/>
      <c r="M153" s="176"/>
      <c r="N153" s="169"/>
      <c r="O153" s="156"/>
      <c r="P153" s="156"/>
      <c r="Q153" s="156"/>
      <c r="R153" s="156"/>
      <c r="S153" s="156"/>
      <c r="T153" s="138"/>
      <c r="U153" s="138"/>
      <c r="V153" s="138"/>
      <c r="W153" s="171"/>
      <c r="X153" s="140"/>
      <c r="Y153" s="156"/>
      <c r="Z153" s="156"/>
      <c r="AA153" s="140"/>
      <c r="AB153" s="172"/>
      <c r="AC153" s="138"/>
      <c r="AD153" s="140"/>
      <c r="AE153" s="173"/>
      <c r="AF153" s="156"/>
      <c r="AG153" s="156"/>
      <c r="AH153" s="173"/>
      <c r="AI153" s="138"/>
      <c r="AJ153" s="140"/>
      <c r="AK153" s="173"/>
      <c r="AL153" s="156"/>
      <c r="AM153" s="156"/>
      <c r="AN153" s="156"/>
    </row>
    <row r="154" spans="1:40" x14ac:dyDescent="0.25">
      <c r="A154" s="156"/>
      <c r="B154" s="165"/>
      <c r="C154" s="177"/>
      <c r="D154" s="169"/>
      <c r="E154" s="157"/>
      <c r="F154" s="169"/>
      <c r="G154" s="157"/>
      <c r="H154" s="169"/>
      <c r="I154" s="157"/>
      <c r="J154" s="169"/>
      <c r="K154" s="157"/>
      <c r="L154" s="169"/>
      <c r="M154" s="157"/>
      <c r="N154" s="169"/>
      <c r="O154" s="156"/>
      <c r="P154" s="156"/>
      <c r="Q154" s="156"/>
      <c r="R154" s="156"/>
      <c r="S154" s="156"/>
      <c r="T154" s="138"/>
      <c r="U154" s="138"/>
      <c r="V154" s="138"/>
      <c r="W154" s="171"/>
      <c r="X154" s="140"/>
      <c r="Y154" s="156"/>
      <c r="Z154" s="156"/>
      <c r="AA154" s="178"/>
      <c r="AB154" s="172"/>
      <c r="AC154" s="138"/>
      <c r="AD154" s="140"/>
      <c r="AE154" s="173"/>
      <c r="AF154" s="156"/>
      <c r="AG154" s="156"/>
      <c r="AH154" s="156"/>
      <c r="AI154" s="138"/>
      <c r="AJ154" s="140"/>
      <c r="AK154" s="173"/>
      <c r="AL154" s="156"/>
      <c r="AM154" s="156"/>
      <c r="AN154" s="156"/>
    </row>
    <row r="155" spans="1:40" x14ac:dyDescent="0.25">
      <c r="A155" s="156"/>
      <c r="B155" s="168"/>
      <c r="C155" s="177"/>
      <c r="D155" s="169"/>
      <c r="E155" s="179"/>
      <c r="F155" s="169"/>
      <c r="G155" s="179"/>
      <c r="H155" s="169"/>
      <c r="I155" s="179"/>
      <c r="J155" s="169"/>
      <c r="K155" s="179"/>
      <c r="L155" s="169"/>
      <c r="M155" s="179"/>
      <c r="N155" s="169"/>
      <c r="O155" s="156"/>
      <c r="P155" s="156"/>
      <c r="Q155" s="156"/>
      <c r="R155" s="156"/>
      <c r="S155" s="156"/>
      <c r="T155" s="138"/>
      <c r="U155" s="138"/>
      <c r="V155" s="138"/>
      <c r="W155" s="171"/>
      <c r="X155" s="138"/>
      <c r="Y155" s="156"/>
      <c r="Z155" s="156"/>
      <c r="AA155" s="156"/>
      <c r="AB155" s="164"/>
      <c r="AC155" s="164"/>
      <c r="AD155" s="156"/>
      <c r="AE155" s="156"/>
      <c r="AF155" s="156"/>
      <c r="AG155" s="156"/>
      <c r="AH155" s="156"/>
      <c r="AI155" s="156"/>
      <c r="AJ155" s="156"/>
      <c r="AK155" s="156"/>
      <c r="AL155" s="156"/>
      <c r="AM155" s="156"/>
      <c r="AN155" s="156"/>
    </row>
    <row r="156" spans="1:40" x14ac:dyDescent="0.25">
      <c r="A156" s="156"/>
      <c r="B156" s="168"/>
      <c r="C156" s="174"/>
      <c r="D156" s="169"/>
      <c r="E156" s="179"/>
      <c r="F156" s="169"/>
      <c r="G156" s="179"/>
      <c r="H156" s="169"/>
      <c r="I156" s="179"/>
      <c r="J156" s="169"/>
      <c r="K156" s="179"/>
      <c r="L156" s="169"/>
      <c r="M156" s="179"/>
      <c r="N156" s="169"/>
      <c r="O156" s="156"/>
      <c r="P156" s="156"/>
      <c r="Q156" s="156"/>
      <c r="R156" s="156"/>
      <c r="S156" s="156"/>
      <c r="T156" s="138"/>
      <c r="U156" s="138"/>
      <c r="V156" s="138"/>
      <c r="W156" s="138"/>
      <c r="X156" s="138"/>
      <c r="Y156" s="156"/>
      <c r="Z156" s="156"/>
      <c r="AA156" s="156"/>
      <c r="AB156" s="164"/>
      <c r="AC156" s="164"/>
      <c r="AD156" s="156"/>
      <c r="AE156" s="156"/>
      <c r="AF156" s="156"/>
      <c r="AG156" s="156"/>
      <c r="AH156" s="156"/>
      <c r="AI156" s="156"/>
      <c r="AJ156" s="156"/>
      <c r="AK156" s="156"/>
      <c r="AL156" s="156"/>
      <c r="AM156" s="156"/>
      <c r="AN156" s="156"/>
    </row>
    <row r="157" spans="1:40" x14ac:dyDescent="0.25">
      <c r="A157" s="156"/>
      <c r="B157" s="168"/>
      <c r="C157" s="174"/>
      <c r="D157" s="169"/>
      <c r="E157" s="179"/>
      <c r="F157" s="169"/>
      <c r="G157" s="179"/>
      <c r="H157" s="169"/>
      <c r="I157" s="179"/>
      <c r="J157" s="169"/>
      <c r="K157" s="179"/>
      <c r="L157" s="169"/>
      <c r="M157" s="179"/>
      <c r="N157" s="169"/>
      <c r="O157" s="156"/>
      <c r="P157" s="156"/>
      <c r="Q157" s="156"/>
      <c r="R157" s="156"/>
      <c r="S157" s="156"/>
      <c r="T157" s="138"/>
      <c r="U157" s="138"/>
      <c r="V157" s="132"/>
      <c r="W157" s="132"/>
      <c r="X157" s="132"/>
      <c r="Y157" s="156"/>
      <c r="Z157" s="132"/>
      <c r="AA157" s="132"/>
      <c r="AB157" s="140"/>
      <c r="AC157" s="140"/>
      <c r="AD157" s="140"/>
      <c r="AE157" s="140"/>
      <c r="AF157" s="140"/>
      <c r="AG157" s="140"/>
      <c r="AH157" s="132"/>
      <c r="AI157" s="132"/>
      <c r="AJ157" s="132"/>
      <c r="AK157" s="132"/>
      <c r="AL157" s="156"/>
      <c r="AM157" s="156"/>
      <c r="AN157" s="156"/>
    </row>
    <row r="158" spans="1:40" x14ac:dyDescent="0.25">
      <c r="A158" s="156"/>
      <c r="B158" s="168"/>
      <c r="C158" s="174"/>
      <c r="D158" s="169"/>
      <c r="E158" s="179"/>
      <c r="F158" s="169"/>
      <c r="G158" s="179"/>
      <c r="H158" s="169"/>
      <c r="I158" s="179"/>
      <c r="J158" s="169"/>
      <c r="K158" s="179"/>
      <c r="L158" s="169"/>
      <c r="M158" s="179"/>
      <c r="N158" s="169"/>
      <c r="O158" s="156"/>
      <c r="P158" s="156"/>
      <c r="Q158" s="156"/>
      <c r="R158" s="156"/>
      <c r="S158" s="156"/>
      <c r="T158" s="138"/>
      <c r="U158" s="138"/>
      <c r="V158" s="138"/>
      <c r="W158" s="138"/>
      <c r="X158" s="138"/>
      <c r="Y158" s="156"/>
      <c r="Z158" s="140"/>
      <c r="AA158" s="158"/>
      <c r="AB158" s="159"/>
      <c r="AC158" s="164"/>
      <c r="AD158" s="156"/>
      <c r="AE158" s="156"/>
      <c r="AF158" s="156"/>
      <c r="AG158" s="156"/>
      <c r="AH158" s="156"/>
      <c r="AI158" s="140"/>
      <c r="AJ158" s="158"/>
      <c r="AK158" s="159"/>
      <c r="AL158" s="156"/>
      <c r="AM158" s="156"/>
      <c r="AN158" s="156"/>
    </row>
    <row r="159" spans="1:40" x14ac:dyDescent="0.25">
      <c r="A159" s="156"/>
      <c r="B159" s="168"/>
      <c r="C159" s="177"/>
      <c r="D159" s="169"/>
      <c r="E159" s="179"/>
      <c r="F159" s="169"/>
      <c r="G159" s="179"/>
      <c r="H159" s="169"/>
      <c r="I159" s="179"/>
      <c r="J159" s="169"/>
      <c r="K159" s="179"/>
      <c r="L159" s="169"/>
      <c r="M159" s="179"/>
      <c r="N159" s="169"/>
      <c r="O159" s="156"/>
      <c r="P159" s="156"/>
      <c r="Q159" s="156"/>
      <c r="R159" s="156"/>
      <c r="S159" s="156"/>
      <c r="T159" s="138"/>
      <c r="U159" s="138"/>
      <c r="V159" s="138"/>
      <c r="W159" s="138"/>
      <c r="X159" s="138"/>
      <c r="Y159" s="156"/>
      <c r="Z159" s="156"/>
      <c r="AA159" s="163"/>
      <c r="AB159" s="164"/>
      <c r="AC159" s="164"/>
      <c r="AD159" s="156"/>
      <c r="AE159" s="156"/>
      <c r="AF159" s="156"/>
      <c r="AG159" s="156"/>
      <c r="AH159" s="156"/>
      <c r="AI159" s="156"/>
      <c r="AJ159" s="163"/>
      <c r="AK159" s="164"/>
      <c r="AL159" s="156"/>
      <c r="AM159" s="156"/>
      <c r="AN159" s="156"/>
    </row>
    <row r="160" spans="1:40" x14ac:dyDescent="0.25">
      <c r="A160" s="156"/>
      <c r="B160" s="166"/>
      <c r="C160" s="177"/>
      <c r="D160" s="169"/>
      <c r="E160" s="157"/>
      <c r="F160" s="169"/>
      <c r="G160" s="157"/>
      <c r="H160" s="169"/>
      <c r="I160" s="157"/>
      <c r="J160" s="169"/>
      <c r="K160" s="157"/>
      <c r="L160" s="169"/>
      <c r="M160" s="157"/>
      <c r="N160" s="169"/>
      <c r="O160" s="156"/>
      <c r="P160" s="156"/>
      <c r="Q160" s="156"/>
      <c r="R160" s="156"/>
      <c r="S160" s="156"/>
      <c r="T160" s="138"/>
      <c r="U160" s="138"/>
      <c r="V160" s="138"/>
      <c r="W160" s="138"/>
      <c r="X160" s="173"/>
      <c r="Y160" s="156"/>
      <c r="Z160" s="140"/>
      <c r="AA160" s="163"/>
      <c r="AB160" s="164"/>
      <c r="AC160" s="164"/>
      <c r="AD160" s="156"/>
      <c r="AE160" s="156"/>
      <c r="AF160" s="156"/>
      <c r="AG160" s="156"/>
      <c r="AH160" s="156"/>
      <c r="AI160" s="140"/>
      <c r="AJ160" s="163"/>
      <c r="AK160" s="164"/>
      <c r="AL160" s="156"/>
      <c r="AM160" s="156"/>
      <c r="AN160" s="156"/>
    </row>
    <row r="161" spans="1:40" x14ac:dyDescent="0.25">
      <c r="A161" s="156"/>
      <c r="B161" s="168"/>
      <c r="C161" s="174"/>
      <c r="D161" s="169"/>
      <c r="E161" s="179"/>
      <c r="F161" s="169"/>
      <c r="G161" s="179"/>
      <c r="H161" s="169"/>
      <c r="I161" s="179"/>
      <c r="J161" s="169"/>
      <c r="K161" s="179"/>
      <c r="L161" s="169"/>
      <c r="M161" s="179"/>
      <c r="N161" s="169"/>
      <c r="O161" s="156"/>
      <c r="P161" s="156"/>
      <c r="Q161" s="156"/>
      <c r="R161" s="156"/>
      <c r="S161" s="156"/>
      <c r="T161" s="138"/>
      <c r="U161" s="138"/>
      <c r="V161" s="138"/>
      <c r="W161" s="138"/>
      <c r="X161" s="173"/>
      <c r="Y161" s="156"/>
      <c r="Z161" s="156"/>
      <c r="AA161" s="140"/>
      <c r="AB161" s="172"/>
      <c r="AC161" s="164"/>
      <c r="AD161" s="156"/>
      <c r="AE161" s="156"/>
      <c r="AF161" s="156"/>
      <c r="AG161" s="156"/>
      <c r="AH161" s="173"/>
      <c r="AI161" s="138"/>
      <c r="AJ161" s="140"/>
      <c r="AK161" s="172"/>
      <c r="AL161" s="156"/>
      <c r="AM161" s="156"/>
      <c r="AN161" s="156"/>
    </row>
    <row r="162" spans="1:40" x14ac:dyDescent="0.25">
      <c r="A162" s="156"/>
      <c r="B162" s="168"/>
      <c r="C162" s="174"/>
      <c r="D162" s="169"/>
      <c r="E162" s="179"/>
      <c r="F162" s="169"/>
      <c r="G162" s="179"/>
      <c r="H162" s="169"/>
      <c r="I162" s="179"/>
      <c r="J162" s="169"/>
      <c r="K162" s="179"/>
      <c r="L162" s="169"/>
      <c r="M162" s="179"/>
      <c r="N162" s="169"/>
      <c r="O162" s="156"/>
      <c r="P162" s="156"/>
      <c r="Q162" s="156"/>
      <c r="R162" s="156"/>
      <c r="S162" s="156"/>
      <c r="T162" s="156"/>
      <c r="U162" s="156"/>
      <c r="V162" s="180"/>
      <c r="W162" s="180"/>
      <c r="X162" s="173"/>
      <c r="Y162" s="156"/>
      <c r="Z162" s="156"/>
      <c r="AA162" s="140"/>
      <c r="AB162" s="172"/>
      <c r="AC162" s="164"/>
      <c r="AD162" s="156"/>
      <c r="AE162" s="156"/>
      <c r="AF162" s="156"/>
      <c r="AG162" s="156"/>
      <c r="AH162" s="173"/>
      <c r="AI162" s="138"/>
      <c r="AJ162" s="140"/>
      <c r="AK162" s="172"/>
      <c r="AL162" s="156"/>
      <c r="AM162" s="156"/>
      <c r="AN162" s="156"/>
    </row>
    <row r="163" spans="1:40" x14ac:dyDescent="0.25">
      <c r="A163" s="156"/>
      <c r="B163" s="168"/>
      <c r="C163" s="177"/>
      <c r="D163" s="169"/>
      <c r="E163" s="157"/>
      <c r="F163" s="169"/>
      <c r="G163" s="157"/>
      <c r="H163" s="169"/>
      <c r="I163" s="179"/>
      <c r="J163" s="169"/>
      <c r="K163" s="179"/>
      <c r="L163" s="169"/>
      <c r="M163" s="179"/>
      <c r="N163" s="169"/>
      <c r="O163" s="156"/>
      <c r="P163" s="156"/>
      <c r="Q163" s="156"/>
      <c r="R163" s="156"/>
      <c r="S163" s="156"/>
      <c r="T163" s="156"/>
      <c r="U163" s="156"/>
      <c r="V163" s="164"/>
      <c r="W163" s="164"/>
      <c r="X163" s="164"/>
      <c r="Y163" s="156"/>
      <c r="Z163" s="156"/>
      <c r="AA163" s="140"/>
      <c r="AB163" s="164"/>
      <c r="AC163" s="164"/>
      <c r="AD163" s="156"/>
      <c r="AE163" s="156"/>
      <c r="AF163" s="156"/>
      <c r="AG163" s="156"/>
      <c r="AH163" s="173"/>
      <c r="AI163" s="138"/>
      <c r="AJ163" s="140"/>
      <c r="AK163" s="172"/>
      <c r="AL163" s="156"/>
      <c r="AM163" s="156"/>
      <c r="AN163" s="156"/>
    </row>
    <row r="164" spans="1:40" x14ac:dyDescent="0.25">
      <c r="A164" s="156"/>
      <c r="B164" s="166"/>
      <c r="C164" s="177"/>
      <c r="D164" s="169"/>
      <c r="E164" s="157"/>
      <c r="F164" s="169"/>
      <c r="G164" s="157"/>
      <c r="H164" s="169"/>
      <c r="I164" s="157"/>
      <c r="J164" s="169"/>
      <c r="K164" s="157"/>
      <c r="L164" s="169"/>
      <c r="M164" s="157"/>
      <c r="N164" s="169"/>
      <c r="O164" s="156"/>
      <c r="P164" s="156"/>
      <c r="Q164" s="156"/>
      <c r="R164" s="156"/>
      <c r="S164" s="156"/>
      <c r="T164" s="156"/>
      <c r="U164" s="156"/>
      <c r="V164" s="164"/>
      <c r="W164" s="164"/>
      <c r="X164" s="164"/>
      <c r="Y164" s="156"/>
      <c r="Z164" s="156"/>
      <c r="AA164" s="156"/>
      <c r="AB164" s="164"/>
      <c r="AC164" s="164"/>
      <c r="AD164" s="156"/>
      <c r="AE164" s="156"/>
      <c r="AF164" s="156"/>
      <c r="AG164" s="156"/>
      <c r="AH164" s="156"/>
      <c r="AI164" s="156"/>
      <c r="AJ164" s="156"/>
      <c r="AK164" s="156"/>
      <c r="AL164" s="156"/>
      <c r="AM164" s="156"/>
      <c r="AN164" s="156"/>
    </row>
    <row r="165" spans="1:40" x14ac:dyDescent="0.25">
      <c r="A165" s="156"/>
      <c r="B165" s="168"/>
      <c r="C165" s="177"/>
      <c r="D165" s="169"/>
      <c r="E165" s="179"/>
      <c r="F165" s="169"/>
      <c r="G165" s="179"/>
      <c r="H165" s="169"/>
      <c r="I165" s="179"/>
      <c r="J165" s="169"/>
      <c r="K165" s="179"/>
      <c r="L165" s="169"/>
      <c r="M165" s="179"/>
      <c r="N165" s="169"/>
      <c r="O165" s="156"/>
      <c r="P165" s="156"/>
      <c r="Q165" s="156"/>
      <c r="R165" s="156"/>
      <c r="S165" s="156"/>
      <c r="T165" s="156"/>
      <c r="U165" s="156"/>
      <c r="V165" s="164"/>
      <c r="W165" s="164"/>
      <c r="X165" s="164"/>
      <c r="Y165" s="156"/>
      <c r="Z165" s="156"/>
      <c r="AA165" s="156"/>
      <c r="AB165" s="164"/>
      <c r="AC165" s="164"/>
      <c r="AD165" s="156"/>
      <c r="AE165" s="156"/>
      <c r="AF165" s="156"/>
      <c r="AG165" s="156"/>
      <c r="AH165" s="156"/>
      <c r="AI165" s="156"/>
      <c r="AJ165" s="156"/>
      <c r="AK165" s="156"/>
      <c r="AL165" s="156"/>
      <c r="AM165" s="156"/>
      <c r="AN165" s="156"/>
    </row>
    <row r="166" spans="1:40" x14ac:dyDescent="0.25">
      <c r="A166" s="156"/>
      <c r="B166" s="168"/>
      <c r="C166" s="174"/>
      <c r="D166" s="169"/>
      <c r="E166" s="179"/>
      <c r="F166" s="169"/>
      <c r="G166" s="179"/>
      <c r="H166" s="169"/>
      <c r="I166" s="179"/>
      <c r="J166" s="169"/>
      <c r="K166" s="179"/>
      <c r="L166" s="169"/>
      <c r="M166" s="179"/>
      <c r="N166" s="169"/>
      <c r="O166" s="156"/>
      <c r="P166" s="156"/>
      <c r="Q166" s="156"/>
      <c r="R166" s="156"/>
      <c r="S166" s="156"/>
      <c r="T166" s="156"/>
      <c r="U166" s="156"/>
      <c r="V166" s="164"/>
      <c r="W166" s="164"/>
      <c r="X166" s="164"/>
      <c r="Y166" s="156"/>
      <c r="Z166" s="156"/>
      <c r="AA166" s="156"/>
      <c r="AB166" s="164"/>
      <c r="AC166" s="164"/>
      <c r="AD166" s="156"/>
      <c r="AE166" s="156"/>
      <c r="AF166" s="156"/>
      <c r="AG166" s="156"/>
      <c r="AH166" s="156"/>
      <c r="AI166" s="156"/>
      <c r="AJ166" s="156"/>
      <c r="AK166" s="156"/>
      <c r="AL166" s="156"/>
      <c r="AM166" s="156"/>
      <c r="AN166" s="156"/>
    </row>
    <row r="167" spans="1:40" x14ac:dyDescent="0.25">
      <c r="A167" s="156"/>
      <c r="B167" s="168"/>
      <c r="C167" s="177"/>
      <c r="D167" s="169"/>
      <c r="E167" s="179"/>
      <c r="F167" s="169"/>
      <c r="G167" s="179"/>
      <c r="H167" s="169"/>
      <c r="I167" s="179"/>
      <c r="J167" s="169"/>
      <c r="K167" s="179"/>
      <c r="L167" s="169"/>
      <c r="M167" s="179"/>
      <c r="N167" s="169"/>
      <c r="O167" s="156"/>
      <c r="P167" s="156"/>
      <c r="Q167" s="156"/>
      <c r="R167" s="156"/>
      <c r="S167" s="156"/>
      <c r="T167" s="156"/>
      <c r="U167" s="156"/>
      <c r="V167" s="164"/>
      <c r="W167" s="164"/>
      <c r="X167" s="181"/>
      <c r="Y167" s="156"/>
      <c r="Z167" s="156"/>
      <c r="AA167" s="156"/>
      <c r="AB167" s="164"/>
      <c r="AC167" s="164"/>
      <c r="AD167" s="156"/>
      <c r="AE167" s="156"/>
      <c r="AF167" s="156"/>
      <c r="AG167" s="156"/>
      <c r="AH167" s="156"/>
      <c r="AI167" s="156"/>
      <c r="AJ167" s="156"/>
      <c r="AK167" s="156"/>
      <c r="AL167" s="156"/>
      <c r="AM167" s="156"/>
      <c r="AN167" s="156"/>
    </row>
    <row r="168" spans="1:40" x14ac:dyDescent="0.25">
      <c r="A168" s="156"/>
      <c r="B168" s="156"/>
      <c r="C168" s="156"/>
      <c r="D168" s="156"/>
      <c r="E168" s="156"/>
      <c r="F168" s="156"/>
      <c r="G168" s="156"/>
      <c r="H168" s="157"/>
      <c r="I168" s="157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64"/>
      <c r="W168" s="164"/>
      <c r="X168" s="181"/>
      <c r="Y168" s="156"/>
      <c r="Z168" s="156"/>
      <c r="AA168" s="156"/>
      <c r="AB168" s="164"/>
      <c r="AC168" s="164"/>
      <c r="AD168" s="156"/>
      <c r="AE168" s="156"/>
      <c r="AF168" s="156"/>
      <c r="AG168" s="156"/>
      <c r="AH168" s="156"/>
      <c r="AI168" s="156"/>
      <c r="AJ168" s="156"/>
      <c r="AK168" s="156"/>
      <c r="AL168" s="156"/>
      <c r="AM168" s="156"/>
      <c r="AN168" s="156"/>
    </row>
    <row r="169" spans="1:40" x14ac:dyDescent="0.25">
      <c r="A169" s="156"/>
      <c r="B169" s="156"/>
      <c r="C169" s="156"/>
      <c r="D169" s="156"/>
      <c r="E169" s="156"/>
      <c r="F169" s="156"/>
      <c r="G169" s="156"/>
      <c r="H169" s="157"/>
      <c r="I169" s="157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64"/>
      <c r="W169" s="164"/>
      <c r="X169" s="181"/>
      <c r="Y169" s="156"/>
      <c r="Z169" s="156"/>
      <c r="AA169" s="156"/>
      <c r="AB169" s="164"/>
      <c r="AC169" s="164"/>
      <c r="AD169" s="156"/>
      <c r="AE169" s="156"/>
      <c r="AF169" s="156"/>
      <c r="AG169" s="156"/>
      <c r="AH169" s="156"/>
      <c r="AI169" s="156"/>
      <c r="AJ169" s="156"/>
      <c r="AK169" s="156"/>
      <c r="AL169" s="156"/>
      <c r="AM169" s="156"/>
      <c r="AN169" s="156"/>
    </row>
    <row r="170" spans="1:40" x14ac:dyDescent="0.25">
      <c r="A170" s="156"/>
      <c r="B170" s="137"/>
      <c r="C170" s="137"/>
      <c r="D170" s="156"/>
      <c r="E170" s="137"/>
      <c r="F170" s="137"/>
      <c r="G170" s="156"/>
      <c r="H170" s="137"/>
      <c r="I170" s="137"/>
      <c r="J170" s="156"/>
      <c r="K170" s="137"/>
      <c r="L170" s="137"/>
      <c r="M170" s="156"/>
      <c r="N170" s="137"/>
      <c r="O170" s="137"/>
      <c r="P170" s="156"/>
      <c r="Q170" s="137"/>
      <c r="R170" s="137"/>
      <c r="S170" s="156"/>
      <c r="T170" s="156"/>
      <c r="U170" s="156"/>
      <c r="V170" s="164"/>
      <c r="W170" s="164"/>
      <c r="X170" s="164"/>
      <c r="Y170" s="156"/>
      <c r="Z170" s="156"/>
      <c r="AA170" s="156"/>
      <c r="AB170" s="164"/>
      <c r="AC170" s="164"/>
      <c r="AD170" s="156"/>
      <c r="AE170" s="156"/>
      <c r="AF170" s="156"/>
      <c r="AG170" s="156"/>
      <c r="AH170" s="156"/>
      <c r="AI170" s="156"/>
      <c r="AJ170" s="156"/>
      <c r="AK170" s="156"/>
      <c r="AL170" s="156"/>
      <c r="AM170" s="181"/>
      <c r="AN170" s="181"/>
    </row>
    <row r="171" spans="1:40" x14ac:dyDescent="0.25">
      <c r="A171" s="156"/>
      <c r="B171" s="126"/>
      <c r="C171" s="126"/>
      <c r="D171" s="156"/>
      <c r="E171" s="126"/>
      <c r="F171" s="126"/>
      <c r="G171" s="156"/>
      <c r="H171" s="126"/>
      <c r="I171" s="126"/>
      <c r="J171" s="156"/>
      <c r="K171" s="126"/>
      <c r="L171" s="126"/>
      <c r="M171" s="156"/>
      <c r="N171" s="126"/>
      <c r="O171" s="126"/>
      <c r="P171" s="156"/>
      <c r="Q171" s="126"/>
      <c r="R171" s="126"/>
      <c r="S171" s="156"/>
      <c r="T171" s="156"/>
      <c r="U171" s="156"/>
      <c r="V171" s="164"/>
      <c r="W171" s="164"/>
      <c r="X171" s="164"/>
      <c r="Y171" s="156"/>
      <c r="Z171" s="156"/>
      <c r="AA171" s="156"/>
      <c r="AB171" s="164"/>
      <c r="AC171" s="164"/>
      <c r="AD171" s="156"/>
      <c r="AE171" s="156"/>
      <c r="AF171" s="156"/>
      <c r="AG171" s="156"/>
      <c r="AH171" s="156"/>
      <c r="AI171" s="156"/>
      <c r="AJ171" s="156"/>
      <c r="AK171" s="156"/>
      <c r="AL171" s="156"/>
      <c r="AM171" s="181"/>
      <c r="AN171" s="181"/>
    </row>
    <row r="172" spans="1:40" x14ac:dyDescent="0.25">
      <c r="A172" s="156"/>
      <c r="B172" s="126"/>
      <c r="C172" s="132"/>
      <c r="D172" s="156"/>
      <c r="E172" s="126"/>
      <c r="F172" s="132"/>
      <c r="G172" s="156"/>
      <c r="H172" s="126"/>
      <c r="I172" s="126"/>
      <c r="J172" s="156"/>
      <c r="K172" s="126"/>
      <c r="L172" s="126"/>
      <c r="M172" s="156"/>
      <c r="N172" s="126"/>
      <c r="O172" s="126"/>
      <c r="P172" s="156"/>
      <c r="Q172" s="126"/>
      <c r="R172" s="126"/>
      <c r="S172" s="156"/>
      <c r="T172" s="156"/>
      <c r="U172" s="156"/>
      <c r="V172" s="164"/>
      <c r="W172" s="164"/>
      <c r="X172" s="164"/>
      <c r="Y172" s="156"/>
      <c r="Z172" s="156"/>
      <c r="AA172" s="156"/>
      <c r="AB172" s="164"/>
      <c r="AC172" s="164"/>
      <c r="AD172" s="156"/>
      <c r="AE172" s="156"/>
      <c r="AF172" s="156"/>
      <c r="AG172" s="156"/>
      <c r="AH172" s="156"/>
      <c r="AI172" s="156"/>
      <c r="AJ172" s="156"/>
      <c r="AK172" s="156"/>
      <c r="AL172" s="156"/>
      <c r="AM172" s="181"/>
      <c r="AN172" s="181"/>
    </row>
    <row r="173" spans="1:40" x14ac:dyDescent="0.25">
      <c r="A173" s="156"/>
      <c r="B173" s="126"/>
      <c r="C173" s="126"/>
      <c r="D173" s="156"/>
      <c r="E173" s="126"/>
      <c r="F173" s="126"/>
      <c r="G173" s="156"/>
      <c r="H173" s="126"/>
      <c r="I173" s="126"/>
      <c r="J173" s="156"/>
      <c r="K173" s="126"/>
      <c r="L173" s="126"/>
      <c r="M173" s="156"/>
      <c r="N173" s="126"/>
      <c r="O173" s="126"/>
      <c r="P173" s="156"/>
      <c r="Q173" s="126"/>
      <c r="R173" s="126"/>
      <c r="S173" s="156"/>
      <c r="T173" s="156"/>
      <c r="U173" s="156"/>
      <c r="V173" s="164"/>
      <c r="W173" s="164"/>
      <c r="X173" s="164"/>
      <c r="Y173" s="156"/>
      <c r="Z173" s="156"/>
      <c r="AA173" s="156"/>
      <c r="AB173" s="164"/>
      <c r="AC173" s="164"/>
      <c r="AD173" s="156"/>
      <c r="AE173" s="156"/>
      <c r="AF173" s="156"/>
      <c r="AG173" s="156"/>
      <c r="AH173" s="156"/>
      <c r="AI173" s="156"/>
      <c r="AJ173" s="156"/>
      <c r="AK173" s="156"/>
      <c r="AL173" s="156"/>
      <c r="AM173" s="156"/>
      <c r="AN173" s="156"/>
    </row>
    <row r="174" spans="1:40" x14ac:dyDescent="0.25">
      <c r="A174" s="156"/>
      <c r="B174" s="126"/>
      <c r="C174" s="126"/>
      <c r="D174" s="156"/>
      <c r="E174" s="126"/>
      <c r="F174" s="126"/>
      <c r="G174" s="156"/>
      <c r="H174" s="126"/>
      <c r="I174" s="126"/>
      <c r="J174" s="156"/>
      <c r="K174" s="126"/>
      <c r="L174" s="126"/>
      <c r="M174" s="156"/>
      <c r="N174" s="126"/>
      <c r="O174" s="126"/>
      <c r="P174" s="156"/>
      <c r="Q174" s="126"/>
      <c r="R174" s="126"/>
      <c r="S174" s="156"/>
      <c r="T174" s="156"/>
      <c r="U174" s="156"/>
      <c r="V174" s="164"/>
      <c r="W174" s="164"/>
      <c r="X174" s="164"/>
      <c r="Y174" s="156"/>
      <c r="Z174" s="156"/>
      <c r="AA174" s="156"/>
      <c r="AB174" s="164"/>
      <c r="AC174" s="164"/>
      <c r="AD174" s="156"/>
      <c r="AE174" s="156"/>
      <c r="AF174" s="156"/>
      <c r="AG174" s="156"/>
      <c r="AH174" s="156"/>
      <c r="AI174" s="156"/>
      <c r="AJ174" s="156"/>
      <c r="AK174" s="156"/>
      <c r="AL174" s="156"/>
      <c r="AM174" s="156"/>
      <c r="AN174" s="156"/>
    </row>
    <row r="175" spans="1:40" x14ac:dyDescent="0.25">
      <c r="A175" s="156"/>
      <c r="B175" s="126"/>
      <c r="C175" s="126"/>
      <c r="D175" s="156"/>
      <c r="E175" s="126"/>
      <c r="F175" s="126"/>
      <c r="G175" s="156"/>
      <c r="H175" s="126"/>
      <c r="I175" s="126"/>
      <c r="J175" s="156"/>
      <c r="K175" s="126"/>
      <c r="L175" s="126"/>
      <c r="M175" s="156"/>
      <c r="N175" s="126"/>
      <c r="O175" s="126"/>
      <c r="P175" s="156"/>
      <c r="Q175" s="126"/>
      <c r="R175" s="126"/>
      <c r="S175" s="156"/>
      <c r="T175" s="156"/>
      <c r="U175" s="156"/>
      <c r="V175" s="164"/>
      <c r="W175" s="164"/>
      <c r="X175" s="164"/>
      <c r="Y175" s="156"/>
      <c r="Z175" s="156"/>
      <c r="AA175" s="156"/>
      <c r="AB175" s="164"/>
      <c r="AC175" s="164"/>
      <c r="AD175" s="156"/>
      <c r="AE175" s="156"/>
      <c r="AF175" s="156"/>
      <c r="AG175" s="156"/>
      <c r="AH175" s="156"/>
      <c r="AI175" s="156"/>
      <c r="AJ175" s="156"/>
      <c r="AK175" s="156"/>
      <c r="AL175" s="156"/>
      <c r="AM175" s="156"/>
      <c r="AN175" s="156"/>
    </row>
    <row r="176" spans="1:40" x14ac:dyDescent="0.25">
      <c r="A176" s="156"/>
      <c r="B176" s="126"/>
      <c r="C176" s="132"/>
      <c r="D176" s="156"/>
      <c r="E176" s="126"/>
      <c r="F176" s="132"/>
      <c r="G176" s="156"/>
      <c r="H176" s="126"/>
      <c r="I176" s="126"/>
      <c r="J176" s="156"/>
      <c r="K176" s="126"/>
      <c r="L176" s="126"/>
      <c r="M176" s="156"/>
      <c r="N176" s="126"/>
      <c r="O176" s="126"/>
      <c r="P176" s="156"/>
      <c r="Q176" s="126"/>
      <c r="R176" s="126"/>
      <c r="S176" s="156"/>
      <c r="T176" s="156"/>
      <c r="U176" s="156"/>
      <c r="V176" s="164"/>
      <c r="W176" s="164"/>
      <c r="X176" s="164"/>
      <c r="Y176" s="156"/>
      <c r="Z176" s="156"/>
      <c r="AA176" s="156"/>
      <c r="AB176" s="164"/>
      <c r="AC176" s="164"/>
      <c r="AD176" s="156"/>
      <c r="AE176" s="156"/>
      <c r="AF176" s="156"/>
      <c r="AG176" s="156"/>
      <c r="AH176" s="156"/>
      <c r="AI176" s="156"/>
      <c r="AJ176" s="156"/>
      <c r="AK176" s="156"/>
      <c r="AL176" s="156"/>
      <c r="AM176" s="156"/>
      <c r="AN176" s="156"/>
    </row>
    <row r="177" spans="1:40" x14ac:dyDescent="0.25">
      <c r="A177" s="156"/>
      <c r="B177" s="126"/>
      <c r="C177" s="126"/>
      <c r="D177" s="156"/>
      <c r="E177" s="126"/>
      <c r="F177" s="126"/>
      <c r="G177" s="156"/>
      <c r="H177" s="126"/>
      <c r="I177" s="126"/>
      <c r="J177" s="156"/>
      <c r="K177" s="126"/>
      <c r="L177" s="126"/>
      <c r="M177" s="156"/>
      <c r="N177" s="126"/>
      <c r="O177" s="126"/>
      <c r="P177" s="156"/>
      <c r="Q177" s="126"/>
      <c r="R177" s="126"/>
      <c r="S177" s="156"/>
      <c r="T177" s="156"/>
      <c r="U177" s="156"/>
      <c r="V177" s="164"/>
      <c r="W177" s="164"/>
      <c r="X177" s="164"/>
      <c r="Y177" s="156"/>
      <c r="Z177" s="156"/>
      <c r="AA177" s="156"/>
      <c r="AB177" s="164"/>
      <c r="AC177" s="164"/>
      <c r="AD177" s="156"/>
      <c r="AE177" s="156"/>
      <c r="AF177" s="156"/>
      <c r="AG177" s="156"/>
      <c r="AH177" s="156"/>
      <c r="AI177" s="156"/>
      <c r="AJ177" s="156"/>
      <c r="AK177" s="156"/>
      <c r="AL177" s="156"/>
      <c r="AM177" s="156"/>
      <c r="AN177" s="156"/>
    </row>
    <row r="178" spans="1:40" x14ac:dyDescent="0.25">
      <c r="A178" s="156"/>
      <c r="B178" s="126"/>
      <c r="C178" s="126"/>
      <c r="D178" s="156"/>
      <c r="E178" s="126"/>
      <c r="F178" s="126"/>
      <c r="G178" s="156"/>
      <c r="H178" s="126"/>
      <c r="I178" s="126"/>
      <c r="J178" s="156"/>
      <c r="K178" s="126"/>
      <c r="L178" s="126"/>
      <c r="M178" s="156"/>
      <c r="N178" s="126"/>
      <c r="O178" s="126"/>
      <c r="P178" s="156"/>
      <c r="Q178" s="126"/>
      <c r="R178" s="126"/>
      <c r="S178" s="156"/>
      <c r="T178" s="156"/>
      <c r="U178" s="156"/>
      <c r="V178" s="164"/>
      <c r="W178" s="164"/>
      <c r="X178" s="164"/>
      <c r="Y178" s="156"/>
      <c r="Z178" s="156"/>
      <c r="AA178" s="156"/>
      <c r="AB178" s="164"/>
      <c r="AC178" s="164"/>
      <c r="AD178" s="156"/>
      <c r="AE178" s="156"/>
      <c r="AF178" s="156"/>
      <c r="AG178" s="156"/>
      <c r="AH178" s="156"/>
      <c r="AI178" s="156"/>
      <c r="AJ178" s="156"/>
      <c r="AK178" s="156"/>
      <c r="AL178" s="156"/>
      <c r="AM178" s="156"/>
      <c r="AN178" s="156"/>
    </row>
    <row r="179" spans="1:40" x14ac:dyDescent="0.25">
      <c r="A179" s="156"/>
      <c r="B179" s="126"/>
      <c r="C179" s="126"/>
      <c r="D179" s="156"/>
      <c r="E179" s="126"/>
      <c r="F179" s="126"/>
      <c r="G179" s="156"/>
      <c r="H179" s="126"/>
      <c r="I179" s="126"/>
      <c r="J179" s="156"/>
      <c r="K179" s="126"/>
      <c r="L179" s="126"/>
      <c r="M179" s="156"/>
      <c r="N179" s="126"/>
      <c r="O179" s="126"/>
      <c r="P179" s="156"/>
      <c r="Q179" s="126"/>
      <c r="R179" s="126"/>
      <c r="S179" s="156"/>
      <c r="T179" s="156"/>
      <c r="U179" s="156"/>
      <c r="V179" s="164"/>
      <c r="W179" s="164"/>
      <c r="X179" s="164"/>
      <c r="Y179" s="156"/>
      <c r="Z179" s="156"/>
      <c r="AA179" s="156"/>
      <c r="AB179" s="164"/>
      <c r="AC179" s="164"/>
      <c r="AD179" s="156"/>
      <c r="AE179" s="156"/>
      <c r="AF179" s="156"/>
      <c r="AG179" s="156"/>
      <c r="AH179" s="156"/>
      <c r="AI179" s="156"/>
      <c r="AJ179" s="156"/>
      <c r="AK179" s="156"/>
      <c r="AL179" s="156"/>
      <c r="AM179" s="156"/>
      <c r="AN179" s="156"/>
    </row>
    <row r="180" spans="1:40" x14ac:dyDescent="0.25">
      <c r="A180" s="156"/>
      <c r="B180" s="126"/>
      <c r="C180" s="126"/>
      <c r="D180" s="156"/>
      <c r="E180" s="126"/>
      <c r="F180" s="126"/>
      <c r="G180" s="156"/>
      <c r="H180" s="126"/>
      <c r="I180" s="126"/>
      <c r="J180" s="156"/>
      <c r="K180" s="126"/>
      <c r="L180" s="126"/>
      <c r="M180" s="156"/>
      <c r="N180" s="126"/>
      <c r="O180" s="126"/>
      <c r="P180" s="156"/>
      <c r="Q180" s="126"/>
      <c r="R180" s="126"/>
      <c r="S180" s="156"/>
      <c r="T180" s="156"/>
      <c r="U180" s="156"/>
      <c r="V180" s="164"/>
      <c r="W180" s="164"/>
      <c r="X180" s="164"/>
      <c r="Y180" s="156"/>
      <c r="Z180" s="156"/>
      <c r="AA180" s="156"/>
      <c r="AB180" s="164"/>
      <c r="AC180" s="164"/>
      <c r="AD180" s="156"/>
      <c r="AE180" s="156"/>
      <c r="AF180" s="156"/>
      <c r="AG180" s="156"/>
      <c r="AH180" s="156"/>
      <c r="AI180" s="156"/>
      <c r="AJ180" s="156"/>
      <c r="AK180" s="156"/>
      <c r="AL180" s="156"/>
      <c r="AM180" s="156"/>
      <c r="AN180" s="156"/>
    </row>
    <row r="181" spans="1:40" x14ac:dyDescent="0.25">
      <c r="A181" s="156"/>
      <c r="B181" s="126"/>
      <c r="C181" s="126"/>
      <c r="D181" s="156"/>
      <c r="E181" s="126"/>
      <c r="F181" s="126"/>
      <c r="G181" s="156"/>
      <c r="H181" s="126"/>
      <c r="I181" s="126"/>
      <c r="J181" s="156"/>
      <c r="K181" s="126"/>
      <c r="L181" s="126"/>
      <c r="M181" s="156"/>
      <c r="N181" s="126"/>
      <c r="O181" s="126"/>
      <c r="P181" s="156"/>
      <c r="Q181" s="126"/>
      <c r="R181" s="126"/>
      <c r="S181" s="156"/>
      <c r="T181" s="156"/>
      <c r="U181" s="156"/>
      <c r="V181" s="164"/>
      <c r="W181" s="164"/>
      <c r="X181" s="164"/>
      <c r="Y181" s="156"/>
      <c r="Z181" s="156"/>
      <c r="AA181" s="156"/>
      <c r="AB181" s="164"/>
      <c r="AC181" s="164"/>
      <c r="AD181" s="156"/>
      <c r="AE181" s="156"/>
      <c r="AF181" s="156"/>
      <c r="AG181" s="156"/>
      <c r="AH181" s="156"/>
      <c r="AI181" s="156"/>
      <c r="AJ181" s="156"/>
      <c r="AK181" s="156"/>
      <c r="AL181" s="156"/>
      <c r="AM181" s="156"/>
      <c r="AN181" s="156"/>
    </row>
    <row r="182" spans="1:40" x14ac:dyDescent="0.25">
      <c r="A182" s="156"/>
      <c r="B182" s="126"/>
      <c r="C182" s="126"/>
      <c r="D182" s="156"/>
      <c r="E182" s="126"/>
      <c r="F182" s="126"/>
      <c r="G182" s="156"/>
      <c r="H182" s="126"/>
      <c r="I182" s="126"/>
      <c r="J182" s="156"/>
      <c r="K182" s="126"/>
      <c r="L182" s="126"/>
      <c r="M182" s="156"/>
      <c r="N182" s="126"/>
      <c r="O182" s="126"/>
      <c r="P182" s="156"/>
      <c r="Q182" s="126"/>
      <c r="R182" s="126"/>
      <c r="S182" s="156"/>
      <c r="T182" s="156"/>
      <c r="U182" s="156"/>
      <c r="V182" s="164"/>
      <c r="W182" s="164"/>
      <c r="X182" s="164"/>
      <c r="Y182" s="156"/>
      <c r="Z182" s="156"/>
      <c r="AA182" s="156"/>
      <c r="AB182" s="164"/>
      <c r="AC182" s="164"/>
      <c r="AD182" s="156"/>
      <c r="AE182" s="156"/>
      <c r="AF182" s="156"/>
      <c r="AG182" s="156"/>
      <c r="AH182" s="156"/>
      <c r="AI182" s="156"/>
      <c r="AJ182" s="156"/>
      <c r="AK182" s="156"/>
      <c r="AL182" s="156"/>
      <c r="AM182" s="156"/>
      <c r="AN182" s="156"/>
    </row>
    <row r="183" spans="1:40" x14ac:dyDescent="0.25">
      <c r="A183" s="156"/>
      <c r="B183" s="126"/>
      <c r="C183" s="126"/>
      <c r="D183" s="156"/>
      <c r="E183" s="126"/>
      <c r="F183" s="126"/>
      <c r="G183" s="156"/>
      <c r="H183" s="126"/>
      <c r="I183" s="126"/>
      <c r="J183" s="156"/>
      <c r="K183" s="126"/>
      <c r="L183" s="126"/>
      <c r="M183" s="156"/>
      <c r="N183" s="126"/>
      <c r="O183" s="126"/>
      <c r="P183" s="156"/>
      <c r="Q183" s="126"/>
      <c r="R183" s="126"/>
      <c r="S183" s="156"/>
      <c r="T183" s="156"/>
      <c r="U183" s="156"/>
      <c r="V183" s="164"/>
      <c r="W183" s="164"/>
      <c r="X183" s="164"/>
      <c r="Y183" s="156"/>
      <c r="Z183" s="156"/>
      <c r="AA183" s="156"/>
      <c r="AB183" s="164"/>
      <c r="AC183" s="164"/>
      <c r="AD183" s="156"/>
      <c r="AE183" s="156"/>
      <c r="AF183" s="156"/>
      <c r="AG183" s="156"/>
      <c r="AH183" s="156"/>
      <c r="AI183" s="156"/>
      <c r="AJ183" s="156"/>
      <c r="AK183" s="156"/>
      <c r="AL183" s="156"/>
      <c r="AM183" s="156"/>
      <c r="AN183" s="156"/>
    </row>
    <row r="184" spans="1:40" x14ac:dyDescent="0.25">
      <c r="A184" s="156"/>
      <c r="B184" s="126"/>
      <c r="C184" s="126"/>
      <c r="D184" s="156"/>
      <c r="E184" s="126"/>
      <c r="F184" s="126"/>
      <c r="G184" s="156"/>
      <c r="H184" s="126"/>
      <c r="I184" s="126"/>
      <c r="J184" s="156"/>
      <c r="K184" s="126"/>
      <c r="L184" s="126"/>
      <c r="M184" s="156"/>
      <c r="N184" s="126"/>
      <c r="O184" s="126"/>
      <c r="P184" s="156"/>
      <c r="Q184" s="126"/>
      <c r="R184" s="126"/>
      <c r="S184" s="156"/>
      <c r="T184" s="156"/>
      <c r="U184" s="156"/>
      <c r="V184" s="164"/>
      <c r="W184" s="164"/>
      <c r="X184" s="164"/>
      <c r="Y184" s="156"/>
      <c r="Z184" s="156"/>
      <c r="AA184" s="156"/>
      <c r="AB184" s="164"/>
      <c r="AC184" s="164"/>
      <c r="AD184" s="156"/>
      <c r="AE184" s="156"/>
      <c r="AF184" s="156"/>
      <c r="AG184" s="156"/>
      <c r="AH184" s="156"/>
      <c r="AI184" s="156"/>
      <c r="AJ184" s="156"/>
      <c r="AK184" s="156"/>
      <c r="AL184" s="156"/>
      <c r="AM184" s="156"/>
      <c r="AN184" s="156"/>
    </row>
  </sheetData>
  <autoFilter ref="A3:AG143"/>
  <mergeCells count="5">
    <mergeCell ref="AE2:AG2"/>
    <mergeCell ref="S2:U2"/>
    <mergeCell ref="V2:X2"/>
    <mergeCell ref="Y2:AA2"/>
    <mergeCell ref="AB2:AD2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15"/>
  <sheetViews>
    <sheetView zoomScale="68" zoomScaleNormal="68" workbookViewId="0">
      <pane ySplit="3" topLeftCell="A14" activePane="bottomLeft" state="frozen"/>
      <selection activeCell="Y1" sqref="Y1"/>
      <selection pane="bottomLeft" activeCell="H4" sqref="H4:H69"/>
    </sheetView>
  </sheetViews>
  <sheetFormatPr baseColWidth="10" defaultRowHeight="15" x14ac:dyDescent="0.25"/>
  <cols>
    <col min="2" max="2" width="33.85546875" bestFit="1" customWidth="1"/>
    <col min="3" max="3" width="24.140625" customWidth="1"/>
    <col min="4" max="4" width="24.140625" hidden="1" customWidth="1"/>
    <col min="5" max="5" width="24.140625" customWidth="1"/>
    <col min="6" max="7" width="21.7109375" hidden="1" customWidth="1"/>
    <col min="8" max="9" width="21.7109375" customWidth="1"/>
    <col min="12" max="12" width="22.7109375" bestFit="1" customWidth="1"/>
    <col min="13" max="13" width="20.140625" bestFit="1" customWidth="1"/>
    <col min="14" max="14" width="20.140625" customWidth="1"/>
    <col min="15" max="15" width="25.28515625" bestFit="1" customWidth="1"/>
    <col min="16" max="16" width="16.140625" bestFit="1" customWidth="1"/>
    <col min="19" max="19" width="11" bestFit="1" customWidth="1"/>
    <col min="20" max="20" width="19.42578125" bestFit="1" customWidth="1"/>
    <col min="21" max="21" width="20.28515625" bestFit="1" customWidth="1"/>
    <col min="22" max="22" width="11.42578125" style="34"/>
    <col min="23" max="23" width="19.42578125" style="34" bestFit="1" customWidth="1"/>
    <col min="24" max="24" width="20.28515625" style="34" bestFit="1" customWidth="1"/>
    <col min="27" max="27" width="20.28515625" bestFit="1" customWidth="1"/>
    <col min="28" max="28" width="0" hidden="1" customWidth="1"/>
    <col min="29" max="29" width="19.42578125" hidden="1" customWidth="1"/>
    <col min="30" max="30" width="26.5703125" hidden="1" customWidth="1"/>
    <col min="32" max="32" width="19.42578125" bestFit="1" customWidth="1"/>
    <col min="33" max="33" width="26.5703125" bestFit="1" customWidth="1"/>
    <col min="38" max="38" width="15.28515625" bestFit="1" customWidth="1"/>
  </cols>
  <sheetData>
    <row r="2" spans="1:34" x14ac:dyDescent="0.25">
      <c r="S2" s="212" t="s">
        <v>165</v>
      </c>
      <c r="T2" s="212"/>
      <c r="U2" s="212"/>
      <c r="V2" s="213" t="s">
        <v>166</v>
      </c>
      <c r="W2" s="213"/>
      <c r="X2" s="213"/>
      <c r="Y2" s="214" t="s">
        <v>8</v>
      </c>
      <c r="Z2" s="214"/>
      <c r="AA2" s="214"/>
      <c r="AB2" s="219" t="s">
        <v>167</v>
      </c>
      <c r="AC2" s="219"/>
      <c r="AD2" s="219"/>
      <c r="AE2" s="223" t="s">
        <v>168</v>
      </c>
      <c r="AF2" s="223"/>
      <c r="AG2" s="223"/>
    </row>
    <row r="3" spans="1:34" x14ac:dyDescent="0.25">
      <c r="A3" s="28"/>
      <c r="B3" s="23" t="s">
        <v>1</v>
      </c>
      <c r="C3" s="23" t="s">
        <v>5</v>
      </c>
      <c r="D3" s="23" t="s">
        <v>6</v>
      </c>
      <c r="E3" s="23" t="s">
        <v>4</v>
      </c>
      <c r="F3" s="23" t="s">
        <v>2</v>
      </c>
      <c r="G3" s="23"/>
      <c r="H3" s="23" t="s">
        <v>3</v>
      </c>
      <c r="I3" s="23" t="s">
        <v>161</v>
      </c>
      <c r="J3" s="23" t="s">
        <v>33</v>
      </c>
      <c r="K3" s="23" t="s">
        <v>34</v>
      </c>
      <c r="L3" s="23" t="s">
        <v>163</v>
      </c>
      <c r="M3" s="23" t="s">
        <v>35</v>
      </c>
      <c r="N3" s="23" t="s">
        <v>164</v>
      </c>
      <c r="O3" s="23" t="s">
        <v>36</v>
      </c>
      <c r="P3" s="23" t="s">
        <v>37</v>
      </c>
      <c r="Q3" s="23" t="s">
        <v>8</v>
      </c>
      <c r="S3" s="77" t="s">
        <v>160</v>
      </c>
      <c r="T3" s="77" t="s">
        <v>159</v>
      </c>
      <c r="U3" s="77" t="s">
        <v>157</v>
      </c>
      <c r="V3" s="78" t="s">
        <v>158</v>
      </c>
      <c r="W3" s="78" t="s">
        <v>159</v>
      </c>
      <c r="X3" s="79" t="s">
        <v>157</v>
      </c>
      <c r="Y3" s="80" t="s">
        <v>158</v>
      </c>
      <c r="Z3" s="80" t="s">
        <v>159</v>
      </c>
      <c r="AA3" s="81" t="s">
        <v>157</v>
      </c>
      <c r="AB3" s="25" t="s">
        <v>158</v>
      </c>
      <c r="AC3" s="25" t="s">
        <v>159</v>
      </c>
      <c r="AD3" s="25" t="s">
        <v>157</v>
      </c>
      <c r="AE3" s="92" t="s">
        <v>158</v>
      </c>
      <c r="AF3" s="92" t="s">
        <v>159</v>
      </c>
      <c r="AG3" s="93" t="s">
        <v>157</v>
      </c>
      <c r="AH3" s="24"/>
    </row>
    <row r="4" spans="1:34" s="11" customFormat="1" ht="15.75" x14ac:dyDescent="0.25">
      <c r="A4" s="43">
        <v>1</v>
      </c>
      <c r="B4" s="44" t="s">
        <v>0</v>
      </c>
      <c r="C4" s="43">
        <v>2</v>
      </c>
      <c r="D4" s="45" t="s">
        <v>7</v>
      </c>
      <c r="E4" s="43">
        <v>2</v>
      </c>
      <c r="F4" s="46">
        <v>42796</v>
      </c>
      <c r="G4" s="46">
        <v>44375</v>
      </c>
      <c r="H4" s="47">
        <f>DATEDIF(F4,G4,"y")</f>
        <v>4</v>
      </c>
      <c r="I4" s="47">
        <f>DATEDIF(F4,G4,"m")</f>
        <v>51</v>
      </c>
      <c r="J4" s="43">
        <v>20.100000000000001</v>
      </c>
      <c r="K4" s="43">
        <v>1.0900000000000001</v>
      </c>
      <c r="L4" s="43">
        <f>K4*100</f>
        <v>109.00000000000001</v>
      </c>
      <c r="M4" s="43">
        <v>62</v>
      </c>
      <c r="N4" s="48">
        <f>((L4-M4)/L4)*100</f>
        <v>43.119266055045877</v>
      </c>
      <c r="O4" s="43">
        <v>50</v>
      </c>
      <c r="P4" s="43">
        <v>50.5</v>
      </c>
      <c r="Q4" s="49">
        <f>J4/(K4*K4)</f>
        <v>16.917767864657858</v>
      </c>
      <c r="R4" s="37"/>
      <c r="S4" s="91">
        <v>1.0223446226548947</v>
      </c>
      <c r="T4" s="91">
        <v>84.66910897721452</v>
      </c>
      <c r="U4" s="39" t="str">
        <f>IF(S4&lt;-1.645,"Desnutricion",IF(AND(S4&gt;=-1.645,S4&lt;=1.645),"Normal",IF(S4&gt;1.645,"Alto")))</f>
        <v>Normal</v>
      </c>
      <c r="V4" s="91">
        <v>-1.0449687957894231</v>
      </c>
      <c r="W4" s="91">
        <v>14.801869583832975</v>
      </c>
      <c r="X4" s="39" t="str">
        <f t="shared" ref="X4:X27" si="0">IF(V4&lt;-1.645,"Piernas cortas",IF(AND(V4&gt;=-1.645,V4&lt;=1.645),"Normal",IF(V4&gt;1.645,"Piernas largas")))</f>
        <v>Normal</v>
      </c>
      <c r="Y4" s="155">
        <v>1.0782716506236525</v>
      </c>
      <c r="Z4" s="91">
        <v>85.954372768513224</v>
      </c>
      <c r="AA4" s="84" t="str">
        <f>IF(Z4&lt;AK115,"Desnutricion",IF(AND(Z4&gt;=5,Z4&lt;15),"Bajo Peso",IF(AND(Z4&gt;=15,Z4&lt;=85),"Normal",IF(Z4&gt;85,"Obesidad"))))</f>
        <v>Obesidad</v>
      </c>
      <c r="AB4" s="36">
        <v>0.57681243130132187</v>
      </c>
      <c r="AC4" s="36">
        <v>71.796691455163696</v>
      </c>
      <c r="AD4" s="39" t="str">
        <f t="shared" ref="AD4:AD27" si="1">IF(AB4&lt;-1.645,"Bajo",IF(AND(AB4&gt;=-1.645,AB4&lt;-1.036),"Debajo del promedio",IF(AND(AB4&gt;=-1.036,AB4&lt;=1.036),"Normal",IF(AND(AB4&gt;1.036,AB4&lt;=1.645),"Arriba del promedio",IF(AB4&gt;1.645,"Alto","")))))</f>
        <v>Normal</v>
      </c>
      <c r="AE4" s="91">
        <v>0.34915095456737977</v>
      </c>
      <c r="AF4" s="91">
        <v>63.651200776858261</v>
      </c>
      <c r="AG4" s="41" t="str">
        <f t="shared" ref="AG4:AG27" si="2">IF(AE4&lt;-1.645,"Pequeño",IF(AND(AE4&gt;=-1.645,AE4&lt;-1.036),"Debajo del promedio",IF(AND(AE4&gt;=-1.036,AE4&lt;=1.036),"Normal",IF(AND(AE4&gt;1.036,AE4&lt;=1.645),"Arriba del promedio",IF(AE4&gt;1.645,"Grande","")))))</f>
        <v>Normal</v>
      </c>
    </row>
    <row r="5" spans="1:34" s="11" customFormat="1" ht="15.75" x14ac:dyDescent="0.25">
      <c r="A5" s="43">
        <v>2</v>
      </c>
      <c r="B5" s="44" t="s">
        <v>9</v>
      </c>
      <c r="C5" s="43">
        <v>2</v>
      </c>
      <c r="D5" s="43" t="s">
        <v>7</v>
      </c>
      <c r="E5" s="43">
        <v>2</v>
      </c>
      <c r="F5" s="46">
        <v>42741</v>
      </c>
      <c r="G5" s="46">
        <v>44375</v>
      </c>
      <c r="H5" s="47">
        <f>DATEDIF(F5,G5,"y")</f>
        <v>4</v>
      </c>
      <c r="I5" s="47">
        <f t="shared" ref="I5:I27" si="3">DATEDIF(F5,G5,"m")</f>
        <v>53</v>
      </c>
      <c r="J5" s="43">
        <v>18.100000000000001</v>
      </c>
      <c r="K5" s="43">
        <v>0.97</v>
      </c>
      <c r="L5" s="43">
        <f t="shared" ref="L5:L27" si="4">K5*100</f>
        <v>97</v>
      </c>
      <c r="M5" s="43">
        <v>52.6</v>
      </c>
      <c r="N5" s="48">
        <f t="shared" ref="N5:N27" si="5">((L5-M5)/L5)*100</f>
        <v>45.773195876288661</v>
      </c>
      <c r="O5" s="43">
        <v>48.3</v>
      </c>
      <c r="P5" s="43">
        <v>57</v>
      </c>
      <c r="Q5" s="49">
        <f t="shared" ref="Q5:Q27" si="6">J5/(K5*K5)</f>
        <v>19.23690083962164</v>
      </c>
      <c r="R5" s="37"/>
      <c r="S5" s="91">
        <v>-1.9151940258239506</v>
      </c>
      <c r="T5" s="91">
        <v>2.7733882049446037</v>
      </c>
      <c r="U5" s="39" t="str">
        <f t="shared" ref="U5:U27" si="7">IF(S5&lt;-1.645,"Desnutricion",IF(AND(S5&gt;=-1.645,S5&lt;=1.645),"Normal",IF(S5&gt;1.645,"Alto")))</f>
        <v>Desnutricion</v>
      </c>
      <c r="V5" s="91">
        <v>0.48780449909209267</v>
      </c>
      <c r="W5" s="91">
        <v>68.715583784016872</v>
      </c>
      <c r="X5" s="39" t="str">
        <f t="shared" si="0"/>
        <v>Normal</v>
      </c>
      <c r="Y5" s="155">
        <v>2.2998135775056494</v>
      </c>
      <c r="Z5" s="91">
        <v>98.927060804903135</v>
      </c>
      <c r="AA5" s="84" t="str">
        <f t="shared" ref="AA5:AA27" si="8">IF(Z5&lt;5,"Desnutricion",IF(AND(Z5&gt;=5,Z5&lt;15),"Bajo Peso",IF(AND(Z5&gt;=15,Z5&lt;=85),"Normal",IF(Z5&gt;85,"Obesidad"))))</f>
        <v>Obesidad</v>
      </c>
      <c r="AB5" s="36">
        <v>1.8261891230003966</v>
      </c>
      <c r="AC5" s="36">
        <v>96.60891104102825</v>
      </c>
      <c r="AD5" s="39" t="str">
        <f t="shared" si="1"/>
        <v>Alto</v>
      </c>
      <c r="AE5" s="91">
        <v>-0.89275560669468479</v>
      </c>
      <c r="AF5" s="91">
        <v>18.599403230305807</v>
      </c>
      <c r="AG5" s="41" t="str">
        <f t="shared" si="2"/>
        <v>Normal</v>
      </c>
    </row>
    <row r="6" spans="1:34" s="11" customFormat="1" ht="15.75" x14ac:dyDescent="0.25">
      <c r="A6" s="43">
        <v>3</v>
      </c>
      <c r="B6" s="44" t="s">
        <v>10</v>
      </c>
      <c r="C6" s="43">
        <v>2</v>
      </c>
      <c r="D6" s="43" t="s">
        <v>7</v>
      </c>
      <c r="E6" s="43">
        <v>2</v>
      </c>
      <c r="F6" s="46">
        <v>42895</v>
      </c>
      <c r="G6" s="46">
        <v>44375</v>
      </c>
      <c r="H6" s="47">
        <f t="shared" ref="H6:H27" si="9">DATEDIF(F6,G6,"y")</f>
        <v>4</v>
      </c>
      <c r="I6" s="47">
        <f t="shared" si="3"/>
        <v>48</v>
      </c>
      <c r="J6" s="43">
        <v>15.3</v>
      </c>
      <c r="K6" s="43">
        <v>0.96</v>
      </c>
      <c r="L6" s="43">
        <f t="shared" si="4"/>
        <v>96</v>
      </c>
      <c r="M6" s="43">
        <v>56.1</v>
      </c>
      <c r="N6" s="48">
        <f t="shared" si="5"/>
        <v>41.5625</v>
      </c>
      <c r="O6" s="43">
        <v>49.4</v>
      </c>
      <c r="P6" s="43">
        <v>48.3</v>
      </c>
      <c r="Q6" s="49">
        <f>J6/(K6*K6)</f>
        <v>16.6015625</v>
      </c>
      <c r="R6" s="37"/>
      <c r="S6" s="91">
        <v>-1.5626627909162658</v>
      </c>
      <c r="T6" s="91">
        <v>5.9065965365023656</v>
      </c>
      <c r="U6" s="39" t="str">
        <f t="shared" si="7"/>
        <v>Normal</v>
      </c>
      <c r="V6" s="91">
        <v>-1.9920878639301964</v>
      </c>
      <c r="W6" s="91">
        <v>2.3180709147529366</v>
      </c>
      <c r="X6" s="39" t="str">
        <f t="shared" si="0"/>
        <v>Piernas cortas</v>
      </c>
      <c r="Y6" s="155">
        <v>0.89728726618920185</v>
      </c>
      <c r="Z6" s="91">
        <v>81.521717522308009</v>
      </c>
      <c r="AA6" s="84" t="str">
        <f t="shared" si="8"/>
        <v>Normal</v>
      </c>
      <c r="AB6" s="36">
        <v>7.4611885061356159E-2</v>
      </c>
      <c r="AC6" s="36">
        <v>52.973824121378968</v>
      </c>
      <c r="AD6" s="39" t="str">
        <f t="shared" si="1"/>
        <v>Normal</v>
      </c>
      <c r="AE6" s="91">
        <v>4.7217350291437851E-2</v>
      </c>
      <c r="AF6" s="91">
        <v>51.883000029418099</v>
      </c>
      <c r="AG6" s="41" t="str">
        <f t="shared" si="2"/>
        <v>Normal</v>
      </c>
    </row>
    <row r="7" spans="1:34" s="11" customFormat="1" ht="15.75" x14ac:dyDescent="0.25">
      <c r="A7" s="43">
        <v>4</v>
      </c>
      <c r="B7" s="44" t="s">
        <v>11</v>
      </c>
      <c r="C7" s="43">
        <v>2</v>
      </c>
      <c r="D7" s="43" t="s">
        <v>7</v>
      </c>
      <c r="E7" s="43">
        <v>1</v>
      </c>
      <c r="F7" s="46">
        <v>42936</v>
      </c>
      <c r="G7" s="46">
        <v>44375</v>
      </c>
      <c r="H7" s="47">
        <f t="shared" si="9"/>
        <v>3</v>
      </c>
      <c r="I7" s="47">
        <f t="shared" si="3"/>
        <v>47</v>
      </c>
      <c r="J7" s="43">
        <v>14.2</v>
      </c>
      <c r="K7" s="43">
        <v>0.95</v>
      </c>
      <c r="L7" s="43">
        <v>95</v>
      </c>
      <c r="M7" s="43">
        <v>54.5</v>
      </c>
      <c r="N7" s="48">
        <f t="shared" si="5"/>
        <v>42.631578947368418</v>
      </c>
      <c r="O7" s="43">
        <v>50.4</v>
      </c>
      <c r="P7" s="43">
        <v>46.5</v>
      </c>
      <c r="Q7" s="49">
        <f>J7/(K7*K7)</f>
        <v>15.734072022160664</v>
      </c>
      <c r="R7" s="37"/>
      <c r="S7" s="91">
        <v>-1.8674476065922416</v>
      </c>
      <c r="T7" s="91">
        <v>3.0919553472769445</v>
      </c>
      <c r="U7" s="39" t="str">
        <f t="shared" si="7"/>
        <v>Desnutricion</v>
      </c>
      <c r="V7" s="91">
        <v>-0.35618388203598339</v>
      </c>
      <c r="W7" s="91">
        <v>36.085143087272691</v>
      </c>
      <c r="X7" s="39" t="str">
        <f t="shared" si="0"/>
        <v>Normal</v>
      </c>
      <c r="Y7" s="155">
        <v>0.30109516461762631</v>
      </c>
      <c r="Z7" s="91">
        <v>61.83290359394249</v>
      </c>
      <c r="AA7" s="84" t="str">
        <f t="shared" si="8"/>
        <v>Normal</v>
      </c>
      <c r="AB7" s="36">
        <v>-0.35895978816903462</v>
      </c>
      <c r="AC7" s="36">
        <v>35.981258578193597</v>
      </c>
      <c r="AD7" s="39" t="str">
        <f t="shared" si="1"/>
        <v>Normal</v>
      </c>
      <c r="AE7" s="91">
        <v>0.16461654622640962</v>
      </c>
      <c r="AF7" s="91">
        <v>56.537709655432586</v>
      </c>
      <c r="AG7" s="41" t="str">
        <f t="shared" si="2"/>
        <v>Normal</v>
      </c>
    </row>
    <row r="8" spans="1:34" s="11" customFormat="1" ht="15.75" x14ac:dyDescent="0.25">
      <c r="A8" s="43">
        <v>5</v>
      </c>
      <c r="B8" s="44" t="s">
        <v>12</v>
      </c>
      <c r="C8" s="43">
        <v>2</v>
      </c>
      <c r="D8" s="43" t="s">
        <v>7</v>
      </c>
      <c r="E8" s="43">
        <v>1</v>
      </c>
      <c r="F8" s="46">
        <v>42986</v>
      </c>
      <c r="G8" s="46">
        <v>44375</v>
      </c>
      <c r="H8" s="47">
        <f t="shared" si="9"/>
        <v>3</v>
      </c>
      <c r="I8" s="47">
        <f t="shared" si="3"/>
        <v>45</v>
      </c>
      <c r="J8" s="43">
        <v>14.5</v>
      </c>
      <c r="K8" s="43">
        <v>0.97</v>
      </c>
      <c r="L8" s="43">
        <v>97</v>
      </c>
      <c r="M8" s="43">
        <v>53</v>
      </c>
      <c r="N8" s="48">
        <f t="shared" si="5"/>
        <v>45.360824742268044</v>
      </c>
      <c r="O8" s="43">
        <v>48</v>
      </c>
      <c r="P8" s="43">
        <v>47</v>
      </c>
      <c r="Q8" s="49">
        <f t="shared" si="6"/>
        <v>15.410776915718992</v>
      </c>
      <c r="R8" s="37"/>
      <c r="S8" s="91">
        <v>-1.1317315932288114</v>
      </c>
      <c r="T8" s="91">
        <v>12.887364743793601</v>
      </c>
      <c r="U8" s="39" t="str">
        <f t="shared" si="7"/>
        <v>Normal</v>
      </c>
      <c r="V8" s="91">
        <v>1.0213156936919496</v>
      </c>
      <c r="W8" s="91">
        <v>84.644755329590012</v>
      </c>
      <c r="X8" s="39" t="str">
        <f t="shared" si="0"/>
        <v>Normal</v>
      </c>
      <c r="Y8" s="155">
        <v>2.238501257191779E-2</v>
      </c>
      <c r="Z8" s="91">
        <v>50.892958220377452</v>
      </c>
      <c r="AA8" s="84" t="str">
        <f t="shared" si="8"/>
        <v>Normal</v>
      </c>
      <c r="AB8" s="36">
        <v>-0.1916981070485746</v>
      </c>
      <c r="AC8" s="36">
        <v>42.398934442290361</v>
      </c>
      <c r="AD8" s="39" t="str">
        <f t="shared" si="1"/>
        <v>Normal</v>
      </c>
      <c r="AE8" s="91">
        <v>-1.411713206916215</v>
      </c>
      <c r="AF8" s="91">
        <v>7.9017211522812962</v>
      </c>
      <c r="AG8" s="41" t="str">
        <f t="shared" si="2"/>
        <v>Debajo del promedio</v>
      </c>
    </row>
    <row r="9" spans="1:34" s="11" customFormat="1" ht="15.75" x14ac:dyDescent="0.25">
      <c r="A9" s="43">
        <v>6</v>
      </c>
      <c r="B9" s="44" t="s">
        <v>13</v>
      </c>
      <c r="C9" s="43">
        <v>3</v>
      </c>
      <c r="D9" s="43" t="s">
        <v>7</v>
      </c>
      <c r="E9" s="43">
        <v>1</v>
      </c>
      <c r="F9" s="46">
        <v>42651</v>
      </c>
      <c r="G9" s="46">
        <v>44375</v>
      </c>
      <c r="H9" s="47">
        <f t="shared" si="9"/>
        <v>4</v>
      </c>
      <c r="I9" s="47">
        <f t="shared" si="3"/>
        <v>56</v>
      </c>
      <c r="J9" s="43">
        <v>16.2</v>
      </c>
      <c r="K9" s="43">
        <v>1.02</v>
      </c>
      <c r="L9" s="43">
        <f t="shared" si="4"/>
        <v>102</v>
      </c>
      <c r="M9" s="43">
        <v>56.4</v>
      </c>
      <c r="N9" s="48">
        <f t="shared" si="5"/>
        <v>44.705882352941181</v>
      </c>
      <c r="O9" s="43">
        <v>52.3</v>
      </c>
      <c r="P9" s="43">
        <v>48</v>
      </c>
      <c r="Q9" s="49">
        <f t="shared" si="6"/>
        <v>15.570934256055363</v>
      </c>
      <c r="R9" s="37"/>
      <c r="S9" s="91">
        <v>-1.2854096400427388</v>
      </c>
      <c r="T9" s="91">
        <v>9.9324587143802372</v>
      </c>
      <c r="U9" s="39" t="str">
        <f t="shared" si="7"/>
        <v>Normal</v>
      </c>
      <c r="V9" s="91">
        <v>-9.3970195159689948E-2</v>
      </c>
      <c r="W9" s="91">
        <v>46.256641638027425</v>
      </c>
      <c r="X9" s="39" t="str">
        <f t="shared" si="0"/>
        <v>Normal</v>
      </c>
      <c r="Y9" s="155">
        <v>0.25844120705306228</v>
      </c>
      <c r="Z9" s="91">
        <v>60.196679108407046</v>
      </c>
      <c r="AA9" s="84" t="str">
        <f t="shared" si="8"/>
        <v>Normal</v>
      </c>
      <c r="AB9" s="36">
        <v>-0.18616438314916969</v>
      </c>
      <c r="AC9" s="36">
        <v>42.615792689875441</v>
      </c>
      <c r="AD9" s="39" t="str">
        <f t="shared" si="1"/>
        <v>Normal</v>
      </c>
      <c r="AE9" s="91">
        <v>1.1605716959467636</v>
      </c>
      <c r="AF9" s="91">
        <v>87.709193929839628</v>
      </c>
      <c r="AG9" s="41" t="str">
        <f t="shared" si="2"/>
        <v>Arriba del promedio</v>
      </c>
    </row>
    <row r="10" spans="1:34" s="11" customFormat="1" ht="15.75" x14ac:dyDescent="0.25">
      <c r="A10" s="43">
        <v>7</v>
      </c>
      <c r="B10" s="44" t="s">
        <v>14</v>
      </c>
      <c r="C10" s="43">
        <v>3</v>
      </c>
      <c r="D10" s="43" t="s">
        <v>7</v>
      </c>
      <c r="E10" s="43">
        <v>2</v>
      </c>
      <c r="F10" s="46">
        <v>42573</v>
      </c>
      <c r="G10" s="46">
        <v>44375</v>
      </c>
      <c r="H10" s="47">
        <f t="shared" si="9"/>
        <v>4</v>
      </c>
      <c r="I10" s="47">
        <f t="shared" si="3"/>
        <v>59</v>
      </c>
      <c r="J10" s="43">
        <v>18.8</v>
      </c>
      <c r="K10" s="43">
        <v>1.06</v>
      </c>
      <c r="L10" s="43">
        <f t="shared" si="4"/>
        <v>106</v>
      </c>
      <c r="M10" s="43">
        <v>58</v>
      </c>
      <c r="N10" s="48">
        <f t="shared" si="5"/>
        <v>45.283018867924532</v>
      </c>
      <c r="O10" s="43">
        <v>50.9</v>
      </c>
      <c r="P10" s="43">
        <v>51</v>
      </c>
      <c r="Q10" s="49">
        <f t="shared" si="6"/>
        <v>16.731933072267708</v>
      </c>
      <c r="R10" s="37"/>
      <c r="S10" s="91">
        <v>-0.61336997824985207</v>
      </c>
      <c r="T10" s="91">
        <v>26.981586610309648</v>
      </c>
      <c r="U10" s="39" t="str">
        <f t="shared" si="7"/>
        <v>Normal</v>
      </c>
      <c r="V10" s="91">
        <v>0.21202582706685014</v>
      </c>
      <c r="W10" s="91">
        <v>58.395655736189966</v>
      </c>
      <c r="X10" s="39" t="str">
        <f t="shared" si="0"/>
        <v>Normal</v>
      </c>
      <c r="Y10" s="155">
        <v>0.91391071053870709</v>
      </c>
      <c r="Z10" s="91">
        <v>81.961811736339314</v>
      </c>
      <c r="AA10" s="84" t="str">
        <f t="shared" si="8"/>
        <v>Normal</v>
      </c>
      <c r="AB10" s="36">
        <v>0.68467773165959711</v>
      </c>
      <c r="AC10" s="36">
        <v>75.322634799720447</v>
      </c>
      <c r="AD10" s="39" t="str">
        <f t="shared" si="1"/>
        <v>Normal</v>
      </c>
      <c r="AE10" s="91">
        <v>0.69489416741413768</v>
      </c>
      <c r="AF10" s="91">
        <v>75.643918590801832</v>
      </c>
      <c r="AG10" s="41" t="str">
        <f t="shared" si="2"/>
        <v>Normal</v>
      </c>
    </row>
    <row r="11" spans="1:34" s="11" customFormat="1" ht="15.75" x14ac:dyDescent="0.25">
      <c r="A11" s="43">
        <v>8</v>
      </c>
      <c r="B11" s="44" t="s">
        <v>15</v>
      </c>
      <c r="C11" s="43">
        <v>3</v>
      </c>
      <c r="D11" s="43" t="s">
        <v>7</v>
      </c>
      <c r="E11" s="43">
        <v>1</v>
      </c>
      <c r="F11" s="46">
        <v>42392</v>
      </c>
      <c r="G11" s="46">
        <v>44375</v>
      </c>
      <c r="H11" s="47">
        <f t="shared" si="9"/>
        <v>5</v>
      </c>
      <c r="I11" s="47">
        <f t="shared" si="3"/>
        <v>65</v>
      </c>
      <c r="J11" s="43">
        <v>21</v>
      </c>
      <c r="K11" s="43">
        <v>1.1000000000000001</v>
      </c>
      <c r="L11" s="43">
        <f t="shared" si="4"/>
        <v>110.00000000000001</v>
      </c>
      <c r="M11" s="43">
        <v>60.9</v>
      </c>
      <c r="N11" s="48">
        <f t="shared" si="5"/>
        <v>44.636363636363647</v>
      </c>
      <c r="O11" s="43">
        <v>51.2</v>
      </c>
      <c r="P11" s="43">
        <v>53.5</v>
      </c>
      <c r="Q11" s="49">
        <f t="shared" si="6"/>
        <v>17.355371900826444</v>
      </c>
      <c r="R11" s="37"/>
      <c r="S11" s="91">
        <v>-0.50681484890726403</v>
      </c>
      <c r="T11" s="91">
        <v>30.614236827250739</v>
      </c>
      <c r="U11" s="39" t="str">
        <f t="shared" si="7"/>
        <v>Normal</v>
      </c>
      <c r="V11" s="91">
        <v>-0.80666991529339571</v>
      </c>
      <c r="W11" s="91">
        <v>20.992834067025104</v>
      </c>
      <c r="X11" s="39" t="str">
        <f t="shared" si="0"/>
        <v>Normal</v>
      </c>
      <c r="Y11" s="155">
        <v>1.4624355260382313</v>
      </c>
      <c r="Z11" s="91">
        <v>92.81890499265603</v>
      </c>
      <c r="AA11" s="84" t="str">
        <f t="shared" si="8"/>
        <v>Obesidad</v>
      </c>
      <c r="AB11" s="36">
        <v>0.57318252231661182</v>
      </c>
      <c r="AC11" s="36">
        <v>71.673944150193194</v>
      </c>
      <c r="AD11" s="39" t="str">
        <f t="shared" si="1"/>
        <v>Normal</v>
      </c>
      <c r="AE11" s="91">
        <v>0.30942110322171673</v>
      </c>
      <c r="AF11" s="91">
        <v>62.149939027093673</v>
      </c>
      <c r="AG11" s="41" t="str">
        <f t="shared" si="2"/>
        <v>Normal</v>
      </c>
    </row>
    <row r="12" spans="1:34" s="11" customFormat="1" ht="15.75" x14ac:dyDescent="0.25">
      <c r="A12" s="43">
        <v>9</v>
      </c>
      <c r="B12" s="44" t="s">
        <v>16</v>
      </c>
      <c r="C12" s="43">
        <v>3</v>
      </c>
      <c r="D12" s="43" t="s">
        <v>7</v>
      </c>
      <c r="E12" s="43">
        <v>2</v>
      </c>
      <c r="F12" s="46">
        <v>42375</v>
      </c>
      <c r="G12" s="46">
        <v>44375</v>
      </c>
      <c r="H12" s="47">
        <f t="shared" si="9"/>
        <v>5</v>
      </c>
      <c r="I12" s="47">
        <f t="shared" si="3"/>
        <v>65</v>
      </c>
      <c r="J12" s="43">
        <v>16.8</v>
      </c>
      <c r="K12" s="43">
        <v>1.03</v>
      </c>
      <c r="L12" s="43">
        <f t="shared" si="4"/>
        <v>103</v>
      </c>
      <c r="M12" s="43">
        <v>55.5</v>
      </c>
      <c r="N12" s="48">
        <f t="shared" si="5"/>
        <v>46.116504854368934</v>
      </c>
      <c r="O12" s="43">
        <v>49</v>
      </c>
      <c r="P12" s="43">
        <v>50</v>
      </c>
      <c r="Q12" s="49">
        <f t="shared" si="6"/>
        <v>15.835611273447075</v>
      </c>
      <c r="R12" s="37"/>
      <c r="S12" s="91">
        <v>-1.7684776664541455</v>
      </c>
      <c r="T12" s="91">
        <v>3.8490541311852535</v>
      </c>
      <c r="U12" s="39" t="str">
        <f t="shared" si="7"/>
        <v>Desnutricion</v>
      </c>
      <c r="V12" s="91">
        <v>6.6054591063554061E-2</v>
      </c>
      <c r="W12" s="91">
        <v>52.633281853379252</v>
      </c>
      <c r="X12" s="39" t="str">
        <f t="shared" si="0"/>
        <v>Normal</v>
      </c>
      <c r="Y12" s="155">
        <v>0.36465734659589272</v>
      </c>
      <c r="Z12" s="91">
        <v>64.231639915022342</v>
      </c>
      <c r="AA12" s="84" t="str">
        <f t="shared" si="8"/>
        <v>Normal</v>
      </c>
      <c r="AB12" s="36">
        <v>0.11453438932035943</v>
      </c>
      <c r="AC12" s="36">
        <v>54.559290648940006</v>
      </c>
      <c r="AD12" s="39" t="str">
        <f t="shared" si="1"/>
        <v>Normal</v>
      </c>
      <c r="AE12" s="91">
        <v>-0.52879022289899547</v>
      </c>
      <c r="AF12" s="91">
        <v>29.847549044504284</v>
      </c>
      <c r="AG12" s="41" t="str">
        <f t="shared" si="2"/>
        <v>Normal</v>
      </c>
    </row>
    <row r="13" spans="1:34" s="11" customFormat="1" ht="15.75" x14ac:dyDescent="0.25">
      <c r="A13" s="43">
        <v>10</v>
      </c>
      <c r="B13" s="44" t="s">
        <v>17</v>
      </c>
      <c r="C13" s="43">
        <v>3</v>
      </c>
      <c r="D13" s="43" t="s">
        <v>7</v>
      </c>
      <c r="E13" s="43">
        <v>1</v>
      </c>
      <c r="F13" s="46">
        <v>42428</v>
      </c>
      <c r="G13" s="46">
        <v>44375</v>
      </c>
      <c r="H13" s="47">
        <f t="shared" si="9"/>
        <v>5</v>
      </c>
      <c r="I13" s="47">
        <f t="shared" si="3"/>
        <v>64</v>
      </c>
      <c r="J13" s="43">
        <v>17.7</v>
      </c>
      <c r="K13" s="43">
        <v>1.03</v>
      </c>
      <c r="L13" s="43">
        <f t="shared" si="4"/>
        <v>103</v>
      </c>
      <c r="M13" s="43">
        <v>59.8</v>
      </c>
      <c r="N13" s="48">
        <f t="shared" si="5"/>
        <v>41.941747572815537</v>
      </c>
      <c r="O13" s="43">
        <v>50.7</v>
      </c>
      <c r="P13" s="43">
        <v>49.4</v>
      </c>
      <c r="Q13" s="49">
        <f t="shared" si="6"/>
        <v>16.683947591667451</v>
      </c>
      <c r="R13" s="37"/>
      <c r="S13" s="91">
        <v>-1.8924237778669124</v>
      </c>
      <c r="T13" s="91">
        <v>2.9217270203828747</v>
      </c>
      <c r="U13" s="39" t="str">
        <f t="shared" si="7"/>
        <v>Desnutricion</v>
      </c>
      <c r="V13" s="91">
        <v>-2.5450154163552994</v>
      </c>
      <c r="W13" s="91">
        <v>0.54636456912972142</v>
      </c>
      <c r="X13" s="39" t="str">
        <f t="shared" si="0"/>
        <v>Piernas cortas</v>
      </c>
      <c r="Y13" s="155">
        <v>1.0430198196644769</v>
      </c>
      <c r="Z13" s="91">
        <v>85.153044325848327</v>
      </c>
      <c r="AA13" s="84" t="str">
        <f t="shared" si="8"/>
        <v>Obesidad</v>
      </c>
      <c r="AB13" s="36">
        <v>-0.17669551105056877</v>
      </c>
      <c r="AC13" s="36">
        <v>42.987378352962615</v>
      </c>
      <c r="AD13" s="39" t="str">
        <f t="shared" si="1"/>
        <v>Normal</v>
      </c>
      <c r="AE13" s="91">
        <v>-2.5088197558512992E-2</v>
      </c>
      <c r="AF13" s="91">
        <v>48.999230710229199</v>
      </c>
      <c r="AG13" s="41" t="str">
        <f t="shared" si="2"/>
        <v>Normal</v>
      </c>
    </row>
    <row r="14" spans="1:34" ht="15.75" x14ac:dyDescent="0.25">
      <c r="A14" s="33">
        <v>11</v>
      </c>
      <c r="B14" s="50" t="s">
        <v>18</v>
      </c>
      <c r="C14" s="33">
        <v>3</v>
      </c>
      <c r="D14" s="33" t="s">
        <v>7</v>
      </c>
      <c r="E14" s="33">
        <v>2</v>
      </c>
      <c r="F14" s="51">
        <v>42527</v>
      </c>
      <c r="G14" s="51">
        <v>44375</v>
      </c>
      <c r="H14" s="38">
        <f t="shared" si="9"/>
        <v>5</v>
      </c>
      <c r="I14" s="47">
        <f t="shared" si="3"/>
        <v>60</v>
      </c>
      <c r="J14" s="33">
        <v>16.899999999999999</v>
      </c>
      <c r="K14" s="33">
        <v>1.07</v>
      </c>
      <c r="L14" s="33">
        <f t="shared" si="4"/>
        <v>107</v>
      </c>
      <c r="M14" s="33">
        <v>58.5</v>
      </c>
      <c r="N14" s="52">
        <f t="shared" si="5"/>
        <v>45.32710280373832</v>
      </c>
      <c r="O14" s="33">
        <v>50.2</v>
      </c>
      <c r="P14" s="33">
        <v>48</v>
      </c>
      <c r="Q14" s="53">
        <f t="shared" si="6"/>
        <v>14.761114507817275</v>
      </c>
      <c r="R14" s="34"/>
      <c r="S14" s="91">
        <v>-0.50945723473381144</v>
      </c>
      <c r="T14" s="91">
        <v>30.521588346978991</v>
      </c>
      <c r="U14" s="39" t="str">
        <f t="shared" si="7"/>
        <v>Normal</v>
      </c>
      <c r="V14" s="91">
        <v>-0.42752585573606289</v>
      </c>
      <c r="W14" s="91">
        <v>33.449817844755799</v>
      </c>
      <c r="X14" s="39" t="str">
        <f t="shared" si="0"/>
        <v>Normal</v>
      </c>
      <c r="Y14" s="155">
        <v>-0.35280566270804786</v>
      </c>
      <c r="Z14" s="91">
        <v>36.211706910177035</v>
      </c>
      <c r="AA14" s="84" t="str">
        <f t="shared" si="8"/>
        <v>Normal</v>
      </c>
      <c r="AB14" s="36">
        <v>-0.31503463918106656</v>
      </c>
      <c r="AC14" s="36">
        <v>37.636767683794112</v>
      </c>
      <c r="AD14" s="39" t="str">
        <f t="shared" si="1"/>
        <v>Normal</v>
      </c>
      <c r="AE14" s="91">
        <v>0.15876884902515334</v>
      </c>
      <c r="AF14" s="91">
        <v>56.30745038335747</v>
      </c>
      <c r="AG14" s="41" t="str">
        <f t="shared" si="2"/>
        <v>Normal</v>
      </c>
    </row>
    <row r="15" spans="1:34" ht="15.75" x14ac:dyDescent="0.25">
      <c r="A15" s="33">
        <v>12</v>
      </c>
      <c r="B15" s="50" t="s">
        <v>19</v>
      </c>
      <c r="C15" s="33">
        <v>3</v>
      </c>
      <c r="D15" s="33" t="s">
        <v>7</v>
      </c>
      <c r="E15" s="33">
        <v>1</v>
      </c>
      <c r="F15" s="51">
        <v>42395</v>
      </c>
      <c r="G15" s="51">
        <v>44375</v>
      </c>
      <c r="H15" s="38">
        <f t="shared" si="9"/>
        <v>5</v>
      </c>
      <c r="I15" s="38">
        <f t="shared" si="3"/>
        <v>65</v>
      </c>
      <c r="J15" s="33">
        <v>17.100000000000001</v>
      </c>
      <c r="K15" s="33">
        <v>1.03</v>
      </c>
      <c r="L15" s="33">
        <f t="shared" si="4"/>
        <v>103</v>
      </c>
      <c r="M15" s="33">
        <v>56.8</v>
      </c>
      <c r="N15" s="52">
        <f t="shared" si="5"/>
        <v>44.854368932038838</v>
      </c>
      <c r="O15" s="33">
        <v>50.5</v>
      </c>
      <c r="P15" s="33">
        <v>53</v>
      </c>
      <c r="Q15" s="53">
        <f t="shared" si="6"/>
        <v>16.118390046187201</v>
      </c>
      <c r="R15" s="34"/>
      <c r="S15" s="91">
        <v>-1.9915204117241241</v>
      </c>
      <c r="T15" s="91">
        <v>2.3211851732440447</v>
      </c>
      <c r="U15" s="39" t="str">
        <f t="shared" si="7"/>
        <v>Desnutricion</v>
      </c>
      <c r="V15" s="91">
        <v>-0.67103233751897473</v>
      </c>
      <c r="W15" s="91">
        <v>25.109996461515692</v>
      </c>
      <c r="X15" s="39" t="str">
        <f t="shared" si="0"/>
        <v>Normal</v>
      </c>
      <c r="Y15" s="155">
        <v>0.66696605738564074</v>
      </c>
      <c r="Z15" s="91">
        <v>74.760309267577867</v>
      </c>
      <c r="AA15" s="84" t="str">
        <f t="shared" si="8"/>
        <v>Normal</v>
      </c>
      <c r="AB15" s="36">
        <v>0.48669341370520519</v>
      </c>
      <c r="AC15" s="36">
        <v>68.676219330881352</v>
      </c>
      <c r="AD15" s="39" t="str">
        <f t="shared" si="1"/>
        <v>Normal</v>
      </c>
      <c r="AE15" s="91">
        <v>-0.15889191787060489</v>
      </c>
      <c r="AF15" s="91">
        <v>43.687701420309239</v>
      </c>
      <c r="AG15" s="41" t="str">
        <f t="shared" si="2"/>
        <v>Normal</v>
      </c>
    </row>
    <row r="16" spans="1:34" ht="15.75" x14ac:dyDescent="0.25">
      <c r="A16" s="33">
        <v>13</v>
      </c>
      <c r="B16" s="44" t="s">
        <v>20</v>
      </c>
      <c r="C16" s="33">
        <v>3</v>
      </c>
      <c r="D16" s="33" t="s">
        <v>7</v>
      </c>
      <c r="E16" s="33">
        <v>1</v>
      </c>
      <c r="F16" s="46">
        <v>42600</v>
      </c>
      <c r="G16" s="51">
        <v>44375</v>
      </c>
      <c r="H16" s="38">
        <f t="shared" si="9"/>
        <v>4</v>
      </c>
      <c r="I16" s="38">
        <f t="shared" si="3"/>
        <v>58</v>
      </c>
      <c r="J16" s="43">
        <v>16.8</v>
      </c>
      <c r="K16" s="43">
        <v>1.05</v>
      </c>
      <c r="L16" s="33">
        <f t="shared" si="4"/>
        <v>105</v>
      </c>
      <c r="M16" s="43">
        <v>56</v>
      </c>
      <c r="N16" s="52">
        <f t="shared" si="5"/>
        <v>46.666666666666664</v>
      </c>
      <c r="O16" s="43">
        <v>55</v>
      </c>
      <c r="P16" s="43">
        <v>49</v>
      </c>
      <c r="Q16" s="49">
        <f t="shared" si="6"/>
        <v>15.238095238095239</v>
      </c>
      <c r="R16" s="34"/>
      <c r="S16" s="91">
        <v>-0.84814410279819552</v>
      </c>
      <c r="T16" s="91">
        <v>19.81788613409061</v>
      </c>
      <c r="U16" s="39" t="str">
        <f t="shared" si="7"/>
        <v>Normal</v>
      </c>
      <c r="V16" s="91">
        <v>1.0051946832313068</v>
      </c>
      <c r="W16" s="91">
        <v>84.259844259053423</v>
      </c>
      <c r="X16" s="39" t="str">
        <f t="shared" si="0"/>
        <v>Normal</v>
      </c>
      <c r="Y16" s="155">
        <v>2.209001817924474E-2</v>
      </c>
      <c r="Z16" s="91">
        <v>50.881192556310076</v>
      </c>
      <c r="AA16" s="84" t="str">
        <f t="shared" si="8"/>
        <v>Normal</v>
      </c>
      <c r="AB16" s="36">
        <v>5.1654427551555436E-2</v>
      </c>
      <c r="AC16" s="36">
        <v>52.059797486282818</v>
      </c>
      <c r="AD16" s="39" t="str">
        <f t="shared" si="1"/>
        <v>Normal</v>
      </c>
      <c r="AE16" s="91">
        <v>2.9148648762428215</v>
      </c>
      <c r="AF16" s="91">
        <v>99.822078713162526</v>
      </c>
      <c r="AG16" s="41" t="str">
        <f t="shared" si="2"/>
        <v>Grande</v>
      </c>
    </row>
    <row r="17" spans="1:39" ht="15.75" x14ac:dyDescent="0.25">
      <c r="A17" s="33">
        <v>14</v>
      </c>
      <c r="B17" s="44" t="s">
        <v>21</v>
      </c>
      <c r="C17" s="33">
        <v>3</v>
      </c>
      <c r="D17" s="33" t="s">
        <v>7</v>
      </c>
      <c r="E17" s="33">
        <v>2</v>
      </c>
      <c r="F17" s="46">
        <v>42904</v>
      </c>
      <c r="G17" s="51">
        <v>44375</v>
      </c>
      <c r="H17" s="38">
        <f t="shared" si="9"/>
        <v>4</v>
      </c>
      <c r="I17" s="38">
        <f t="shared" si="3"/>
        <v>48</v>
      </c>
      <c r="J17" s="33">
        <v>16</v>
      </c>
      <c r="K17" s="33">
        <v>1.04</v>
      </c>
      <c r="L17" s="33">
        <f t="shared" si="4"/>
        <v>104</v>
      </c>
      <c r="M17" s="33">
        <v>55.9</v>
      </c>
      <c r="N17" s="52">
        <f t="shared" si="5"/>
        <v>46.25</v>
      </c>
      <c r="O17" s="33">
        <v>50.7</v>
      </c>
      <c r="P17" s="33">
        <v>48.5</v>
      </c>
      <c r="Q17" s="53">
        <f t="shared" si="6"/>
        <v>14.792899408284022</v>
      </c>
      <c r="R17" s="34"/>
      <c r="S17" s="91">
        <v>0.29455469293953035</v>
      </c>
      <c r="T17" s="91">
        <v>61.583296147569143</v>
      </c>
      <c r="U17" s="39" t="str">
        <f t="shared" si="7"/>
        <v>Normal</v>
      </c>
      <c r="V17" s="91">
        <v>0.75302665423905035</v>
      </c>
      <c r="W17" s="91">
        <v>77.42830514229297</v>
      </c>
      <c r="X17" s="39" t="str">
        <f t="shared" si="0"/>
        <v>Normal</v>
      </c>
      <c r="Y17" s="155">
        <v>-0.34224867893941002</v>
      </c>
      <c r="Z17" s="91">
        <v>36.60818770858171</v>
      </c>
      <c r="AA17" s="84" t="str">
        <f t="shared" si="8"/>
        <v>Normal</v>
      </c>
      <c r="AB17" s="36">
        <v>0.12222291577775413</v>
      </c>
      <c r="AC17" s="36">
        <v>54.863876082775207</v>
      </c>
      <c r="AD17" s="39" t="str">
        <f t="shared" si="1"/>
        <v>Normal</v>
      </c>
      <c r="AE17" s="91">
        <v>0.95123142067240751</v>
      </c>
      <c r="AF17" s="91">
        <v>82.925654426218571</v>
      </c>
      <c r="AG17" s="41" t="str">
        <f t="shared" si="2"/>
        <v>Normal</v>
      </c>
    </row>
    <row r="18" spans="1:39" ht="15.75" x14ac:dyDescent="0.25">
      <c r="A18" s="33">
        <v>15</v>
      </c>
      <c r="B18" s="50" t="s">
        <v>22</v>
      </c>
      <c r="C18" s="33">
        <v>3</v>
      </c>
      <c r="D18" s="33" t="s">
        <v>7</v>
      </c>
      <c r="E18" s="33">
        <v>2</v>
      </c>
      <c r="F18" s="51">
        <v>42432</v>
      </c>
      <c r="G18" s="51">
        <v>44375</v>
      </c>
      <c r="H18" s="38">
        <f t="shared" si="9"/>
        <v>5</v>
      </c>
      <c r="I18" s="38">
        <f t="shared" si="3"/>
        <v>63</v>
      </c>
      <c r="J18" s="33">
        <v>15.4</v>
      </c>
      <c r="K18" s="33">
        <v>1.07</v>
      </c>
      <c r="L18" s="33">
        <f t="shared" si="4"/>
        <v>107</v>
      </c>
      <c r="M18" s="33">
        <v>55.5</v>
      </c>
      <c r="N18" s="52">
        <f t="shared" si="5"/>
        <v>48.13084112149533</v>
      </c>
      <c r="O18" s="33">
        <v>49.1</v>
      </c>
      <c r="P18" s="33">
        <v>47.5</v>
      </c>
      <c r="Q18" s="53">
        <f t="shared" si="6"/>
        <v>13.450956415407459</v>
      </c>
      <c r="R18" s="34"/>
      <c r="S18" s="91">
        <v>-0.75335172026152097</v>
      </c>
      <c r="T18" s="91">
        <v>22.561929338786662</v>
      </c>
      <c r="U18" s="39" t="str">
        <f t="shared" si="7"/>
        <v>Normal</v>
      </c>
      <c r="V18" s="91">
        <v>1.285018196057262</v>
      </c>
      <c r="W18" s="91">
        <v>90.060703722501501</v>
      </c>
      <c r="X18" s="39" t="str">
        <f t="shared" si="0"/>
        <v>Normal</v>
      </c>
      <c r="Y18" s="155">
        <v>-1.3469699797282495</v>
      </c>
      <c r="Z18" s="91">
        <v>8.8994950707240186</v>
      </c>
      <c r="AA18" s="84" t="str">
        <f t="shared" si="8"/>
        <v>Bajo Peso</v>
      </c>
      <c r="AB18" s="36">
        <v>-0.42830256089928914</v>
      </c>
      <c r="AC18" s="36">
        <v>33.4215427353462</v>
      </c>
      <c r="AD18" s="39" t="str">
        <f t="shared" si="1"/>
        <v>Normal</v>
      </c>
      <c r="AE18" s="91">
        <v>-0.47149363357198276</v>
      </c>
      <c r="AF18" s="91">
        <v>31.864413248145357</v>
      </c>
      <c r="AG18" s="41" t="str">
        <f t="shared" si="2"/>
        <v>Normal</v>
      </c>
    </row>
    <row r="19" spans="1:39" ht="15.75" x14ac:dyDescent="0.25">
      <c r="A19" s="33">
        <v>16</v>
      </c>
      <c r="B19" s="50" t="s">
        <v>23</v>
      </c>
      <c r="C19" s="33">
        <v>3</v>
      </c>
      <c r="D19" s="33" t="s">
        <v>7</v>
      </c>
      <c r="E19" s="33">
        <v>1</v>
      </c>
      <c r="F19" s="51">
        <v>42370</v>
      </c>
      <c r="G19" s="51">
        <v>44375</v>
      </c>
      <c r="H19" s="38">
        <f t="shared" si="9"/>
        <v>5</v>
      </c>
      <c r="I19" s="38">
        <f t="shared" si="3"/>
        <v>65</v>
      </c>
      <c r="J19" s="33">
        <v>15.4</v>
      </c>
      <c r="K19" s="33">
        <v>1.08</v>
      </c>
      <c r="L19" s="33">
        <f t="shared" si="4"/>
        <v>108</v>
      </c>
      <c r="M19" s="33">
        <f>99.6-40</f>
        <v>59.599999999999994</v>
      </c>
      <c r="N19" s="52">
        <f t="shared" si="5"/>
        <v>44.814814814814817</v>
      </c>
      <c r="O19" s="33">
        <v>50</v>
      </c>
      <c r="P19" s="33">
        <v>44</v>
      </c>
      <c r="Q19" s="53">
        <f t="shared" si="6"/>
        <v>13.203017832647461</v>
      </c>
      <c r="R19" s="34"/>
      <c r="S19" s="91">
        <v>-0.93101643828351133</v>
      </c>
      <c r="T19" s="91">
        <v>17.592253052244857</v>
      </c>
      <c r="U19" s="39" t="str">
        <f t="shared" si="7"/>
        <v>Normal</v>
      </c>
      <c r="V19" s="91">
        <v>-0.69558883408362249</v>
      </c>
      <c r="W19" s="91">
        <v>24.334318042937696</v>
      </c>
      <c r="X19" s="39" t="str">
        <f t="shared" si="0"/>
        <v>Normal</v>
      </c>
      <c r="Y19" s="155">
        <v>-1.6931504766136962</v>
      </c>
      <c r="Z19" s="91">
        <v>4.5213414175202553</v>
      </c>
      <c r="AA19" s="84" t="str">
        <f t="shared" si="8"/>
        <v>Desnutricion</v>
      </c>
      <c r="AB19" s="36">
        <v>-1.3302069219056787</v>
      </c>
      <c r="AC19" s="36">
        <v>9.1725052084896337</v>
      </c>
      <c r="AD19" s="39" t="str">
        <f t="shared" si="1"/>
        <v>Debajo del promedio</v>
      </c>
      <c r="AE19" s="91">
        <v>-0.49340121865083086</v>
      </c>
      <c r="AF19" s="91">
        <v>31.086456073026845</v>
      </c>
      <c r="AG19" s="41" t="str">
        <f t="shared" si="2"/>
        <v>Normal</v>
      </c>
    </row>
    <row r="20" spans="1:39" ht="15.75" x14ac:dyDescent="0.25">
      <c r="A20" s="33">
        <v>17</v>
      </c>
      <c r="B20" s="50" t="s">
        <v>24</v>
      </c>
      <c r="C20" s="33">
        <v>3</v>
      </c>
      <c r="D20" s="33" t="s">
        <v>7</v>
      </c>
      <c r="E20" s="33">
        <v>2</v>
      </c>
      <c r="F20" s="51">
        <v>42444</v>
      </c>
      <c r="G20" s="51">
        <v>44375</v>
      </c>
      <c r="H20" s="38">
        <f t="shared" si="9"/>
        <v>5</v>
      </c>
      <c r="I20" s="38">
        <f t="shared" si="3"/>
        <v>63</v>
      </c>
      <c r="J20" s="33">
        <v>18.2</v>
      </c>
      <c r="K20" s="33">
        <v>1.05</v>
      </c>
      <c r="L20" s="33">
        <f t="shared" si="4"/>
        <v>105</v>
      </c>
      <c r="M20" s="33">
        <v>56.9</v>
      </c>
      <c r="N20" s="52">
        <f t="shared" si="5"/>
        <v>45.80952380952381</v>
      </c>
      <c r="O20" s="33">
        <v>51.3</v>
      </c>
      <c r="P20" s="33">
        <v>51.4</v>
      </c>
      <c r="Q20" s="53">
        <f t="shared" si="6"/>
        <v>16.507936507936506</v>
      </c>
      <c r="R20" s="34"/>
      <c r="S20" s="91">
        <v>-1.166702092136924</v>
      </c>
      <c r="T20" s="91">
        <v>12.166534882382921</v>
      </c>
      <c r="U20" s="39" t="str">
        <f t="shared" si="7"/>
        <v>Normal</v>
      </c>
      <c r="V20" s="91">
        <v>-0.12478816675522819</v>
      </c>
      <c r="W20" s="91">
        <v>45.034562786105781</v>
      </c>
      <c r="X20" s="39" t="str">
        <f t="shared" si="0"/>
        <v>Normal</v>
      </c>
      <c r="Y20" s="155">
        <v>0.77592226160889677</v>
      </c>
      <c r="Z20" s="91">
        <v>78.110255626545907</v>
      </c>
      <c r="AA20" s="84" t="str">
        <f t="shared" si="8"/>
        <v>Normal</v>
      </c>
      <c r="AB20" s="36">
        <v>0.39459772264759685</v>
      </c>
      <c r="AC20" s="36">
        <v>65.343010275200044</v>
      </c>
      <c r="AD20" s="39" t="str">
        <f t="shared" si="1"/>
        <v>Normal</v>
      </c>
      <c r="AE20" s="91">
        <v>0.78903133162228634</v>
      </c>
      <c r="AF20" s="91">
        <v>78.495315279856001</v>
      </c>
      <c r="AG20" s="41" t="str">
        <f t="shared" si="2"/>
        <v>Normal</v>
      </c>
    </row>
    <row r="21" spans="1:39" ht="15.75" x14ac:dyDescent="0.25">
      <c r="A21" s="33">
        <v>18</v>
      </c>
      <c r="B21" s="50" t="s">
        <v>25</v>
      </c>
      <c r="C21" s="33">
        <v>3</v>
      </c>
      <c r="D21" s="33" t="s">
        <v>26</v>
      </c>
      <c r="E21" s="33">
        <v>1</v>
      </c>
      <c r="F21" s="51">
        <v>42480</v>
      </c>
      <c r="G21" s="51">
        <v>44375</v>
      </c>
      <c r="H21" s="38">
        <f t="shared" si="9"/>
        <v>5</v>
      </c>
      <c r="I21" s="38">
        <f t="shared" si="3"/>
        <v>62</v>
      </c>
      <c r="J21" s="33">
        <v>28.1</v>
      </c>
      <c r="K21" s="33">
        <v>1.1200000000000001</v>
      </c>
      <c r="L21" s="33">
        <f t="shared" si="4"/>
        <v>112.00000000000001</v>
      </c>
      <c r="M21" s="33">
        <v>64.5</v>
      </c>
      <c r="N21" s="52">
        <f t="shared" si="5"/>
        <v>42.410714285714292</v>
      </c>
      <c r="O21" s="33">
        <v>51.7</v>
      </c>
      <c r="P21" s="33">
        <v>68.5</v>
      </c>
      <c r="Q21" s="53">
        <f t="shared" si="6"/>
        <v>22.401147959183671</v>
      </c>
      <c r="R21" s="34"/>
      <c r="S21" s="91">
        <v>0.25946431277480897</v>
      </c>
      <c r="T21" s="91">
        <v>60.236149316924894</v>
      </c>
      <c r="U21" s="39" t="str">
        <f t="shared" si="7"/>
        <v>Normal</v>
      </c>
      <c r="V21" s="91">
        <v>-2.2339283791645714</v>
      </c>
      <c r="W21" s="91">
        <v>1.2743892964570431</v>
      </c>
      <c r="X21" s="39" t="str">
        <f t="shared" si="0"/>
        <v>Piernas cortas</v>
      </c>
      <c r="Y21" s="155">
        <v>3.9165081952480163</v>
      </c>
      <c r="Z21" s="91">
        <v>99.995507961842662</v>
      </c>
      <c r="AA21" s="84" t="str">
        <f t="shared" si="8"/>
        <v>Obesidad</v>
      </c>
      <c r="AB21" s="36">
        <v>2.6855946812093507</v>
      </c>
      <c r="AC21" s="36">
        <v>99.637995708454014</v>
      </c>
      <c r="AD21" s="39" t="str">
        <f t="shared" si="1"/>
        <v>Alto</v>
      </c>
      <c r="AE21" s="91">
        <v>0.64393040400194279</v>
      </c>
      <c r="AF21" s="91">
        <v>74.018971748636858</v>
      </c>
      <c r="AG21" s="41" t="str">
        <f t="shared" si="2"/>
        <v>Normal</v>
      </c>
    </row>
    <row r="22" spans="1:39" ht="15.75" x14ac:dyDescent="0.25">
      <c r="A22" s="33">
        <v>19</v>
      </c>
      <c r="B22" s="50" t="s">
        <v>27</v>
      </c>
      <c r="C22" s="33">
        <v>3</v>
      </c>
      <c r="D22" s="33" t="s">
        <v>26</v>
      </c>
      <c r="E22" s="33">
        <v>2</v>
      </c>
      <c r="F22" s="51">
        <v>42711</v>
      </c>
      <c r="G22" s="51">
        <v>44375</v>
      </c>
      <c r="H22" s="38">
        <f t="shared" si="9"/>
        <v>4</v>
      </c>
      <c r="I22" s="38">
        <f t="shared" si="3"/>
        <v>54</v>
      </c>
      <c r="J22" s="33">
        <v>20.3</v>
      </c>
      <c r="K22" s="33">
        <v>1.07</v>
      </c>
      <c r="L22" s="33">
        <f t="shared" si="4"/>
        <v>107</v>
      </c>
      <c r="M22" s="33">
        <f>98-40</f>
        <v>58</v>
      </c>
      <c r="N22" s="52">
        <f t="shared" si="5"/>
        <v>45.794392523364486</v>
      </c>
      <c r="O22" s="33">
        <v>52</v>
      </c>
      <c r="P22" s="33">
        <v>52.5</v>
      </c>
      <c r="Q22" s="53">
        <f t="shared" si="6"/>
        <v>17.730806183946196</v>
      </c>
      <c r="R22" s="34"/>
      <c r="S22" s="91">
        <v>0.18193092335232774</v>
      </c>
      <c r="T22" s="91">
        <v>57.218153193397626</v>
      </c>
      <c r="U22" s="39" t="str">
        <f t="shared" si="7"/>
        <v>Normal</v>
      </c>
      <c r="V22" s="91">
        <v>0.49965816157929949</v>
      </c>
      <c r="W22" s="91">
        <v>69.134210153546988</v>
      </c>
      <c r="X22" s="39" t="str">
        <f t="shared" si="0"/>
        <v>Normal</v>
      </c>
      <c r="Y22" s="155">
        <v>1.5169084364737215</v>
      </c>
      <c r="Z22" s="91">
        <v>93.535509834743095</v>
      </c>
      <c r="AA22" s="84" t="str">
        <f t="shared" si="8"/>
        <v>Obesidad</v>
      </c>
      <c r="AB22" s="36">
        <v>0.99548020073837906</v>
      </c>
      <c r="AC22" s="36">
        <v>84.024861541514923</v>
      </c>
      <c r="AD22" s="39" t="str">
        <f t="shared" si="1"/>
        <v>Normal</v>
      </c>
      <c r="AE22" s="91">
        <v>1.616891683909484</v>
      </c>
      <c r="AF22" s="91">
        <v>94.704916808995463</v>
      </c>
      <c r="AG22" s="41" t="str">
        <f t="shared" si="2"/>
        <v>Arriba del promedio</v>
      </c>
    </row>
    <row r="23" spans="1:39" ht="15.75" x14ac:dyDescent="0.25">
      <c r="A23" s="33">
        <v>20</v>
      </c>
      <c r="B23" s="50" t="s">
        <v>28</v>
      </c>
      <c r="C23" s="33">
        <v>3</v>
      </c>
      <c r="D23" s="33" t="s">
        <v>26</v>
      </c>
      <c r="E23" s="33">
        <v>1</v>
      </c>
      <c r="F23" s="51">
        <v>42470</v>
      </c>
      <c r="G23" s="51">
        <v>44375</v>
      </c>
      <c r="H23" s="38">
        <f t="shared" si="9"/>
        <v>5</v>
      </c>
      <c r="I23" s="38">
        <f t="shared" si="3"/>
        <v>62</v>
      </c>
      <c r="J23" s="33">
        <v>19</v>
      </c>
      <c r="K23" s="33">
        <v>1.07</v>
      </c>
      <c r="L23" s="33">
        <f t="shared" si="4"/>
        <v>107</v>
      </c>
      <c r="M23" s="33">
        <v>58.5</v>
      </c>
      <c r="N23" s="52">
        <f t="shared" si="5"/>
        <v>45.32710280373832</v>
      </c>
      <c r="O23" s="33">
        <v>51</v>
      </c>
      <c r="P23" s="33">
        <v>55</v>
      </c>
      <c r="Q23" s="53">
        <f t="shared" si="6"/>
        <v>16.595335837191019</v>
      </c>
      <c r="R23" s="34"/>
      <c r="S23" s="91">
        <v>-0.82217781151570624</v>
      </c>
      <c r="T23" s="91">
        <v>20.548785255638499</v>
      </c>
      <c r="U23" s="39" t="str">
        <f t="shared" si="7"/>
        <v>Normal</v>
      </c>
      <c r="V23" s="91">
        <v>-0.37934648160243223</v>
      </c>
      <c r="W23" s="91">
        <v>35.221529356735168</v>
      </c>
      <c r="X23" s="39" t="str">
        <f t="shared" si="0"/>
        <v>Normal</v>
      </c>
      <c r="Y23" s="155">
        <v>0.98553155989267338</v>
      </c>
      <c r="Z23" s="91">
        <v>83.78184814566221</v>
      </c>
      <c r="AA23" s="84" t="str">
        <f t="shared" si="8"/>
        <v>Normal</v>
      </c>
      <c r="AB23" s="36">
        <v>0.82511499950649014</v>
      </c>
      <c r="AC23" s="36">
        <v>79.534684761772141</v>
      </c>
      <c r="AD23" s="39" t="str">
        <f t="shared" si="1"/>
        <v>Normal</v>
      </c>
      <c r="AE23" s="91">
        <v>0.17561738290961731</v>
      </c>
      <c r="AF23" s="91">
        <v>56.970272749290643</v>
      </c>
      <c r="AG23" s="41" t="str">
        <f t="shared" si="2"/>
        <v>Normal</v>
      </c>
    </row>
    <row r="24" spans="1:39" ht="15.75" x14ac:dyDescent="0.25">
      <c r="A24" s="33">
        <v>21</v>
      </c>
      <c r="B24" s="50" t="s">
        <v>29</v>
      </c>
      <c r="C24" s="33">
        <v>3</v>
      </c>
      <c r="D24" s="33" t="s">
        <v>26</v>
      </c>
      <c r="E24" s="33">
        <v>1</v>
      </c>
      <c r="F24" s="51">
        <v>42607</v>
      </c>
      <c r="G24" s="51">
        <v>44375</v>
      </c>
      <c r="H24" s="38">
        <f t="shared" si="9"/>
        <v>4</v>
      </c>
      <c r="I24" s="38">
        <f t="shared" si="3"/>
        <v>58</v>
      </c>
      <c r="J24" s="33">
        <v>18.899999999999999</v>
      </c>
      <c r="K24" s="33">
        <v>1.1000000000000001</v>
      </c>
      <c r="L24" s="33">
        <f t="shared" si="4"/>
        <v>110.00000000000001</v>
      </c>
      <c r="M24" s="33">
        <v>59.5</v>
      </c>
      <c r="N24" s="52">
        <f t="shared" si="5"/>
        <v>45.909090909090914</v>
      </c>
      <c r="O24" s="33">
        <v>52</v>
      </c>
      <c r="P24" s="33">
        <v>51.5</v>
      </c>
      <c r="Q24" s="53">
        <f t="shared" si="6"/>
        <v>15.619834710743799</v>
      </c>
      <c r="R24" s="34"/>
      <c r="S24" s="91">
        <v>0.24796086605367362</v>
      </c>
      <c r="T24" s="91">
        <v>59.791765713845521</v>
      </c>
      <c r="U24" s="39" t="str">
        <f t="shared" si="7"/>
        <v>Normal</v>
      </c>
      <c r="V24" s="91">
        <v>0.58651193269965618</v>
      </c>
      <c r="W24" s="91">
        <v>72.123422746483996</v>
      </c>
      <c r="X24" s="39" t="str">
        <f t="shared" si="0"/>
        <v>Normal</v>
      </c>
      <c r="Y24" s="155">
        <v>0.30669489813670592</v>
      </c>
      <c r="Z24" s="91">
        <v>62.046219326913985</v>
      </c>
      <c r="AA24" s="84" t="str">
        <f t="shared" si="8"/>
        <v>Normal</v>
      </c>
      <c r="AB24" s="36">
        <v>0.61381343471816119</v>
      </c>
      <c r="AC24" s="36">
        <v>73.033069079157571</v>
      </c>
      <c r="AD24" s="39" t="str">
        <f t="shared" si="1"/>
        <v>Normal</v>
      </c>
      <c r="AE24" s="91">
        <v>0.90058467705629142</v>
      </c>
      <c r="AF24" s="91">
        <v>81.60954076599613</v>
      </c>
      <c r="AG24" s="41" t="str">
        <f t="shared" si="2"/>
        <v>Normal</v>
      </c>
    </row>
    <row r="25" spans="1:39" ht="15.75" x14ac:dyDescent="0.25">
      <c r="A25" s="33">
        <v>22</v>
      </c>
      <c r="B25" s="50" t="s">
        <v>30</v>
      </c>
      <c r="C25" s="33">
        <v>3</v>
      </c>
      <c r="D25" s="33" t="s">
        <v>26</v>
      </c>
      <c r="E25" s="33">
        <v>1</v>
      </c>
      <c r="F25" s="51">
        <v>42416</v>
      </c>
      <c r="G25" s="51">
        <v>44375</v>
      </c>
      <c r="H25" s="38">
        <f t="shared" si="9"/>
        <v>5</v>
      </c>
      <c r="I25" s="38">
        <f t="shared" si="3"/>
        <v>64</v>
      </c>
      <c r="J25" s="33">
        <v>24.5</v>
      </c>
      <c r="K25" s="33">
        <v>1.1299999999999999</v>
      </c>
      <c r="L25" s="33">
        <f t="shared" si="4"/>
        <v>112.99999999999999</v>
      </c>
      <c r="M25" s="33">
        <v>63.4</v>
      </c>
      <c r="N25" s="52">
        <f t="shared" si="5"/>
        <v>43.89380530973451</v>
      </c>
      <c r="O25" s="33">
        <v>51.5</v>
      </c>
      <c r="P25" s="33">
        <v>57</v>
      </c>
      <c r="Q25" s="53">
        <f t="shared" si="6"/>
        <v>19.187093742658003</v>
      </c>
      <c r="R25" s="34"/>
      <c r="S25" s="91">
        <v>0.24262719224332768</v>
      </c>
      <c r="T25" s="91">
        <v>59.585289291294508</v>
      </c>
      <c r="U25" s="39" t="str">
        <f t="shared" si="7"/>
        <v>Normal</v>
      </c>
      <c r="V25" s="91">
        <v>-1.2741163718030983</v>
      </c>
      <c r="W25" s="91">
        <v>10.131108853692917</v>
      </c>
      <c r="X25" s="39" t="str">
        <f t="shared" si="0"/>
        <v>Normal</v>
      </c>
      <c r="Y25" s="155">
        <v>2.4790360395930922</v>
      </c>
      <c r="Z25" s="91">
        <v>99.341310028031955</v>
      </c>
      <c r="AA25" s="84" t="str">
        <f t="shared" si="8"/>
        <v>Obesidad</v>
      </c>
      <c r="AB25" s="36">
        <v>1.144515072780862</v>
      </c>
      <c r="AC25" s="36">
        <v>87.379495470775879</v>
      </c>
      <c r="AD25" s="39" t="str">
        <f t="shared" si="1"/>
        <v>Arriba del promedio</v>
      </c>
      <c r="AE25" s="91">
        <v>0.51012668368984326</v>
      </c>
      <c r="AF25" s="91">
        <v>69.501864393654856</v>
      </c>
      <c r="AG25" s="41" t="str">
        <f t="shared" si="2"/>
        <v>Normal</v>
      </c>
    </row>
    <row r="26" spans="1:39" ht="15.75" x14ac:dyDescent="0.25">
      <c r="A26" s="33">
        <v>23</v>
      </c>
      <c r="B26" s="50" t="s">
        <v>31</v>
      </c>
      <c r="C26" s="33">
        <v>3</v>
      </c>
      <c r="D26" s="33" t="s">
        <v>26</v>
      </c>
      <c r="E26" s="33">
        <v>1</v>
      </c>
      <c r="F26" s="51">
        <v>42629</v>
      </c>
      <c r="G26" s="51">
        <v>44375</v>
      </c>
      <c r="H26" s="38">
        <f t="shared" si="9"/>
        <v>4</v>
      </c>
      <c r="I26" s="38">
        <f t="shared" si="3"/>
        <v>57</v>
      </c>
      <c r="J26" s="33">
        <v>17.5</v>
      </c>
      <c r="K26" s="33">
        <v>1.04</v>
      </c>
      <c r="L26" s="33">
        <f t="shared" si="4"/>
        <v>104</v>
      </c>
      <c r="M26" s="33">
        <v>56.8</v>
      </c>
      <c r="N26" s="52">
        <f t="shared" si="5"/>
        <v>45.384615384615387</v>
      </c>
      <c r="O26" s="33">
        <v>50.5</v>
      </c>
      <c r="P26" s="33">
        <v>51</v>
      </c>
      <c r="Q26" s="53">
        <f t="shared" si="6"/>
        <v>16.17973372781065</v>
      </c>
      <c r="R26" s="34"/>
      <c r="S26" s="91">
        <v>-0.9547536237188875</v>
      </c>
      <c r="T26" s="91">
        <v>16.985115253886789</v>
      </c>
      <c r="U26" s="39" t="str">
        <f t="shared" si="7"/>
        <v>Normal</v>
      </c>
      <c r="V26" s="91">
        <v>0.29227826698688264</v>
      </c>
      <c r="W26" s="91">
        <v>61.496306293799371</v>
      </c>
      <c r="X26" s="39" t="str">
        <f t="shared" si="0"/>
        <v>Normal</v>
      </c>
      <c r="Y26" s="155">
        <v>0.70111131206718214</v>
      </c>
      <c r="Z26" s="91">
        <v>75.838322433136099</v>
      </c>
      <c r="AA26" s="84" t="str">
        <f t="shared" si="8"/>
        <v>Normal</v>
      </c>
      <c r="AB26" s="36">
        <v>0.50489454682844925</v>
      </c>
      <c r="AC26" s="36">
        <v>69.318354778282014</v>
      </c>
      <c r="AD26" s="39" t="str">
        <f t="shared" si="1"/>
        <v>Normal</v>
      </c>
      <c r="AE26" s="91">
        <v>-7.9547291642869056E-2</v>
      </c>
      <c r="AF26" s="91">
        <v>46.829865873354677</v>
      </c>
      <c r="AG26" s="41" t="str">
        <f t="shared" si="2"/>
        <v>Normal</v>
      </c>
    </row>
    <row r="27" spans="1:39" ht="15.75" x14ac:dyDescent="0.25">
      <c r="A27" s="33">
        <v>24</v>
      </c>
      <c r="B27" s="50" t="s">
        <v>32</v>
      </c>
      <c r="C27" s="33">
        <v>3</v>
      </c>
      <c r="D27" s="33" t="s">
        <v>26</v>
      </c>
      <c r="E27" s="33">
        <v>1</v>
      </c>
      <c r="F27" s="51">
        <v>42657</v>
      </c>
      <c r="G27" s="51">
        <v>44375</v>
      </c>
      <c r="H27" s="38">
        <f t="shared" si="9"/>
        <v>4</v>
      </c>
      <c r="I27" s="38">
        <f t="shared" si="3"/>
        <v>56</v>
      </c>
      <c r="J27" s="33">
        <v>16.600000000000001</v>
      </c>
      <c r="K27" s="33">
        <v>1.02</v>
      </c>
      <c r="L27" s="33">
        <f t="shared" si="4"/>
        <v>102</v>
      </c>
      <c r="M27" s="33">
        <v>56</v>
      </c>
      <c r="N27" s="52">
        <f t="shared" si="5"/>
        <v>45.098039215686278</v>
      </c>
      <c r="O27" s="33">
        <v>50.1</v>
      </c>
      <c r="P27" s="33">
        <v>52</v>
      </c>
      <c r="Q27" s="53">
        <f t="shared" si="6"/>
        <v>15.955401768550558</v>
      </c>
      <c r="R27" s="34"/>
      <c r="S27" s="91">
        <v>-1.2854096400427388</v>
      </c>
      <c r="T27" s="91">
        <v>9.9324587143802372</v>
      </c>
      <c r="U27" s="39" t="str">
        <f t="shared" si="7"/>
        <v>Normal</v>
      </c>
      <c r="V27" s="91">
        <v>0.12995844543717919</v>
      </c>
      <c r="W27" s="91">
        <v>55.170034823094369</v>
      </c>
      <c r="X27" s="39" t="str">
        <f t="shared" si="0"/>
        <v>Normal</v>
      </c>
      <c r="Y27" s="155">
        <v>0.53874142383947199</v>
      </c>
      <c r="Z27" s="91">
        <v>70.496735667612299</v>
      </c>
      <c r="AA27" s="84" t="str">
        <f t="shared" si="8"/>
        <v>Normal</v>
      </c>
      <c r="AB27" s="36">
        <v>0.7210636209087351</v>
      </c>
      <c r="AC27" s="36">
        <v>76.456481385166498</v>
      </c>
      <c r="AD27" s="39" t="str">
        <f t="shared" si="1"/>
        <v>Normal</v>
      </c>
      <c r="AE27" s="91">
        <v>-0.32146785076955442</v>
      </c>
      <c r="AF27" s="91">
        <v>37.39279358710548</v>
      </c>
      <c r="AG27" s="41" t="str">
        <f t="shared" si="2"/>
        <v>Normal</v>
      </c>
    </row>
    <row r="28" spans="1:39" ht="15.75" x14ac:dyDescent="0.25">
      <c r="A28" s="33">
        <v>25</v>
      </c>
      <c r="B28" s="66" t="s">
        <v>174</v>
      </c>
      <c r="C28" s="55">
        <v>1</v>
      </c>
      <c r="D28" s="55" t="s">
        <v>7</v>
      </c>
      <c r="E28" s="72">
        <v>2</v>
      </c>
      <c r="F28" s="56">
        <v>43264</v>
      </c>
      <c r="G28" s="56">
        <v>44460</v>
      </c>
      <c r="H28" s="87">
        <f t="shared" ref="H28:H52" si="10">DATEDIF(F28,G28,"y")</f>
        <v>3</v>
      </c>
      <c r="I28" s="87">
        <f t="shared" ref="I28:I51" si="11">DATEDIF(F28,G28,"m")</f>
        <v>39</v>
      </c>
      <c r="J28" s="72">
        <v>12.9</v>
      </c>
      <c r="K28" s="72">
        <v>0.95</v>
      </c>
      <c r="L28" s="72">
        <f t="shared" ref="L28:L51" si="12">K28*100</f>
        <v>95</v>
      </c>
      <c r="M28" s="72">
        <f>93.5-40</f>
        <v>53.5</v>
      </c>
      <c r="N28" s="88">
        <f t="shared" ref="N28:N69" si="13">((L28-M28)/L28)*100</f>
        <v>43.684210526315795</v>
      </c>
      <c r="O28" s="72">
        <v>47</v>
      </c>
      <c r="P28" s="72">
        <v>0</v>
      </c>
      <c r="Q28" s="89">
        <f t="shared" ref="Q28:Q33" si="14">J28/(K28*K28)</f>
        <v>14.293628808864266</v>
      </c>
      <c r="R28" s="34"/>
      <c r="S28" s="91">
        <v>-0.53022680661738031</v>
      </c>
      <c r="T28" s="91">
        <v>29.797734358787974</v>
      </c>
      <c r="U28" s="39" t="str">
        <f t="shared" ref="U28:U51" si="15">IF(S28&lt;-1.645,"Desnutricion",IF(AND(S28&gt;=-1.645,S28&lt;=1.645),"Normal",IF(S28&gt;1.645,"Alto")))</f>
        <v>Normal</v>
      </c>
      <c r="V28" s="91">
        <v>5.4277545320889097E-2</v>
      </c>
      <c r="W28" s="91">
        <v>52.1642980292891</v>
      </c>
      <c r="X28" s="39" t="str">
        <f t="shared" ref="X28:X50" si="16">IF(V28&lt;-1.645,"Piernas cortas",IF(AND(V28&gt;=-1.645,V28&lt;=1.645),"Normal",IF(V28&gt;1.645,"Piernas largas")))</f>
        <v>Normal</v>
      </c>
      <c r="Y28" s="155">
        <v>-0.84028947761814143</v>
      </c>
      <c r="Z28" s="91">
        <v>20.037304986882244</v>
      </c>
      <c r="AA28" s="84" t="str">
        <f t="shared" ref="AA28:AA50" si="17">IF(Z28&lt;5,"Desnutricion",IF(AND(Z28&gt;=5,Z28&lt;15),"Bajo Peso",IF(AND(Z28&gt;=15,Z28&lt;=85),"Normal",IF(Z28&gt;85,"Obesidad"))))</f>
        <v>Normal</v>
      </c>
      <c r="AB28" s="59"/>
      <c r="AC28" s="59"/>
      <c r="AD28" s="39" t="str">
        <f t="shared" ref="AD28:AD50" si="18">IF(AB28&lt;-1.645,"Bajo",IF(AND(AB28&gt;=-1.645,AB28&lt;-1.036),"Debajo del promedio",IF(AND(AB28&gt;=-1.036,AB28&lt;=1.036),"Normal",IF(AND(AB28&gt;1.036,AB28&lt;=1.645),"Arriba del promedio",IF(AB28&gt;1.645,"Alto","")))))</f>
        <v>Normal</v>
      </c>
      <c r="AE28" s="91">
        <v>-1.2430936000493462</v>
      </c>
      <c r="AF28" s="91">
        <v>10.691667194948355</v>
      </c>
      <c r="AG28" s="41" t="str">
        <f t="shared" ref="AG28:AG69" si="19">IF(AE28&lt;-1.645,"Pequeño",IF(AND(AE28&gt;=-1.645,AE28&lt;-1.036),"Debajo del promedio",IF(AND(AE28&gt;=-1.036,AE28&lt;=1.036),"Normal",IF(AND(AE28&gt;1.036,AE28&lt;=1.645),"Arriba del promedio",IF(AE28&gt;1.645,"Grande","")))))</f>
        <v>Debajo del promedio</v>
      </c>
    </row>
    <row r="29" spans="1:39" ht="15.75" x14ac:dyDescent="0.25">
      <c r="A29" s="43">
        <v>26</v>
      </c>
      <c r="B29" s="66" t="s">
        <v>175</v>
      </c>
      <c r="C29" s="55">
        <v>1</v>
      </c>
      <c r="D29" s="55" t="s">
        <v>7</v>
      </c>
      <c r="E29" s="72">
        <v>1</v>
      </c>
      <c r="F29" s="56">
        <v>43147</v>
      </c>
      <c r="G29" s="56">
        <v>44460</v>
      </c>
      <c r="H29" s="87">
        <f t="shared" si="10"/>
        <v>3</v>
      </c>
      <c r="I29" s="87">
        <f t="shared" si="11"/>
        <v>43</v>
      </c>
      <c r="J29" s="72">
        <v>13.6</v>
      </c>
      <c r="K29" s="72">
        <v>0.94</v>
      </c>
      <c r="L29" s="72">
        <f t="shared" si="12"/>
        <v>94</v>
      </c>
      <c r="M29" s="72">
        <f>92-40</f>
        <v>52</v>
      </c>
      <c r="N29" s="88">
        <f t="shared" si="13"/>
        <v>44.680851063829785</v>
      </c>
      <c r="O29" s="72">
        <v>50</v>
      </c>
      <c r="P29" s="72">
        <v>0</v>
      </c>
      <c r="Q29" s="89">
        <f t="shared" si="14"/>
        <v>15.391579900407425</v>
      </c>
      <c r="S29" s="91">
        <v>-1.6105638764081873</v>
      </c>
      <c r="T29" s="91">
        <v>5.3637406284311444</v>
      </c>
      <c r="U29" s="39" t="str">
        <f t="shared" si="15"/>
        <v>Normal</v>
      </c>
      <c r="V29" s="91">
        <v>0.68659183686003578</v>
      </c>
      <c r="W29" s="91">
        <v>75.383001298697863</v>
      </c>
      <c r="X29" s="39" t="str">
        <f t="shared" si="16"/>
        <v>Normal</v>
      </c>
      <c r="Y29" s="155">
        <v>-2.362013517465868E-2</v>
      </c>
      <c r="Z29" s="91">
        <v>49.057780554216244</v>
      </c>
      <c r="AA29" s="84" t="str">
        <f t="shared" si="17"/>
        <v>Normal</v>
      </c>
      <c r="AB29" s="60"/>
      <c r="AC29" s="60"/>
      <c r="AD29" s="39" t="str">
        <f t="shared" si="18"/>
        <v>Normal</v>
      </c>
      <c r="AE29" s="91">
        <v>4.4670974567645919E-2</v>
      </c>
      <c r="AF29" s="91">
        <v>51.78152152331208</v>
      </c>
      <c r="AG29" s="41" t="str">
        <f t="shared" si="19"/>
        <v>Normal</v>
      </c>
    </row>
    <row r="30" spans="1:39" ht="15.75" x14ac:dyDescent="0.25">
      <c r="A30" s="72">
        <v>27</v>
      </c>
      <c r="B30" s="66" t="s">
        <v>176</v>
      </c>
      <c r="C30" s="55">
        <v>1</v>
      </c>
      <c r="D30" s="55" t="s">
        <v>7</v>
      </c>
      <c r="E30" s="72">
        <v>2</v>
      </c>
      <c r="F30" s="56">
        <v>43219</v>
      </c>
      <c r="G30" s="56">
        <v>44460</v>
      </c>
      <c r="H30" s="87">
        <f t="shared" si="10"/>
        <v>3</v>
      </c>
      <c r="I30" s="87">
        <f t="shared" si="11"/>
        <v>40</v>
      </c>
      <c r="J30" s="72">
        <v>13.1</v>
      </c>
      <c r="K30" s="72">
        <v>0.89</v>
      </c>
      <c r="L30" s="72">
        <f t="shared" si="12"/>
        <v>89</v>
      </c>
      <c r="M30" s="72">
        <f>90.5-40</f>
        <v>50.5</v>
      </c>
      <c r="N30" s="88">
        <f t="shared" si="13"/>
        <v>43.258426966292134</v>
      </c>
      <c r="O30" s="72">
        <v>49.5</v>
      </c>
      <c r="P30" s="72">
        <v>0</v>
      </c>
      <c r="Q30" s="89">
        <f t="shared" si="14"/>
        <v>16.538315869208432</v>
      </c>
      <c r="S30" s="91">
        <v>-2.1975827730321735</v>
      </c>
      <c r="T30" s="91">
        <v>1.3989425982179646</v>
      </c>
      <c r="U30" s="39" t="str">
        <f t="shared" si="15"/>
        <v>Desnutricion</v>
      </c>
      <c r="V30" s="91">
        <v>-0.1683637334294931</v>
      </c>
      <c r="W30" s="91">
        <v>43.314856866194951</v>
      </c>
      <c r="X30" s="39" t="str">
        <f t="shared" si="16"/>
        <v>Normal</v>
      </c>
      <c r="Y30" s="155">
        <v>0.84895724786097804</v>
      </c>
      <c r="Z30" s="91">
        <v>80.204745909598827</v>
      </c>
      <c r="AA30" s="84" t="str">
        <f t="shared" si="17"/>
        <v>Normal</v>
      </c>
      <c r="AB30" s="60"/>
      <c r="AC30" s="60"/>
      <c r="AD30" s="39" t="str">
        <f t="shared" si="18"/>
        <v>Normal</v>
      </c>
      <c r="AE30" s="91">
        <v>0.48011660327922523</v>
      </c>
      <c r="AF30" s="91">
        <v>68.442775858225559</v>
      </c>
      <c r="AG30" s="41" t="str">
        <f t="shared" si="19"/>
        <v>Normal</v>
      </c>
    </row>
    <row r="31" spans="1:39" ht="15.75" x14ac:dyDescent="0.25">
      <c r="A31" s="72">
        <v>28</v>
      </c>
      <c r="B31" s="66" t="s">
        <v>177</v>
      </c>
      <c r="C31" s="55">
        <v>1</v>
      </c>
      <c r="D31" s="55" t="s">
        <v>7</v>
      </c>
      <c r="E31" s="72">
        <v>1</v>
      </c>
      <c r="F31" s="56">
        <v>43366</v>
      </c>
      <c r="G31" s="56">
        <v>44460</v>
      </c>
      <c r="H31" s="72">
        <f t="shared" si="10"/>
        <v>2</v>
      </c>
      <c r="I31" s="72">
        <f t="shared" si="11"/>
        <v>35</v>
      </c>
      <c r="J31" s="72">
        <v>12.7</v>
      </c>
      <c r="K31" s="72">
        <v>0.92</v>
      </c>
      <c r="L31" s="72">
        <f t="shared" si="12"/>
        <v>92</v>
      </c>
      <c r="M31" s="72">
        <f>92.4-40</f>
        <v>52.400000000000006</v>
      </c>
      <c r="N31" s="88">
        <f t="shared" si="13"/>
        <v>43.043478260869563</v>
      </c>
      <c r="O31" s="72">
        <v>49.5</v>
      </c>
      <c r="P31" s="72">
        <v>0</v>
      </c>
      <c r="Q31" s="89">
        <f t="shared" si="14"/>
        <v>15.004725897920604</v>
      </c>
      <c r="S31" s="91">
        <v>-0.93529502067988712</v>
      </c>
      <c r="T31" s="91">
        <v>17.481814035338232</v>
      </c>
      <c r="U31" s="39" t="str">
        <f t="shared" si="15"/>
        <v>Normal</v>
      </c>
      <c r="V31" s="91">
        <v>-0.14233671476709586</v>
      </c>
      <c r="W31" s="91">
        <v>44.340702377622478</v>
      </c>
      <c r="X31" s="39" t="str">
        <f t="shared" si="16"/>
        <v>Normal</v>
      </c>
      <c r="Y31" s="155">
        <v>-0.51880845129179132</v>
      </c>
      <c r="Z31" s="91">
        <v>30.194716192288851</v>
      </c>
      <c r="AA31" s="84" t="str">
        <f t="shared" si="17"/>
        <v>Normal</v>
      </c>
      <c r="AB31" s="60"/>
      <c r="AC31" s="60"/>
      <c r="AD31" s="39" t="str">
        <f t="shared" si="18"/>
        <v>Normal</v>
      </c>
      <c r="AE31" s="91">
        <v>8.2921366821961828E-2</v>
      </c>
      <c r="AF31" s="91">
        <v>53.304296785949731</v>
      </c>
      <c r="AG31" s="41" t="str">
        <f t="shared" si="19"/>
        <v>Normal</v>
      </c>
      <c r="AM31" s="98"/>
    </row>
    <row r="32" spans="1:39" ht="15.75" x14ac:dyDescent="0.25">
      <c r="A32" s="72">
        <v>29</v>
      </c>
      <c r="B32" s="66" t="s">
        <v>178</v>
      </c>
      <c r="C32" s="55">
        <v>1</v>
      </c>
      <c r="D32" s="55" t="s">
        <v>7</v>
      </c>
      <c r="E32" s="72">
        <v>2</v>
      </c>
      <c r="F32" s="56">
        <v>43377</v>
      </c>
      <c r="G32" s="56">
        <v>44460</v>
      </c>
      <c r="H32" s="72">
        <f t="shared" si="10"/>
        <v>2</v>
      </c>
      <c r="I32" s="72">
        <f t="shared" si="11"/>
        <v>35</v>
      </c>
      <c r="J32" s="72">
        <v>12.7</v>
      </c>
      <c r="K32" s="72">
        <v>0.86</v>
      </c>
      <c r="L32" s="72">
        <f t="shared" si="12"/>
        <v>86</v>
      </c>
      <c r="M32" s="72">
        <f>89-40</f>
        <v>49</v>
      </c>
      <c r="N32" s="88">
        <f t="shared" si="13"/>
        <v>43.02325581395349</v>
      </c>
      <c r="O32" s="72">
        <v>48</v>
      </c>
      <c r="P32" s="72">
        <v>0</v>
      </c>
      <c r="Q32" s="89">
        <f t="shared" si="14"/>
        <v>17.171444023796649</v>
      </c>
      <c r="S32" s="91">
        <v>-2.2194069844490976</v>
      </c>
      <c r="T32" s="91">
        <v>1.3229524461074191</v>
      </c>
      <c r="U32" s="39" t="str">
        <f t="shared" si="15"/>
        <v>Desnutricion</v>
      </c>
      <c r="V32" s="91">
        <v>-0.29233519474879149</v>
      </c>
      <c r="W32" s="91">
        <v>38.501517598352386</v>
      </c>
      <c r="X32" s="39" t="str">
        <f t="shared" si="16"/>
        <v>Normal</v>
      </c>
      <c r="Y32" s="155">
        <v>1.2301158185854588</v>
      </c>
      <c r="Z32" s="91">
        <v>89.067313137100044</v>
      </c>
      <c r="AA32" s="84" t="str">
        <f t="shared" si="17"/>
        <v>Obesidad</v>
      </c>
      <c r="AB32" s="60"/>
      <c r="AC32" s="60"/>
      <c r="AD32" s="39" t="str">
        <f t="shared" si="18"/>
        <v>Normal</v>
      </c>
      <c r="AE32" s="91">
        <v>-0.30490915192976603</v>
      </c>
      <c r="AF32" s="91">
        <v>38.021767262012816</v>
      </c>
      <c r="AG32" s="41" t="str">
        <f t="shared" si="19"/>
        <v>Normal</v>
      </c>
      <c r="AM32" s="98"/>
    </row>
    <row r="33" spans="1:39" ht="15.75" x14ac:dyDescent="0.25">
      <c r="A33" s="72">
        <v>30</v>
      </c>
      <c r="B33" s="66" t="s">
        <v>179</v>
      </c>
      <c r="C33" s="55">
        <v>1</v>
      </c>
      <c r="D33" s="55" t="s">
        <v>7</v>
      </c>
      <c r="E33" s="72">
        <v>1</v>
      </c>
      <c r="F33" s="56">
        <v>43134</v>
      </c>
      <c r="G33" s="56">
        <v>44460</v>
      </c>
      <c r="H33" s="72">
        <f t="shared" si="10"/>
        <v>3</v>
      </c>
      <c r="I33" s="72">
        <f t="shared" si="11"/>
        <v>43</v>
      </c>
      <c r="J33" s="72">
        <v>15.2</v>
      </c>
      <c r="K33" s="72">
        <v>0.98</v>
      </c>
      <c r="L33" s="72">
        <f t="shared" si="12"/>
        <v>98</v>
      </c>
      <c r="M33" s="72">
        <f>93.5-40</f>
        <v>53.5</v>
      </c>
      <c r="N33" s="88">
        <f t="shared" si="13"/>
        <v>45.408163265306122</v>
      </c>
      <c r="O33" s="72">
        <v>51</v>
      </c>
      <c r="P33" s="72">
        <v>0</v>
      </c>
      <c r="Q33" s="89">
        <f t="shared" si="14"/>
        <v>15.826738858808831</v>
      </c>
      <c r="S33" s="91">
        <v>-0.61153224027067421</v>
      </c>
      <c r="T33" s="91">
        <v>27.042364060820677</v>
      </c>
      <c r="U33" s="39" t="str">
        <f t="shared" si="15"/>
        <v>Normal</v>
      </c>
      <c r="V33" s="91">
        <v>1.0444181389579772</v>
      </c>
      <c r="W33" s="91">
        <v>85.185401249360496</v>
      </c>
      <c r="X33" s="39" t="str">
        <f t="shared" si="16"/>
        <v>Normal</v>
      </c>
      <c r="Y33" s="155">
        <v>0.31990051045852091</v>
      </c>
      <c r="Z33" s="91">
        <v>62.547812454984907</v>
      </c>
      <c r="AA33" s="84" t="str">
        <f t="shared" si="17"/>
        <v>Normal</v>
      </c>
      <c r="AB33" s="60"/>
      <c r="AC33" s="60"/>
      <c r="AD33" s="39" t="str">
        <f t="shared" si="18"/>
        <v>Normal</v>
      </c>
      <c r="AE33" s="91">
        <v>0.73617212886563388</v>
      </c>
      <c r="AF33" s="91">
        <v>76.918702422823415</v>
      </c>
      <c r="AG33" s="41" t="str">
        <f t="shared" si="19"/>
        <v>Normal</v>
      </c>
      <c r="AM33" s="98"/>
    </row>
    <row r="34" spans="1:39" ht="15.75" x14ac:dyDescent="0.25">
      <c r="A34" s="72">
        <v>31</v>
      </c>
      <c r="B34" s="86" t="s">
        <v>180</v>
      </c>
      <c r="C34" s="55">
        <v>1</v>
      </c>
      <c r="D34" s="55" t="s">
        <v>7</v>
      </c>
      <c r="E34" s="72">
        <v>1</v>
      </c>
      <c r="F34" s="56">
        <v>43157</v>
      </c>
      <c r="G34" s="56">
        <v>44460</v>
      </c>
      <c r="H34" s="72">
        <f t="shared" si="10"/>
        <v>3</v>
      </c>
      <c r="I34" s="72">
        <f t="shared" si="11"/>
        <v>42</v>
      </c>
      <c r="J34" s="72">
        <v>12.3</v>
      </c>
      <c r="K34" s="72">
        <v>0.92</v>
      </c>
      <c r="L34" s="72">
        <f t="shared" si="12"/>
        <v>92</v>
      </c>
      <c r="M34" s="72">
        <f>89.5-40</f>
        <v>49.5</v>
      </c>
      <c r="N34" s="88">
        <f t="shared" si="13"/>
        <v>46.195652173913047</v>
      </c>
      <c r="O34" s="72">
        <v>48.5</v>
      </c>
      <c r="P34" s="72">
        <v>0</v>
      </c>
      <c r="Q34" s="89">
        <f t="shared" ref="Q34:Q69" si="20">J34/(K34*K34)</f>
        <v>14.532136105860113</v>
      </c>
      <c r="S34" s="91">
        <v>-1.9801502940252083</v>
      </c>
      <c r="T34" s="91">
        <v>2.384332160726061</v>
      </c>
      <c r="U34" s="39" t="str">
        <f t="shared" si="15"/>
        <v>Desnutricion</v>
      </c>
      <c r="V34" s="91">
        <v>1.4249937045086871</v>
      </c>
      <c r="W34" s="91">
        <v>92.2920489540885</v>
      </c>
      <c r="X34" s="39" t="str">
        <f t="shared" si="16"/>
        <v>Normal</v>
      </c>
      <c r="Y34" s="155">
        <v>-0.76007991910139872</v>
      </c>
      <c r="Z34" s="91">
        <v>22.360340754889602</v>
      </c>
      <c r="AA34" s="84" t="str">
        <f t="shared" si="17"/>
        <v>Normal</v>
      </c>
      <c r="AB34" s="60"/>
      <c r="AC34" s="60"/>
      <c r="AD34" s="39" t="str">
        <f t="shared" si="18"/>
        <v>Normal</v>
      </c>
      <c r="AE34" s="91">
        <v>-0.95261574578461938</v>
      </c>
      <c r="AF34" s="91">
        <v>17.039239816981635</v>
      </c>
      <c r="AG34" s="41" t="str">
        <f t="shared" si="19"/>
        <v>Normal</v>
      </c>
      <c r="AM34" s="110"/>
    </row>
    <row r="35" spans="1:39" ht="15.75" x14ac:dyDescent="0.25">
      <c r="A35" s="72">
        <v>32</v>
      </c>
      <c r="B35" s="86" t="s">
        <v>181</v>
      </c>
      <c r="C35" s="55">
        <v>1</v>
      </c>
      <c r="D35" s="55" t="s">
        <v>7</v>
      </c>
      <c r="E35" s="72">
        <v>2</v>
      </c>
      <c r="F35" s="56">
        <v>43370</v>
      </c>
      <c r="G35" s="56">
        <v>44460</v>
      </c>
      <c r="H35" s="72">
        <f t="shared" si="10"/>
        <v>2</v>
      </c>
      <c r="I35" s="72">
        <f t="shared" si="11"/>
        <v>35</v>
      </c>
      <c r="J35" s="72">
        <v>11.3</v>
      </c>
      <c r="K35" s="72">
        <v>0.9</v>
      </c>
      <c r="L35" s="72">
        <f t="shared" si="12"/>
        <v>90</v>
      </c>
      <c r="M35" s="72">
        <f>91.4-40</f>
        <v>51.400000000000006</v>
      </c>
      <c r="N35" s="88">
        <f t="shared" si="13"/>
        <v>42.888888888888879</v>
      </c>
      <c r="O35" s="72">
        <v>49</v>
      </c>
      <c r="P35" s="72">
        <v>0</v>
      </c>
      <c r="Q35" s="89">
        <f t="shared" si="20"/>
        <v>13.950617283950617</v>
      </c>
      <c r="S35" s="91">
        <v>-1.1566380263371678</v>
      </c>
      <c r="T35" s="91">
        <v>12.371013968615637</v>
      </c>
      <c r="U35" s="39" t="str">
        <f t="shared" si="15"/>
        <v>Normal</v>
      </c>
      <c r="V35" s="91">
        <v>-0.36349111256551825</v>
      </c>
      <c r="W35" s="91">
        <v>35.811902536585549</v>
      </c>
      <c r="X35" s="39" t="str">
        <f t="shared" si="16"/>
        <v>Normal</v>
      </c>
      <c r="Y35" s="155">
        <v>-1.2078248140826515</v>
      </c>
      <c r="Z35" s="91">
        <v>11.355732730604897</v>
      </c>
      <c r="AA35" s="84" t="str">
        <f t="shared" si="17"/>
        <v>Bajo Peso</v>
      </c>
      <c r="AB35" s="60"/>
      <c r="AC35" s="60"/>
      <c r="AD35" s="39" t="str">
        <f t="shared" si="18"/>
        <v>Normal</v>
      </c>
      <c r="AE35" s="91">
        <v>0.4143858514431138</v>
      </c>
      <c r="AF35" s="91">
        <v>66.070422549106624</v>
      </c>
      <c r="AG35" s="41" t="str">
        <f t="shared" si="19"/>
        <v>Normal</v>
      </c>
      <c r="AM35" s="98"/>
    </row>
    <row r="36" spans="1:39" ht="15.75" x14ac:dyDescent="0.25">
      <c r="A36" s="72">
        <v>33</v>
      </c>
      <c r="B36" s="86" t="s">
        <v>182</v>
      </c>
      <c r="C36" s="55">
        <v>2</v>
      </c>
      <c r="D36" s="55" t="s">
        <v>7</v>
      </c>
      <c r="E36" s="72">
        <v>2</v>
      </c>
      <c r="F36" s="56">
        <v>42832</v>
      </c>
      <c r="G36" s="56">
        <v>44460</v>
      </c>
      <c r="H36" s="72">
        <f t="shared" si="10"/>
        <v>4</v>
      </c>
      <c r="I36" s="72">
        <f t="shared" si="11"/>
        <v>53</v>
      </c>
      <c r="J36" s="72">
        <v>11.6</v>
      </c>
      <c r="K36" s="72">
        <v>0.88</v>
      </c>
      <c r="L36" s="72">
        <f t="shared" si="12"/>
        <v>88</v>
      </c>
      <c r="M36" s="72">
        <f>89.6-40</f>
        <v>49.599999999999994</v>
      </c>
      <c r="N36" s="88">
        <f t="shared" si="13"/>
        <v>43.636363636363647</v>
      </c>
      <c r="O36" s="72">
        <v>47</v>
      </c>
      <c r="P36" s="72">
        <v>0</v>
      </c>
      <c r="Q36" s="89">
        <f t="shared" si="20"/>
        <v>14.979338842975206</v>
      </c>
      <c r="S36" s="91">
        <v>-3.9160235555188403</v>
      </c>
      <c r="T36" s="91">
        <v>4.5010728181255552E-3</v>
      </c>
      <c r="U36" s="39" t="str">
        <f t="shared" si="15"/>
        <v>Desnutricion</v>
      </c>
      <c r="V36" s="91">
        <v>-0.73849335090389723</v>
      </c>
      <c r="W36" s="91">
        <v>23.010735309228</v>
      </c>
      <c r="X36" s="39" t="str">
        <f t="shared" si="16"/>
        <v>Normal</v>
      </c>
      <c r="Y36" s="155">
        <v>-0.19040548961456702</v>
      </c>
      <c r="Z36" s="91">
        <v>42.449569813719926</v>
      </c>
      <c r="AA36" s="84" t="str">
        <f t="shared" si="17"/>
        <v>Normal</v>
      </c>
      <c r="AB36" s="60"/>
      <c r="AC36" s="60"/>
      <c r="AD36" s="39" t="str">
        <f t="shared" si="18"/>
        <v>Normal</v>
      </c>
      <c r="AE36" s="91">
        <v>-1.787645180835399</v>
      </c>
      <c r="AF36" s="91">
        <v>3.6916635626452878</v>
      </c>
      <c r="AG36" s="41" t="str">
        <f t="shared" si="19"/>
        <v>Pequeño</v>
      </c>
    </row>
    <row r="37" spans="1:39" ht="15.75" x14ac:dyDescent="0.25">
      <c r="A37" s="72">
        <v>34</v>
      </c>
      <c r="B37" s="86" t="s">
        <v>183</v>
      </c>
      <c r="C37" s="55">
        <v>2</v>
      </c>
      <c r="D37" s="55" t="s">
        <v>7</v>
      </c>
      <c r="E37" s="72">
        <v>1</v>
      </c>
      <c r="F37" s="56">
        <v>42793</v>
      </c>
      <c r="G37" s="56">
        <v>44460</v>
      </c>
      <c r="H37" s="72">
        <f t="shared" si="10"/>
        <v>4</v>
      </c>
      <c r="I37" s="72">
        <f t="shared" si="11"/>
        <v>54</v>
      </c>
      <c r="J37" s="72">
        <v>17.399999999999999</v>
      </c>
      <c r="K37" s="72">
        <v>1.07</v>
      </c>
      <c r="L37" s="72">
        <f t="shared" si="12"/>
        <v>107</v>
      </c>
      <c r="M37" s="72">
        <f>96.3-40</f>
        <v>56.3</v>
      </c>
      <c r="N37" s="88">
        <f t="shared" si="13"/>
        <v>47.383177570093459</v>
      </c>
      <c r="O37" s="72">
        <v>52</v>
      </c>
      <c r="P37" s="72">
        <v>0</v>
      </c>
      <c r="Q37" s="89">
        <f t="shared" si="20"/>
        <v>15.197833871953881</v>
      </c>
      <c r="S37" s="91">
        <v>7.5471033953068714E-2</v>
      </c>
      <c r="T37" s="91">
        <v>53.008002832599175</v>
      </c>
      <c r="U37" s="39" t="str">
        <f t="shared" si="15"/>
        <v>Normal</v>
      </c>
      <c r="V37" s="91">
        <v>1.3945101400829938</v>
      </c>
      <c r="W37" s="91">
        <v>91.841819519935626</v>
      </c>
      <c r="X37" s="39" t="str">
        <f t="shared" si="16"/>
        <v>Normal</v>
      </c>
      <c r="Y37" s="155">
        <v>-4.1640075761818836E-2</v>
      </c>
      <c r="Z37" s="91">
        <v>48.339281254718216</v>
      </c>
      <c r="AA37" s="84" t="str">
        <f t="shared" si="17"/>
        <v>Normal</v>
      </c>
      <c r="AB37" s="60"/>
      <c r="AC37" s="60"/>
      <c r="AD37" s="39" t="str">
        <f t="shared" si="18"/>
        <v>Normal</v>
      </c>
      <c r="AE37" s="91">
        <v>1.0192516073196853</v>
      </c>
      <c r="AF37" s="91">
        <v>84.595823407347822</v>
      </c>
      <c r="AG37" s="41" t="str">
        <f t="shared" si="19"/>
        <v>Normal</v>
      </c>
    </row>
    <row r="38" spans="1:39" ht="15.75" x14ac:dyDescent="0.25">
      <c r="A38" s="72">
        <v>35</v>
      </c>
      <c r="B38" s="86" t="s">
        <v>184</v>
      </c>
      <c r="C38" s="55">
        <v>2</v>
      </c>
      <c r="D38" s="55" t="s">
        <v>7</v>
      </c>
      <c r="E38" s="72">
        <v>1</v>
      </c>
      <c r="F38" s="56">
        <v>42845</v>
      </c>
      <c r="G38" s="56">
        <v>44460</v>
      </c>
      <c r="H38" s="72">
        <f t="shared" si="10"/>
        <v>4</v>
      </c>
      <c r="I38" s="72">
        <f t="shared" si="11"/>
        <v>53</v>
      </c>
      <c r="J38" s="72">
        <v>17.3</v>
      </c>
      <c r="K38" s="72">
        <v>1.04</v>
      </c>
      <c r="L38" s="72">
        <f t="shared" si="12"/>
        <v>104</v>
      </c>
      <c r="M38" s="72">
        <f>95.7-40</f>
        <v>55.7</v>
      </c>
      <c r="N38" s="88">
        <f t="shared" si="13"/>
        <v>46.442307692307686</v>
      </c>
      <c r="O38" s="72">
        <v>52.5</v>
      </c>
      <c r="P38" s="72">
        <v>0</v>
      </c>
      <c r="Q38" s="89">
        <f t="shared" si="20"/>
        <v>15.9948224852071</v>
      </c>
      <c r="S38" s="91">
        <v>-0.48279504338498413</v>
      </c>
      <c r="T38" s="91">
        <v>31.462063527249619</v>
      </c>
      <c r="U38" s="39" t="str">
        <f t="shared" si="15"/>
        <v>Normal</v>
      </c>
      <c r="V38" s="91">
        <v>0.88196651052663089</v>
      </c>
      <c r="W38" s="91">
        <v>81.110254110885904</v>
      </c>
      <c r="X38" s="39" t="str">
        <f t="shared" si="16"/>
        <v>Normal</v>
      </c>
      <c r="Y38" s="155">
        <v>0.54998208962996487</v>
      </c>
      <c r="Z38" s="91">
        <v>70.883417093005647</v>
      </c>
      <c r="AA38" s="84" t="str">
        <f t="shared" si="17"/>
        <v>Normal</v>
      </c>
      <c r="AB38" s="60"/>
      <c r="AC38" s="60"/>
      <c r="AD38" s="39" t="str">
        <f t="shared" si="18"/>
        <v>Normal</v>
      </c>
      <c r="AE38" s="91">
        <v>1.3891029865838835</v>
      </c>
      <c r="AF38" s="91">
        <v>91.759928213352794</v>
      </c>
      <c r="AG38" s="41" t="str">
        <f t="shared" si="19"/>
        <v>Arriba del promedio</v>
      </c>
    </row>
    <row r="39" spans="1:39" ht="15.75" x14ac:dyDescent="0.25">
      <c r="A39" s="72">
        <v>36</v>
      </c>
      <c r="B39" s="86" t="s">
        <v>185</v>
      </c>
      <c r="C39" s="55">
        <v>2</v>
      </c>
      <c r="D39" s="55" t="s">
        <v>7</v>
      </c>
      <c r="E39" s="72">
        <v>2</v>
      </c>
      <c r="F39" s="56">
        <v>42989</v>
      </c>
      <c r="G39" s="56">
        <v>44460</v>
      </c>
      <c r="H39" s="72">
        <f t="shared" si="10"/>
        <v>4</v>
      </c>
      <c r="I39" s="72">
        <f t="shared" si="11"/>
        <v>48</v>
      </c>
      <c r="J39" s="72">
        <v>16.2</v>
      </c>
      <c r="K39" s="72">
        <v>1.05</v>
      </c>
      <c r="L39" s="90">
        <f t="shared" si="12"/>
        <v>105</v>
      </c>
      <c r="M39" s="72">
        <f>93-40</f>
        <v>53</v>
      </c>
      <c r="N39" s="88">
        <f t="shared" si="13"/>
        <v>49.523809523809526</v>
      </c>
      <c r="O39" s="72">
        <v>50</v>
      </c>
      <c r="P39" s="72">
        <v>0</v>
      </c>
      <c r="Q39" s="89">
        <f t="shared" si="20"/>
        <v>14.693877551020407</v>
      </c>
      <c r="S39" s="91">
        <v>0.52670687842150321</v>
      </c>
      <c r="T39" s="91">
        <v>70.080142087281587</v>
      </c>
      <c r="U39" s="39" t="str">
        <f t="shared" si="15"/>
        <v>Normal</v>
      </c>
      <c r="V39" s="91">
        <v>2.4981871139628593</v>
      </c>
      <c r="W39" s="91">
        <v>99.375848576188673</v>
      </c>
      <c r="X39" s="39" t="str">
        <f t="shared" si="16"/>
        <v>Piernas largas</v>
      </c>
      <c r="Y39" s="155">
        <v>-0.4169567226051954</v>
      </c>
      <c r="Z39" s="91">
        <v>33.835503147600008</v>
      </c>
      <c r="AA39" s="84" t="str">
        <f t="shared" si="17"/>
        <v>Normal</v>
      </c>
      <c r="AB39" s="60"/>
      <c r="AC39" s="60"/>
      <c r="AD39" s="39" t="str">
        <f t="shared" si="18"/>
        <v>Normal</v>
      </c>
      <c r="AE39" s="91">
        <v>0.46445461354419193</v>
      </c>
      <c r="AF39" s="91">
        <v>67.883896515612335</v>
      </c>
      <c r="AG39" s="41" t="str">
        <f t="shared" si="19"/>
        <v>Normal</v>
      </c>
    </row>
    <row r="40" spans="1:39" ht="15.75" x14ac:dyDescent="0.25">
      <c r="A40" s="72">
        <v>37</v>
      </c>
      <c r="B40" s="86" t="s">
        <v>186</v>
      </c>
      <c r="C40" s="55">
        <v>2</v>
      </c>
      <c r="D40" s="55" t="s">
        <v>7</v>
      </c>
      <c r="E40" s="72">
        <v>2</v>
      </c>
      <c r="F40" s="56">
        <v>42748</v>
      </c>
      <c r="G40" s="56">
        <v>44460</v>
      </c>
      <c r="H40" s="72">
        <f t="shared" si="10"/>
        <v>4</v>
      </c>
      <c r="I40" s="72">
        <f t="shared" si="11"/>
        <v>56</v>
      </c>
      <c r="J40" s="72">
        <v>15</v>
      </c>
      <c r="K40" s="72">
        <v>1.02</v>
      </c>
      <c r="L40" s="72">
        <f t="shared" si="12"/>
        <v>102</v>
      </c>
      <c r="M40" s="72">
        <f>94-40</f>
        <v>54</v>
      </c>
      <c r="N40" s="88">
        <f t="shared" si="13"/>
        <v>47.058823529411761</v>
      </c>
      <c r="O40" s="72">
        <v>50</v>
      </c>
      <c r="P40" s="72">
        <v>0</v>
      </c>
      <c r="Q40" s="89">
        <f t="shared" si="20"/>
        <v>14.417531718569782</v>
      </c>
      <c r="S40" s="91">
        <v>-1.1448666114843926</v>
      </c>
      <c r="T40" s="91">
        <v>12.613220839032937</v>
      </c>
      <c r="U40" s="39" t="str">
        <f t="shared" si="15"/>
        <v>Normal</v>
      </c>
      <c r="V40" s="91">
        <v>1.1962743248798307</v>
      </c>
      <c r="W40" s="91">
        <v>88.420523763325164</v>
      </c>
      <c r="X40" s="39" t="str">
        <f t="shared" si="16"/>
        <v>Normal</v>
      </c>
      <c r="Y40" s="155">
        <v>-0.59833012372055849</v>
      </c>
      <c r="Z40" s="91">
        <v>27.480984020221083</v>
      </c>
      <c r="AA40" s="84" t="str">
        <f t="shared" si="17"/>
        <v>Normal</v>
      </c>
      <c r="AB40" s="60"/>
      <c r="AC40" s="60"/>
      <c r="AD40" s="39" t="str">
        <f t="shared" si="18"/>
        <v>Normal</v>
      </c>
      <c r="AE40" s="91">
        <v>0.17647184832873566</v>
      </c>
      <c r="AF40" s="91">
        <v>57.0038368318436</v>
      </c>
      <c r="AG40" s="41" t="str">
        <f t="shared" si="19"/>
        <v>Normal</v>
      </c>
    </row>
    <row r="41" spans="1:39" ht="15.75" x14ac:dyDescent="0.25">
      <c r="A41" s="72">
        <v>38</v>
      </c>
      <c r="B41" s="86" t="s">
        <v>187</v>
      </c>
      <c r="C41" s="55">
        <v>2</v>
      </c>
      <c r="D41" s="55" t="s">
        <v>7</v>
      </c>
      <c r="E41" s="72">
        <v>1</v>
      </c>
      <c r="F41" s="56">
        <v>43073</v>
      </c>
      <c r="G41" s="56">
        <v>44460</v>
      </c>
      <c r="H41" s="72">
        <f t="shared" si="10"/>
        <v>3</v>
      </c>
      <c r="I41" s="72">
        <f t="shared" si="11"/>
        <v>45</v>
      </c>
      <c r="J41" s="72">
        <v>14</v>
      </c>
      <c r="K41" s="72">
        <v>0.97</v>
      </c>
      <c r="L41" s="72">
        <f t="shared" si="12"/>
        <v>97</v>
      </c>
      <c r="M41" s="72">
        <f>95-40</f>
        <v>55</v>
      </c>
      <c r="N41" s="88">
        <f t="shared" si="13"/>
        <v>43.298969072164951</v>
      </c>
      <c r="O41" s="72">
        <v>48.2</v>
      </c>
      <c r="P41" s="72">
        <v>0</v>
      </c>
      <c r="Q41" s="89">
        <f t="shared" si="20"/>
        <v>14.879370815176959</v>
      </c>
      <c r="S41" s="91">
        <v>-1.1317315932288114</v>
      </c>
      <c r="T41" s="91">
        <v>12.887364743793601</v>
      </c>
      <c r="U41" s="39" t="str">
        <f t="shared" si="15"/>
        <v>Normal</v>
      </c>
      <c r="V41" s="91">
        <v>-1.0791216511942186E-2</v>
      </c>
      <c r="W41" s="91">
        <v>49.569501102949715</v>
      </c>
      <c r="X41" s="39" t="str">
        <f t="shared" si="16"/>
        <v>Normal</v>
      </c>
      <c r="Y41" s="155">
        <v>-0.41065835962543978</v>
      </c>
      <c r="Z41" s="91">
        <v>34.066153213919272</v>
      </c>
      <c r="AA41" s="84" t="str">
        <f t="shared" si="17"/>
        <v>Normal</v>
      </c>
      <c r="AB41" s="60"/>
      <c r="AC41" s="60"/>
      <c r="AD41" s="39" t="str">
        <f t="shared" si="18"/>
        <v>Normal</v>
      </c>
      <c r="AE41" s="91">
        <v>-1.2740656633401386</v>
      </c>
      <c r="AF41" s="91">
        <v>10.132007303203174</v>
      </c>
      <c r="AG41" s="41" t="str">
        <f t="shared" si="19"/>
        <v>Debajo del promedio</v>
      </c>
    </row>
    <row r="42" spans="1:39" ht="15.75" x14ac:dyDescent="0.25">
      <c r="A42" s="72">
        <v>39</v>
      </c>
      <c r="B42" s="86" t="s">
        <v>188</v>
      </c>
      <c r="C42" s="55">
        <v>2</v>
      </c>
      <c r="D42" s="55" t="s">
        <v>7</v>
      </c>
      <c r="E42" s="72">
        <v>1</v>
      </c>
      <c r="F42" s="56">
        <v>42746</v>
      </c>
      <c r="G42" s="56">
        <v>44460</v>
      </c>
      <c r="H42" s="72">
        <f t="shared" si="10"/>
        <v>4</v>
      </c>
      <c r="I42" s="72">
        <f t="shared" si="11"/>
        <v>56</v>
      </c>
      <c r="J42" s="72">
        <v>17.899999999999999</v>
      </c>
      <c r="K42" s="72">
        <v>1.05</v>
      </c>
      <c r="L42" s="72">
        <f t="shared" si="12"/>
        <v>105</v>
      </c>
      <c r="M42" s="72">
        <f>95.4-40</f>
        <v>55.400000000000006</v>
      </c>
      <c r="N42" s="88">
        <f t="shared" si="13"/>
        <v>47.238095238095234</v>
      </c>
      <c r="O42" s="72">
        <v>52</v>
      </c>
      <c r="P42" s="72">
        <v>0</v>
      </c>
      <c r="Q42" s="89">
        <f t="shared" si="20"/>
        <v>16.235827664399093</v>
      </c>
      <c r="S42" s="91">
        <v>-0.61705098705762318</v>
      </c>
      <c r="T42" s="91">
        <v>26.860054783191533</v>
      </c>
      <c r="U42" s="39" t="str">
        <f t="shared" si="15"/>
        <v>Normal</v>
      </c>
      <c r="V42" s="91">
        <v>1.3161933135675652</v>
      </c>
      <c r="W42" s="91">
        <v>90.594541631704274</v>
      </c>
      <c r="X42" s="39" t="str">
        <f t="shared" si="16"/>
        <v>Normal</v>
      </c>
      <c r="Y42" s="155">
        <v>0.7366304974130693</v>
      </c>
      <c r="Z42" s="91">
        <v>76.932645825528638</v>
      </c>
      <c r="AA42" s="84" t="str">
        <f t="shared" si="17"/>
        <v>Normal</v>
      </c>
      <c r="AB42" s="60"/>
      <c r="AC42" s="60"/>
      <c r="AD42" s="39" t="str">
        <f t="shared" si="18"/>
        <v>Normal</v>
      </c>
      <c r="AE42" s="91">
        <v>0.9584753941218086</v>
      </c>
      <c r="AF42" s="91">
        <v>83.10884533378767</v>
      </c>
      <c r="AG42" s="41" t="str">
        <f t="shared" si="19"/>
        <v>Normal</v>
      </c>
    </row>
    <row r="43" spans="1:39" ht="15.75" x14ac:dyDescent="0.25">
      <c r="A43" s="72">
        <v>40</v>
      </c>
      <c r="B43" s="86" t="s">
        <v>189</v>
      </c>
      <c r="C43" s="55">
        <v>2</v>
      </c>
      <c r="D43" s="55" t="s">
        <v>7</v>
      </c>
      <c r="E43" s="72">
        <v>2</v>
      </c>
      <c r="F43" s="56">
        <v>42740</v>
      </c>
      <c r="G43" s="56">
        <v>44460</v>
      </c>
      <c r="H43" s="72">
        <f t="shared" si="10"/>
        <v>4</v>
      </c>
      <c r="I43" s="72">
        <f t="shared" si="11"/>
        <v>56</v>
      </c>
      <c r="J43" s="72">
        <v>15</v>
      </c>
      <c r="K43" s="72">
        <v>1.05</v>
      </c>
      <c r="L43" s="72">
        <f t="shared" si="12"/>
        <v>105</v>
      </c>
      <c r="M43" s="72">
        <f>99.5-40</f>
        <v>59.5</v>
      </c>
      <c r="N43" s="88">
        <f t="shared" si="13"/>
        <v>43.333333333333336</v>
      </c>
      <c r="O43" s="72">
        <v>49.7</v>
      </c>
      <c r="P43" s="72">
        <v>0</v>
      </c>
      <c r="Q43" s="89">
        <f t="shared" si="20"/>
        <v>13.605442176870747</v>
      </c>
      <c r="S43" s="91">
        <v>-0.49422634580787839</v>
      </c>
      <c r="T43" s="91">
        <v>31.057316771503217</v>
      </c>
      <c r="U43" s="39" t="str">
        <f t="shared" si="15"/>
        <v>Normal</v>
      </c>
      <c r="V43" s="91">
        <v>-0.91761725241421033</v>
      </c>
      <c r="W43" s="91">
        <v>17.940964121338336</v>
      </c>
      <c r="X43" s="39" t="str">
        <f t="shared" si="16"/>
        <v>Normal</v>
      </c>
      <c r="Y43" s="155">
        <v>-1.2311938483352129</v>
      </c>
      <c r="Z43" s="91">
        <v>10.912518582612567</v>
      </c>
      <c r="AA43" s="84" t="str">
        <f t="shared" si="17"/>
        <v>Bajo Peso</v>
      </c>
      <c r="AB43" s="60"/>
      <c r="AC43" s="60"/>
      <c r="AD43" s="39" t="str">
        <f t="shared" si="18"/>
        <v>Normal</v>
      </c>
      <c r="AE43" s="91">
        <v>-2.8807540964091872E-2</v>
      </c>
      <c r="AF43" s="91">
        <v>48.85090432788391</v>
      </c>
      <c r="AG43" s="41" t="str">
        <f t="shared" si="19"/>
        <v>Normal</v>
      </c>
    </row>
    <row r="44" spans="1:39" ht="15.75" x14ac:dyDescent="0.25">
      <c r="A44" s="72">
        <v>41</v>
      </c>
      <c r="B44" s="86" t="s">
        <v>190</v>
      </c>
      <c r="C44" s="55">
        <v>2</v>
      </c>
      <c r="D44" s="55" t="s">
        <v>7</v>
      </c>
      <c r="E44" s="72">
        <v>2</v>
      </c>
      <c r="F44" s="56">
        <v>42887</v>
      </c>
      <c r="G44" s="56">
        <v>44460</v>
      </c>
      <c r="H44" s="72">
        <f t="shared" si="10"/>
        <v>4</v>
      </c>
      <c r="I44" s="72">
        <f t="shared" si="11"/>
        <v>51</v>
      </c>
      <c r="J44" s="72">
        <v>13.8</v>
      </c>
      <c r="K44" s="72">
        <v>0.98</v>
      </c>
      <c r="L44" s="72">
        <f t="shared" si="12"/>
        <v>98</v>
      </c>
      <c r="M44" s="72">
        <f>93.2-40</f>
        <v>53.2</v>
      </c>
      <c r="N44" s="88">
        <f t="shared" si="13"/>
        <v>45.714285714285715</v>
      </c>
      <c r="O44" s="72">
        <v>49</v>
      </c>
      <c r="P44" s="72">
        <v>0</v>
      </c>
      <c r="Q44" s="89">
        <f t="shared" si="20"/>
        <v>14.369012911286966</v>
      </c>
      <c r="S44" s="91">
        <v>-1.4648918194214124</v>
      </c>
      <c r="T44" s="91">
        <v>7.1475217537710272</v>
      </c>
      <c r="U44" s="39" t="str">
        <f t="shared" si="15"/>
        <v>Normal</v>
      </c>
      <c r="V44" s="91">
        <v>0.45482950277585393</v>
      </c>
      <c r="W44" s="91">
        <v>67.538404827314565</v>
      </c>
      <c r="X44" s="39" t="str">
        <f t="shared" si="16"/>
        <v>Normal</v>
      </c>
      <c r="Y44" s="155">
        <v>-0.64787171958918655</v>
      </c>
      <c r="Z44" s="91">
        <v>25.853396170375021</v>
      </c>
      <c r="AA44" s="84" t="str">
        <f t="shared" si="17"/>
        <v>Normal</v>
      </c>
      <c r="AB44" s="60"/>
      <c r="AC44" s="60"/>
      <c r="AD44" s="39" t="str">
        <f t="shared" si="18"/>
        <v>Normal</v>
      </c>
      <c r="AE44" s="91">
        <v>-0.34182659256774517</v>
      </c>
      <c r="AF44" s="91">
        <v>36.62406978907066</v>
      </c>
      <c r="AG44" s="41" t="str">
        <f t="shared" si="19"/>
        <v>Normal</v>
      </c>
    </row>
    <row r="45" spans="1:39" ht="15.75" x14ac:dyDescent="0.25">
      <c r="A45" s="72">
        <v>42</v>
      </c>
      <c r="B45" s="86" t="s">
        <v>191</v>
      </c>
      <c r="C45" s="55">
        <v>2</v>
      </c>
      <c r="D45" s="55" t="s">
        <v>7</v>
      </c>
      <c r="E45" s="72">
        <v>2</v>
      </c>
      <c r="F45" s="56">
        <v>42769</v>
      </c>
      <c r="G45" s="56">
        <v>44460</v>
      </c>
      <c r="H45" s="72">
        <f t="shared" si="10"/>
        <v>4</v>
      </c>
      <c r="I45" s="72">
        <f t="shared" si="11"/>
        <v>55</v>
      </c>
      <c r="J45" s="72">
        <v>15.6</v>
      </c>
      <c r="K45" s="72">
        <v>1.04</v>
      </c>
      <c r="L45" s="72">
        <f t="shared" si="12"/>
        <v>104</v>
      </c>
      <c r="M45" s="72">
        <f>97-40</f>
        <v>57</v>
      </c>
      <c r="N45" s="88">
        <f t="shared" si="13"/>
        <v>45.192307692307693</v>
      </c>
      <c r="O45" s="72">
        <v>48.9</v>
      </c>
      <c r="P45" s="72">
        <v>0</v>
      </c>
      <c r="Q45" s="89">
        <f t="shared" si="20"/>
        <v>14.423076923076922</v>
      </c>
      <c r="S45" s="91">
        <v>-0.59682608674237903</v>
      </c>
      <c r="T45" s="91">
        <v>27.531174964021531</v>
      </c>
      <c r="U45" s="39" t="str">
        <f t="shared" si="15"/>
        <v>Normal</v>
      </c>
      <c r="V45" s="91">
        <v>0.16063857272745441</v>
      </c>
      <c r="W45" s="91">
        <v>56.381096361990537</v>
      </c>
      <c r="X45" s="39" t="str">
        <f t="shared" si="16"/>
        <v>Normal</v>
      </c>
      <c r="Y45" s="155">
        <v>-0.59511420213035626</v>
      </c>
      <c r="Z45" s="91">
        <v>27.588356797044533</v>
      </c>
      <c r="AA45" s="84" t="str">
        <f t="shared" si="17"/>
        <v>Normal</v>
      </c>
      <c r="AB45" s="60"/>
      <c r="AC45" s="60"/>
      <c r="AD45" s="39" t="str">
        <f t="shared" si="18"/>
        <v>Normal</v>
      </c>
      <c r="AE45" s="91">
        <v>-0.54486013575039072</v>
      </c>
      <c r="AF45" s="91">
        <v>29.292485770943692</v>
      </c>
      <c r="AG45" s="41" t="str">
        <f t="shared" si="19"/>
        <v>Normal</v>
      </c>
    </row>
    <row r="46" spans="1:39" ht="15.75" x14ac:dyDescent="0.25">
      <c r="A46" s="72">
        <v>43</v>
      </c>
      <c r="B46" s="86" t="s">
        <v>192</v>
      </c>
      <c r="C46" s="55">
        <v>2</v>
      </c>
      <c r="D46" s="55" t="s">
        <v>7</v>
      </c>
      <c r="E46" s="72">
        <v>1</v>
      </c>
      <c r="F46" s="56">
        <v>43033</v>
      </c>
      <c r="G46" s="56">
        <v>44460</v>
      </c>
      <c r="H46" s="72">
        <f t="shared" si="10"/>
        <v>3</v>
      </c>
      <c r="I46" s="72">
        <f t="shared" si="11"/>
        <v>46</v>
      </c>
      <c r="J46" s="72">
        <v>13.4</v>
      </c>
      <c r="K46" s="72">
        <v>0.94</v>
      </c>
      <c r="L46" s="72">
        <f t="shared" si="12"/>
        <v>94</v>
      </c>
      <c r="M46" s="72">
        <f>89.8-40</f>
        <v>49.8</v>
      </c>
      <c r="N46" s="88">
        <f t="shared" si="13"/>
        <v>47.021276595744681</v>
      </c>
      <c r="O46" s="72">
        <v>48.9</v>
      </c>
      <c r="P46" s="72">
        <v>0</v>
      </c>
      <c r="Q46" s="89">
        <f t="shared" si="20"/>
        <v>15.16523313716614</v>
      </c>
      <c r="S46" s="91">
        <v>-1.9889489454196536</v>
      </c>
      <c r="T46" s="91">
        <v>2.3353419256684296</v>
      </c>
      <c r="U46" s="39" t="str">
        <f t="shared" si="15"/>
        <v>Desnutricion</v>
      </c>
      <c r="V46" s="91">
        <v>1.8166091025596425</v>
      </c>
      <c r="W46" s="91">
        <v>96.536150566420659</v>
      </c>
      <c r="X46" s="39" t="str">
        <f t="shared" si="16"/>
        <v>Piernas largas</v>
      </c>
      <c r="Y46" s="155">
        <v>-0.16060776489888612</v>
      </c>
      <c r="Z46" s="91">
        <v>43.620116939689261</v>
      </c>
      <c r="AA46" s="84" t="str">
        <f t="shared" si="17"/>
        <v>Normal</v>
      </c>
      <c r="AB46" s="60"/>
      <c r="AC46" s="60"/>
      <c r="AD46" s="39" t="str">
        <f t="shared" si="18"/>
        <v>Normal</v>
      </c>
      <c r="AE46" s="91">
        <v>-0.82851908619531589</v>
      </c>
      <c r="AF46" s="91">
        <v>20.368829523257183</v>
      </c>
      <c r="AG46" s="41" t="str">
        <f t="shared" si="19"/>
        <v>Normal</v>
      </c>
    </row>
    <row r="47" spans="1:39" ht="15.75" x14ac:dyDescent="0.25">
      <c r="A47" s="72">
        <v>44</v>
      </c>
      <c r="B47" s="86" t="s">
        <v>193</v>
      </c>
      <c r="C47" s="55">
        <v>2</v>
      </c>
      <c r="D47" s="55" t="s">
        <v>26</v>
      </c>
      <c r="E47" s="72">
        <v>1</v>
      </c>
      <c r="F47" s="56">
        <v>42998</v>
      </c>
      <c r="G47" s="56">
        <v>44460</v>
      </c>
      <c r="H47" s="72">
        <f t="shared" si="10"/>
        <v>4</v>
      </c>
      <c r="I47" s="72">
        <f t="shared" si="11"/>
        <v>48</v>
      </c>
      <c r="J47" s="72">
        <v>13</v>
      </c>
      <c r="K47" s="72">
        <v>0.97</v>
      </c>
      <c r="L47" s="72">
        <f t="shared" si="12"/>
        <v>97</v>
      </c>
      <c r="M47" s="72">
        <f>94.4-40</f>
        <v>54.400000000000006</v>
      </c>
      <c r="N47" s="88">
        <f t="shared" si="13"/>
        <v>43.917525773195869</v>
      </c>
      <c r="O47" s="72">
        <v>50.6</v>
      </c>
      <c r="P47" s="72">
        <v>0</v>
      </c>
      <c r="Q47" s="89">
        <f t="shared" si="20"/>
        <v>13.816558614092891</v>
      </c>
      <c r="S47" s="91">
        <v>-1.5086353990531864</v>
      </c>
      <c r="T47" s="91">
        <v>6.5695991343675262</v>
      </c>
      <c r="U47" s="39" t="str">
        <f t="shared" si="15"/>
        <v>Normal</v>
      </c>
      <c r="V47" s="91">
        <v>-0.55059857364179199</v>
      </c>
      <c r="W47" s="91">
        <v>29.095444343487497</v>
      </c>
      <c r="X47" s="39" t="str">
        <f t="shared" si="16"/>
        <v>Normal</v>
      </c>
      <c r="Y47" s="155">
        <v>-1.2879518542727739</v>
      </c>
      <c r="Z47" s="91">
        <v>9.8881361632604268</v>
      </c>
      <c r="AA47" s="84" t="str">
        <f t="shared" si="17"/>
        <v>Bajo Peso</v>
      </c>
      <c r="AB47" s="60"/>
      <c r="AC47" s="60"/>
      <c r="AD47" s="39" t="str">
        <f t="shared" si="18"/>
        <v>Normal</v>
      </c>
      <c r="AE47" s="91">
        <v>0.26570299938950381</v>
      </c>
      <c r="AF47" s="91">
        <v>60.476602339100751</v>
      </c>
      <c r="AG47" s="41" t="str">
        <f t="shared" si="19"/>
        <v>Normal</v>
      </c>
      <c r="AL47" s="109"/>
    </row>
    <row r="48" spans="1:39" ht="15.75" x14ac:dyDescent="0.25">
      <c r="A48" s="72">
        <v>45</v>
      </c>
      <c r="B48" s="86" t="s">
        <v>194</v>
      </c>
      <c r="C48" s="55">
        <v>2</v>
      </c>
      <c r="D48" s="55" t="s">
        <v>26</v>
      </c>
      <c r="E48" s="72">
        <v>2</v>
      </c>
      <c r="F48" s="56">
        <v>42918</v>
      </c>
      <c r="G48" s="56">
        <v>44460</v>
      </c>
      <c r="H48" s="72">
        <f t="shared" si="10"/>
        <v>4</v>
      </c>
      <c r="I48" s="72">
        <f t="shared" si="11"/>
        <v>50</v>
      </c>
      <c r="J48" s="72">
        <v>21.2</v>
      </c>
      <c r="K48" s="72">
        <v>1.1000000000000001</v>
      </c>
      <c r="L48" s="72">
        <f t="shared" si="12"/>
        <v>110.00000000000001</v>
      </c>
      <c r="M48" s="72">
        <f>101.1-40</f>
        <v>61.099999999999994</v>
      </c>
      <c r="N48" s="88">
        <f t="shared" si="13"/>
        <v>44.454545454545467</v>
      </c>
      <c r="O48" s="72">
        <v>54.4</v>
      </c>
      <c r="P48" s="72">
        <v>0</v>
      </c>
      <c r="Q48" s="89">
        <f t="shared" si="20"/>
        <v>17.52066115702479</v>
      </c>
      <c r="S48" s="91">
        <v>1.3907322373657516</v>
      </c>
      <c r="T48" s="91">
        <v>91.784668093882928</v>
      </c>
      <c r="U48" s="39" t="str">
        <f t="shared" si="15"/>
        <v>Normal</v>
      </c>
      <c r="V48" s="91">
        <v>-0.26146752487498609</v>
      </c>
      <c r="W48" s="91">
        <v>39.686599502991918</v>
      </c>
      <c r="X48" s="39" t="str">
        <f t="shared" si="16"/>
        <v>Normal</v>
      </c>
      <c r="Y48" s="155">
        <v>1.4357936605242236</v>
      </c>
      <c r="Z48" s="91">
        <v>92.446946786580511</v>
      </c>
      <c r="AA48" s="84" t="str">
        <f t="shared" si="17"/>
        <v>Obesidad</v>
      </c>
      <c r="AB48" s="60"/>
      <c r="AC48" s="60"/>
      <c r="AD48" s="39" t="str">
        <f t="shared" si="18"/>
        <v>Normal</v>
      </c>
      <c r="AE48" s="91">
        <v>3.4331167518198997</v>
      </c>
      <c r="AF48" s="91">
        <v>99.970165745016885</v>
      </c>
      <c r="AG48" s="41" t="str">
        <f t="shared" si="19"/>
        <v>Grande</v>
      </c>
      <c r="AM48" s="109"/>
    </row>
    <row r="49" spans="1:40" ht="15.75" x14ac:dyDescent="0.25">
      <c r="A49" s="72">
        <v>46</v>
      </c>
      <c r="B49" s="86" t="s">
        <v>195</v>
      </c>
      <c r="C49" s="55">
        <v>2</v>
      </c>
      <c r="D49" s="55" t="s">
        <v>26</v>
      </c>
      <c r="E49" s="72">
        <v>1</v>
      </c>
      <c r="F49" s="56">
        <v>42763</v>
      </c>
      <c r="G49" s="56">
        <v>44460</v>
      </c>
      <c r="H49" s="72">
        <f t="shared" si="10"/>
        <v>4</v>
      </c>
      <c r="I49" s="72">
        <f t="shared" si="11"/>
        <v>55</v>
      </c>
      <c r="J49" s="72">
        <v>14.1</v>
      </c>
      <c r="K49" s="72">
        <v>1.01</v>
      </c>
      <c r="L49" s="72">
        <f t="shared" si="12"/>
        <v>101</v>
      </c>
      <c r="M49" s="72">
        <f>97-40</f>
        <v>57</v>
      </c>
      <c r="N49" s="88">
        <f t="shared" si="13"/>
        <v>43.564356435643568</v>
      </c>
      <c r="O49" s="72">
        <v>50.1</v>
      </c>
      <c r="P49" s="72">
        <v>0</v>
      </c>
      <c r="Q49" s="89">
        <f t="shared" si="20"/>
        <v>13.822174296637584</v>
      </c>
      <c r="S49" s="91">
        <v>-1.396941768034484</v>
      </c>
      <c r="T49" s="91">
        <v>8.1215541497642967</v>
      </c>
      <c r="U49" s="39" t="str">
        <f t="shared" si="15"/>
        <v>Normal</v>
      </c>
      <c r="V49" s="91">
        <v>-0.75802705668594317</v>
      </c>
      <c r="W49" s="91">
        <v>22.421739266812164</v>
      </c>
      <c r="X49" s="39" t="str">
        <f t="shared" si="16"/>
        <v>Normal</v>
      </c>
      <c r="Y49" s="155">
        <v>-1.1796367768925684</v>
      </c>
      <c r="Z49" s="91">
        <v>11.907235461536807</v>
      </c>
      <c r="AA49" s="84" t="str">
        <f t="shared" si="17"/>
        <v>Bajo Peso</v>
      </c>
      <c r="AB49" s="60"/>
      <c r="AC49" s="60"/>
      <c r="AD49" s="39" t="str">
        <f t="shared" si="18"/>
        <v>Normal</v>
      </c>
      <c r="AE49" s="91">
        <v>-0.29385206780150308</v>
      </c>
      <c r="AF49" s="91">
        <v>38.44354730820038</v>
      </c>
      <c r="AG49" s="41" t="str">
        <f t="shared" si="19"/>
        <v>Normal</v>
      </c>
      <c r="AM49" s="114"/>
      <c r="AN49" s="115"/>
    </row>
    <row r="50" spans="1:40" ht="15.75" x14ac:dyDescent="0.25">
      <c r="A50" s="72">
        <v>47</v>
      </c>
      <c r="B50" s="86" t="s">
        <v>196</v>
      </c>
      <c r="C50" s="55">
        <v>2</v>
      </c>
      <c r="D50" s="55" t="s">
        <v>26</v>
      </c>
      <c r="E50" s="72">
        <v>1</v>
      </c>
      <c r="F50" s="56">
        <v>42971</v>
      </c>
      <c r="G50" s="56">
        <v>44460</v>
      </c>
      <c r="H50" s="72">
        <f t="shared" si="10"/>
        <v>4</v>
      </c>
      <c r="I50" s="72">
        <f t="shared" si="11"/>
        <v>48</v>
      </c>
      <c r="J50" s="72">
        <v>19.3</v>
      </c>
      <c r="K50" s="72">
        <v>1.08</v>
      </c>
      <c r="L50" s="72">
        <f t="shared" si="12"/>
        <v>108</v>
      </c>
      <c r="M50" s="72">
        <f>100.6-40</f>
        <v>60.599999999999994</v>
      </c>
      <c r="N50" s="88">
        <f t="shared" si="13"/>
        <v>43.888888888888893</v>
      </c>
      <c r="O50" s="72">
        <v>50.1</v>
      </c>
      <c r="P50" s="72">
        <v>0</v>
      </c>
      <c r="Q50" s="89">
        <f t="shared" si="20"/>
        <v>16.546639231824415</v>
      </c>
      <c r="S50" s="91">
        <v>1.1141246075191358</v>
      </c>
      <c r="T50" s="91">
        <v>86.738713337227153</v>
      </c>
      <c r="U50" s="39" t="str">
        <f t="shared" si="15"/>
        <v>Normal</v>
      </c>
      <c r="V50" s="91">
        <v>-0.56735105060809454</v>
      </c>
      <c r="W50" s="91">
        <v>28.523784966883557</v>
      </c>
      <c r="X50" s="39" t="str">
        <f t="shared" si="16"/>
        <v>Normal</v>
      </c>
      <c r="Y50" s="155">
        <v>0.91235430082830948</v>
      </c>
      <c r="Z50" s="91">
        <v>81.920888097997619</v>
      </c>
      <c r="AA50" s="84" t="str">
        <f t="shared" si="17"/>
        <v>Normal</v>
      </c>
      <c r="AB50" s="60"/>
      <c r="AC50" s="60"/>
      <c r="AD50" s="39" t="str">
        <f t="shared" si="18"/>
        <v>Normal</v>
      </c>
      <c r="AE50" s="91">
        <v>-7.6257102784889938E-2</v>
      </c>
      <c r="AF50" s="91">
        <v>46.960727672120015</v>
      </c>
      <c r="AG50" s="41" t="str">
        <f t="shared" si="19"/>
        <v>Normal</v>
      </c>
      <c r="AM50" s="114"/>
      <c r="AN50" s="115"/>
    </row>
    <row r="51" spans="1:40" ht="15.75" x14ac:dyDescent="0.25">
      <c r="A51" s="72">
        <v>48</v>
      </c>
      <c r="B51" s="86" t="s">
        <v>197</v>
      </c>
      <c r="C51" s="55">
        <v>2</v>
      </c>
      <c r="D51" s="55" t="s">
        <v>26</v>
      </c>
      <c r="E51" s="72">
        <v>1</v>
      </c>
      <c r="F51" s="56">
        <v>42767</v>
      </c>
      <c r="G51" s="56">
        <v>44460</v>
      </c>
      <c r="H51" s="72">
        <f t="shared" si="10"/>
        <v>4</v>
      </c>
      <c r="I51" s="72">
        <f t="shared" si="11"/>
        <v>55</v>
      </c>
      <c r="J51" s="72">
        <v>18.600000000000001</v>
      </c>
      <c r="K51" s="72">
        <v>1.06</v>
      </c>
      <c r="L51" s="72">
        <f t="shared" si="12"/>
        <v>106</v>
      </c>
      <c r="M51" s="72">
        <f>99-40</f>
        <v>59</v>
      </c>
      <c r="N51" s="88">
        <f t="shared" si="13"/>
        <v>44.339622641509436</v>
      </c>
      <c r="O51" s="72">
        <v>49.7</v>
      </c>
      <c r="P51" s="72">
        <v>0</v>
      </c>
      <c r="Q51" s="89">
        <f t="shared" si="20"/>
        <v>16.553933784264864</v>
      </c>
      <c r="S51" s="91">
        <v>-0.27378153773725367</v>
      </c>
      <c r="T51" s="91">
        <v>39.21262562363637</v>
      </c>
      <c r="U51" s="39" t="str">
        <f t="shared" si="15"/>
        <v>Normal</v>
      </c>
      <c r="V51" s="91">
        <v>-0.30502729742142987</v>
      </c>
      <c r="W51" s="91">
        <v>38.017268103377276</v>
      </c>
      <c r="X51" s="39" t="str">
        <f t="shared" ref="X51:X69" si="21">IF(V51&lt;-1.645,"Piernas cortas",IF(AND(V51&gt;=-1.645,V51&lt;=1.645),"Normal",IF(V51&gt;1.645,"Piernas largas")))</f>
        <v>Normal</v>
      </c>
      <c r="Y51" s="155">
        <v>0.95236569070215871</v>
      </c>
      <c r="Z51" s="91">
        <v>82.954422341139619</v>
      </c>
      <c r="AA51" s="84" t="str">
        <f t="shared" ref="AA51:AA69" si="22">IF(Z51&lt;5,"Desnutricion",IF(AND(Z51&gt;=5,Z51&lt;15),"Bajo Peso",IF(AND(Z51&gt;=15,Z51&lt;=85),"Normal",IF(Z51&gt;85,"Obesidad"))))</f>
        <v>Normal</v>
      </c>
      <c r="AB51" s="60"/>
      <c r="AC51" s="60"/>
      <c r="AD51" s="39" t="str">
        <f t="shared" ref="AD51:AD69" si="23">IF(AB51&lt;-1.645,"Bajo",IF(AND(AB51&gt;=-1.645,AB51&lt;-1.036),"Debajo del promedio",IF(AND(AB51&gt;=-1.036,AB51&lt;=1.036),"Normal",IF(AND(AB51&gt;1.036,AB51&lt;=1.645),"Arriba del promedio",IF(AB51&gt;1.645,"Alto","")))))</f>
        <v>Normal</v>
      </c>
      <c r="AE51" s="91">
        <v>-0.56381262618597472</v>
      </c>
      <c r="AF51" s="91">
        <v>28.644082899738898</v>
      </c>
      <c r="AG51" s="41" t="str">
        <f t="shared" si="19"/>
        <v>Normal</v>
      </c>
      <c r="AM51" s="114"/>
      <c r="AN51" s="115"/>
    </row>
    <row r="52" spans="1:40" ht="15.75" x14ac:dyDescent="0.25">
      <c r="A52" s="72">
        <v>49</v>
      </c>
      <c r="B52" s="86" t="s">
        <v>198</v>
      </c>
      <c r="C52" s="55">
        <v>2</v>
      </c>
      <c r="D52" s="55" t="s">
        <v>26</v>
      </c>
      <c r="E52" s="72">
        <v>1</v>
      </c>
      <c r="F52" s="56">
        <v>42780</v>
      </c>
      <c r="G52" s="56">
        <v>44460</v>
      </c>
      <c r="H52" s="72">
        <f t="shared" si="10"/>
        <v>4</v>
      </c>
      <c r="I52" s="72">
        <f t="shared" ref="I52:I69" si="24">DATEDIF(F52,G52,"m")</f>
        <v>55</v>
      </c>
      <c r="J52" s="72">
        <v>15.9</v>
      </c>
      <c r="K52" s="72">
        <v>1.04</v>
      </c>
      <c r="L52" s="72">
        <f t="shared" ref="L52:L69" si="25">K52*100</f>
        <v>104</v>
      </c>
      <c r="M52" s="72">
        <f>97-40</f>
        <v>57</v>
      </c>
      <c r="N52" s="88">
        <f t="shared" si="13"/>
        <v>45.192307692307693</v>
      </c>
      <c r="O52" s="72">
        <v>51.2</v>
      </c>
      <c r="P52" s="72">
        <v>0</v>
      </c>
      <c r="Q52" s="89">
        <f t="shared" si="20"/>
        <v>14.700443786982246</v>
      </c>
      <c r="S52" s="91">
        <v>-0.72304562985614573</v>
      </c>
      <c r="T52" s="91">
        <v>23.482592549602849</v>
      </c>
      <c r="U52" s="39" t="str">
        <f t="shared" ref="U52:U69" si="26">IF(S52&lt;-1.645,"Desnutricion",IF(AND(S52&gt;=-1.645,S52&lt;=1.645),"Normal",IF(S52&gt;1.645,"Alto")))</f>
        <v>Normal</v>
      </c>
      <c r="V52" s="91">
        <v>0.18347526451943913</v>
      </c>
      <c r="W52" s="91">
        <v>57.278743731066648</v>
      </c>
      <c r="X52" s="39" t="str">
        <f t="shared" si="21"/>
        <v>Normal</v>
      </c>
      <c r="Y52" s="155">
        <v>-0.42834961855020143</v>
      </c>
      <c r="Z52" s="91">
        <v>33.419829954596167</v>
      </c>
      <c r="AA52" s="84" t="str">
        <f t="shared" si="22"/>
        <v>Normal</v>
      </c>
      <c r="AB52" s="60"/>
      <c r="AC52" s="60"/>
      <c r="AD52" s="39" t="str">
        <f t="shared" si="23"/>
        <v>Normal</v>
      </c>
      <c r="AE52" s="91">
        <v>0.44853946775580628</v>
      </c>
      <c r="AF52" s="91">
        <v>67.311804556945631</v>
      </c>
      <c r="AG52" s="41" t="str">
        <f t="shared" si="19"/>
        <v>Normal</v>
      </c>
      <c r="AM52" s="114"/>
      <c r="AN52" s="115"/>
    </row>
    <row r="53" spans="1:40" ht="15.75" x14ac:dyDescent="0.25">
      <c r="A53" s="72">
        <v>50</v>
      </c>
      <c r="B53" s="86" t="s">
        <v>199</v>
      </c>
      <c r="C53" s="55">
        <v>2</v>
      </c>
      <c r="D53" s="55" t="s">
        <v>26</v>
      </c>
      <c r="E53" s="72">
        <v>2</v>
      </c>
      <c r="F53" s="56">
        <v>42952</v>
      </c>
      <c r="G53" s="56">
        <v>44460</v>
      </c>
      <c r="H53" s="72">
        <f t="shared" ref="H53:H69" si="27">DATEDIF(F53,G53,"y")</f>
        <v>4</v>
      </c>
      <c r="I53" s="72">
        <f t="shared" si="24"/>
        <v>49</v>
      </c>
      <c r="J53" s="72">
        <v>16</v>
      </c>
      <c r="K53" s="72">
        <v>1.01</v>
      </c>
      <c r="L53" s="72">
        <f t="shared" si="25"/>
        <v>101</v>
      </c>
      <c r="M53" s="72">
        <f>96-40</f>
        <v>56</v>
      </c>
      <c r="N53" s="88">
        <f t="shared" si="13"/>
        <v>44.554455445544555</v>
      </c>
      <c r="O53" s="72">
        <v>48</v>
      </c>
      <c r="P53" s="72">
        <v>0</v>
      </c>
      <c r="Q53" s="89">
        <f t="shared" si="20"/>
        <v>15.684736790510733</v>
      </c>
      <c r="S53" s="91">
        <v>-0.53380104254894201</v>
      </c>
      <c r="T53" s="91">
        <v>29.673959619978994</v>
      </c>
      <c r="U53" s="39" t="str">
        <f t="shared" si="26"/>
        <v>Normal</v>
      </c>
      <c r="V53" s="91">
        <v>-0.20386506906521204</v>
      </c>
      <c r="W53" s="91">
        <v>41.922947132089377</v>
      </c>
      <c r="X53" s="39" t="str">
        <f t="shared" si="21"/>
        <v>Normal</v>
      </c>
      <c r="Y53" s="155">
        <v>0.29829674349678587</v>
      </c>
      <c r="Z53" s="91">
        <v>61.726165523232254</v>
      </c>
      <c r="AA53" s="84" t="str">
        <f t="shared" si="22"/>
        <v>Normal</v>
      </c>
      <c r="AB53" s="60"/>
      <c r="AC53" s="60"/>
      <c r="AD53" s="39" t="str">
        <f t="shared" si="23"/>
        <v>Normal</v>
      </c>
      <c r="AE53" s="91">
        <v>-0.96292286498792012</v>
      </c>
      <c r="AF53" s="91">
        <v>16.779311703314406</v>
      </c>
      <c r="AG53" s="41" t="str">
        <f t="shared" si="19"/>
        <v>Normal</v>
      </c>
    </row>
    <row r="54" spans="1:40" ht="15.75" x14ac:dyDescent="0.25">
      <c r="A54" s="72">
        <v>51</v>
      </c>
      <c r="B54" s="86" t="s">
        <v>200</v>
      </c>
      <c r="C54" s="55">
        <v>2</v>
      </c>
      <c r="D54" s="55" t="s">
        <v>26</v>
      </c>
      <c r="E54" s="72">
        <v>2</v>
      </c>
      <c r="F54" s="56">
        <v>42947</v>
      </c>
      <c r="G54" s="56">
        <v>44460</v>
      </c>
      <c r="H54" s="72">
        <f t="shared" si="27"/>
        <v>4</v>
      </c>
      <c r="I54" s="72">
        <f t="shared" si="24"/>
        <v>49</v>
      </c>
      <c r="J54" s="72">
        <v>18.7</v>
      </c>
      <c r="K54" s="72">
        <v>1.05</v>
      </c>
      <c r="L54" s="72">
        <f t="shared" si="25"/>
        <v>105</v>
      </c>
      <c r="M54" s="72">
        <f>97.1-40</f>
        <v>57.099999999999994</v>
      </c>
      <c r="N54" s="88">
        <f t="shared" si="13"/>
        <v>45.619047619047628</v>
      </c>
      <c r="O54" s="72">
        <v>50.4</v>
      </c>
      <c r="P54" s="72">
        <v>0</v>
      </c>
      <c r="Q54" s="89">
        <f t="shared" si="20"/>
        <v>16.961451247165531</v>
      </c>
      <c r="S54" s="91">
        <v>0.3866646082661524</v>
      </c>
      <c r="T54" s="91">
        <v>65.049773974914473</v>
      </c>
      <c r="U54" s="39" t="str">
        <f t="shared" si="26"/>
        <v>Normal</v>
      </c>
      <c r="V54" s="91">
        <v>0.40142307056409465</v>
      </c>
      <c r="W54" s="91">
        <v>65.594566669914229</v>
      </c>
      <c r="X54" s="39" t="str">
        <f t="shared" si="21"/>
        <v>Normal</v>
      </c>
      <c r="Y54" s="155">
        <v>1.1148439900071347</v>
      </c>
      <c r="Z54" s="91">
        <v>86.754135906000585</v>
      </c>
      <c r="AA54" s="84" t="str">
        <f t="shared" si="22"/>
        <v>Obesidad</v>
      </c>
      <c r="AB54" s="60"/>
      <c r="AC54" s="60"/>
      <c r="AD54" s="39" t="str">
        <f t="shared" si="23"/>
        <v>Normal</v>
      </c>
      <c r="AE54" s="91">
        <v>0.70243339066603927</v>
      </c>
      <c r="AF54" s="91">
        <v>75.879553606010205</v>
      </c>
      <c r="AG54" s="41" t="str">
        <f t="shared" si="19"/>
        <v>Normal</v>
      </c>
    </row>
    <row r="55" spans="1:40" ht="15.75" x14ac:dyDescent="0.25">
      <c r="A55" s="72">
        <v>52</v>
      </c>
      <c r="B55" s="86" t="s">
        <v>201</v>
      </c>
      <c r="C55" s="55">
        <v>2</v>
      </c>
      <c r="D55" s="55" t="s">
        <v>26</v>
      </c>
      <c r="E55" s="72">
        <v>2</v>
      </c>
      <c r="F55" s="56">
        <v>43050</v>
      </c>
      <c r="G55" s="56">
        <v>44460</v>
      </c>
      <c r="H55" s="72">
        <f t="shared" si="27"/>
        <v>3</v>
      </c>
      <c r="I55" s="72">
        <f t="shared" si="24"/>
        <v>46</v>
      </c>
      <c r="J55" s="72">
        <v>15.8</v>
      </c>
      <c r="K55" s="72">
        <v>0.99</v>
      </c>
      <c r="L55" s="72">
        <f t="shared" si="25"/>
        <v>99</v>
      </c>
      <c r="M55" s="72">
        <f>95-40</f>
        <v>55</v>
      </c>
      <c r="N55" s="88">
        <f t="shared" si="13"/>
        <v>44.444444444444443</v>
      </c>
      <c r="O55" s="72">
        <v>50.3</v>
      </c>
      <c r="P55" s="72">
        <v>0</v>
      </c>
      <c r="Q55" s="89">
        <f t="shared" si="20"/>
        <v>16.120803999591878</v>
      </c>
      <c r="S55" s="91">
        <v>-0.5992861735092424</v>
      </c>
      <c r="T55" s="91">
        <v>27.449103322426073</v>
      </c>
      <c r="U55" s="39" t="str">
        <f t="shared" si="26"/>
        <v>Normal</v>
      </c>
      <c r="V55" s="91">
        <v>0.4461241695044304</v>
      </c>
      <c r="W55" s="91">
        <v>67.224622254266706</v>
      </c>
      <c r="X55" s="39" t="str">
        <f t="shared" si="21"/>
        <v>Normal</v>
      </c>
      <c r="Y55" s="155">
        <v>0.58767328607111979</v>
      </c>
      <c r="Z55" s="91">
        <v>72.162419514626279</v>
      </c>
      <c r="AA55" s="84" t="str">
        <f t="shared" si="22"/>
        <v>Normal</v>
      </c>
      <c r="AB55" s="60"/>
      <c r="AC55" s="60"/>
      <c r="AD55" s="39" t="str">
        <f t="shared" si="23"/>
        <v>Normal</v>
      </c>
      <c r="AE55" s="91">
        <v>0.75685978779053742</v>
      </c>
      <c r="AF55" s="91">
        <v>77.543306551741196</v>
      </c>
      <c r="AG55" s="41" t="str">
        <f t="shared" si="19"/>
        <v>Normal</v>
      </c>
    </row>
    <row r="56" spans="1:40" ht="15.75" x14ac:dyDescent="0.25">
      <c r="A56" s="72">
        <v>53</v>
      </c>
      <c r="B56" s="86" t="s">
        <v>202</v>
      </c>
      <c r="C56" s="55">
        <v>2</v>
      </c>
      <c r="D56" s="55" t="s">
        <v>26</v>
      </c>
      <c r="E56" s="72">
        <v>2</v>
      </c>
      <c r="F56" s="56">
        <v>42774</v>
      </c>
      <c r="G56" s="56">
        <v>44460</v>
      </c>
      <c r="H56" s="72">
        <f t="shared" si="27"/>
        <v>4</v>
      </c>
      <c r="I56" s="72">
        <f t="shared" si="24"/>
        <v>55</v>
      </c>
      <c r="J56" s="72">
        <v>16.100000000000001</v>
      </c>
      <c r="K56" s="72">
        <v>1.01</v>
      </c>
      <c r="L56" s="72">
        <f t="shared" si="25"/>
        <v>101</v>
      </c>
      <c r="M56" s="72">
        <f>95.7-40</f>
        <v>55.7</v>
      </c>
      <c r="N56" s="88">
        <f t="shared" si="13"/>
        <v>44.851485148514847</v>
      </c>
      <c r="O56" s="72">
        <v>49.6</v>
      </c>
      <c r="P56" s="72">
        <v>0</v>
      </c>
      <c r="Q56" s="89">
        <f t="shared" si="20"/>
        <v>15.782766395451427</v>
      </c>
      <c r="S56" s="91">
        <v>-1.252799070888613</v>
      </c>
      <c r="T56" s="91">
        <v>10.513941993941714</v>
      </c>
      <c r="U56" s="39" t="str">
        <f t="shared" si="26"/>
        <v>Normal</v>
      </c>
      <c r="V56" s="91">
        <v>-3.3432058587297371E-2</v>
      </c>
      <c r="W56" s="91">
        <v>48.666502244464745</v>
      </c>
      <c r="X56" s="39" t="str">
        <f t="shared" si="21"/>
        <v>Normal</v>
      </c>
      <c r="Y56" s="155">
        <v>0.35245846137540804</v>
      </c>
      <c r="Z56" s="91">
        <v>63.775276736630005</v>
      </c>
      <c r="AA56" s="84" t="str">
        <f t="shared" si="22"/>
        <v>Normal</v>
      </c>
      <c r="AB56" s="60"/>
      <c r="AC56" s="60"/>
      <c r="AD56" s="39" t="str">
        <f t="shared" si="23"/>
        <v>Normal</v>
      </c>
      <c r="AE56" s="91">
        <v>-6.4927966346495974E-2</v>
      </c>
      <c r="AF56" s="91">
        <v>47.411567682182501</v>
      </c>
      <c r="AG56" s="41" t="str">
        <f t="shared" si="19"/>
        <v>Normal</v>
      </c>
    </row>
    <row r="57" spans="1:40" ht="15.75" x14ac:dyDescent="0.25">
      <c r="A57" s="72">
        <v>54</v>
      </c>
      <c r="B57" s="86" t="s">
        <v>203</v>
      </c>
      <c r="C57" s="55">
        <v>2</v>
      </c>
      <c r="D57" s="55" t="s">
        <v>26</v>
      </c>
      <c r="E57" s="72">
        <v>1</v>
      </c>
      <c r="F57" s="56">
        <v>42906</v>
      </c>
      <c r="G57" s="56">
        <v>44460</v>
      </c>
      <c r="H57" s="72">
        <f t="shared" si="27"/>
        <v>4</v>
      </c>
      <c r="I57" s="72">
        <f t="shared" si="24"/>
        <v>51</v>
      </c>
      <c r="J57" s="72">
        <v>15</v>
      </c>
      <c r="K57" s="72">
        <v>0.96</v>
      </c>
      <c r="L57" s="72">
        <f t="shared" si="25"/>
        <v>96</v>
      </c>
      <c r="M57" s="72">
        <f>96.6-40</f>
        <v>56.599999999999994</v>
      </c>
      <c r="N57" s="88">
        <f t="shared" si="13"/>
        <v>41.041666666666671</v>
      </c>
      <c r="O57" s="72">
        <v>49.3</v>
      </c>
      <c r="P57" s="72">
        <v>0</v>
      </c>
      <c r="Q57" s="89">
        <f t="shared" si="20"/>
        <v>16.276041666666668</v>
      </c>
      <c r="S57" s="91">
        <v>-2.091463048794771</v>
      </c>
      <c r="T57" s="91">
        <v>1.8243287736124998</v>
      </c>
      <c r="U57" s="39" t="str">
        <f t="shared" si="26"/>
        <v>Desnutricion</v>
      </c>
      <c r="V57" s="91">
        <v>-2.2944224497644736</v>
      </c>
      <c r="W57" s="91">
        <v>1.088312242986935</v>
      </c>
      <c r="X57" s="39" t="str">
        <f t="shared" si="21"/>
        <v>Piernas cortas</v>
      </c>
      <c r="Y57" s="155">
        <v>0.73991131513475528</v>
      </c>
      <c r="Z57" s="91">
        <v>77.032309591460006</v>
      </c>
      <c r="AA57" s="84" t="str">
        <f t="shared" si="22"/>
        <v>Normal</v>
      </c>
      <c r="AB57" s="60"/>
      <c r="AC57" s="60"/>
      <c r="AD57" s="39" t="str">
        <f t="shared" si="23"/>
        <v>Normal</v>
      </c>
      <c r="AE57" s="91">
        <v>-0.71912644060561104</v>
      </c>
      <c r="AF57" s="91">
        <v>23.6031508695757</v>
      </c>
      <c r="AG57" s="41" t="str">
        <f t="shared" si="19"/>
        <v>Normal</v>
      </c>
    </row>
    <row r="58" spans="1:40" ht="15.75" x14ac:dyDescent="0.25">
      <c r="A58" s="72">
        <v>55</v>
      </c>
      <c r="B58" s="86" t="s">
        <v>204</v>
      </c>
      <c r="C58" s="55">
        <v>2</v>
      </c>
      <c r="D58" s="55" t="s">
        <v>26</v>
      </c>
      <c r="E58" s="72">
        <v>2</v>
      </c>
      <c r="F58" s="56">
        <v>42946</v>
      </c>
      <c r="G58" s="56">
        <v>44460</v>
      </c>
      <c r="H58" s="72">
        <f t="shared" si="27"/>
        <v>4</v>
      </c>
      <c r="I58" s="72">
        <f t="shared" si="24"/>
        <v>49</v>
      </c>
      <c r="J58" s="72">
        <v>18.100000000000001</v>
      </c>
      <c r="K58" s="72">
        <v>1.03</v>
      </c>
      <c r="L58" s="72">
        <f t="shared" si="25"/>
        <v>103</v>
      </c>
      <c r="M58" s="72">
        <f>98.7-40</f>
        <v>58.7</v>
      </c>
      <c r="N58" s="88">
        <f t="shared" si="13"/>
        <v>43.009708737864081</v>
      </c>
      <c r="O58" s="72">
        <v>47.9</v>
      </c>
      <c r="P58" s="72">
        <v>0</v>
      </c>
      <c r="Q58" s="89">
        <f t="shared" si="20"/>
        <v>17.060985955320955</v>
      </c>
      <c r="S58" s="91">
        <v>-7.3568217141396136E-2</v>
      </c>
      <c r="T58" s="91">
        <v>47.067698081543213</v>
      </c>
      <c r="U58" s="39" t="str">
        <f t="shared" si="26"/>
        <v>Normal</v>
      </c>
      <c r="V58" s="91">
        <v>-1.1104094419930204</v>
      </c>
      <c r="W58" s="91">
        <v>13.341131566960568</v>
      </c>
      <c r="X58" s="39" t="str">
        <f t="shared" si="21"/>
        <v>Normal</v>
      </c>
      <c r="Y58" s="155">
        <v>1.1744503074287804</v>
      </c>
      <c r="Z58" s="91">
        <v>87.989264752683113</v>
      </c>
      <c r="AA58" s="84" t="str">
        <f t="shared" si="22"/>
        <v>Obesidad</v>
      </c>
      <c r="AB58" s="60"/>
      <c r="AC58" s="60"/>
      <c r="AD58" s="39" t="str">
        <f t="shared" si="23"/>
        <v>Normal</v>
      </c>
      <c r="AE58" s="91">
        <v>-1.0323127089735007</v>
      </c>
      <c r="AF58" s="91">
        <v>15.09628246589722</v>
      </c>
      <c r="AG58" s="41" t="str">
        <f t="shared" si="19"/>
        <v>Normal</v>
      </c>
    </row>
    <row r="59" spans="1:40" ht="15.75" x14ac:dyDescent="0.25">
      <c r="A59" s="72">
        <v>56</v>
      </c>
      <c r="B59" s="86" t="s">
        <v>205</v>
      </c>
      <c r="C59" s="55">
        <v>2</v>
      </c>
      <c r="D59" s="55" t="s">
        <v>26</v>
      </c>
      <c r="E59" s="72">
        <v>2</v>
      </c>
      <c r="F59" s="56">
        <v>42984</v>
      </c>
      <c r="G59" s="56">
        <v>44460</v>
      </c>
      <c r="H59" s="72">
        <f t="shared" si="27"/>
        <v>4</v>
      </c>
      <c r="I59" s="72">
        <f t="shared" si="24"/>
        <v>48</v>
      </c>
      <c r="J59" s="72">
        <v>15.1</v>
      </c>
      <c r="K59" s="72">
        <v>0.96</v>
      </c>
      <c r="L59" s="72">
        <f t="shared" si="25"/>
        <v>96</v>
      </c>
      <c r="M59" s="72">
        <f>93.9-40</f>
        <v>53.900000000000006</v>
      </c>
      <c r="N59" s="88">
        <f t="shared" si="13"/>
        <v>43.854166666666657</v>
      </c>
      <c r="O59" s="72">
        <v>48.5</v>
      </c>
      <c r="P59" s="72">
        <v>0</v>
      </c>
      <c r="Q59" s="89">
        <f t="shared" si="20"/>
        <v>16.384548611111111</v>
      </c>
      <c r="S59" s="91">
        <v>-1.5626627909162658</v>
      </c>
      <c r="T59" s="91">
        <v>5.9065965365023656</v>
      </c>
      <c r="U59" s="39" t="str">
        <f t="shared" si="26"/>
        <v>Normal</v>
      </c>
      <c r="V59" s="91">
        <v>-0.6105730168537512</v>
      </c>
      <c r="W59" s="91">
        <v>27.074114536546901</v>
      </c>
      <c r="X59" s="39" t="str">
        <f t="shared" si="21"/>
        <v>Normal</v>
      </c>
      <c r="Y59" s="155">
        <v>0.75996337594371843</v>
      </c>
      <c r="Z59" s="91">
        <v>77.636176149025559</v>
      </c>
      <c r="AA59" s="84" t="str">
        <f t="shared" si="22"/>
        <v>Normal</v>
      </c>
      <c r="AB59" s="60"/>
      <c r="AC59" s="60"/>
      <c r="AD59" s="39" t="str">
        <f t="shared" si="23"/>
        <v>Normal</v>
      </c>
      <c r="AE59" s="91">
        <v>-0.57863854458768949</v>
      </c>
      <c r="AF59" s="91">
        <v>28.141654550904772</v>
      </c>
      <c r="AG59" s="41" t="str">
        <f t="shared" si="19"/>
        <v>Normal</v>
      </c>
    </row>
    <row r="60" spans="1:40" ht="15.75" x14ac:dyDescent="0.25">
      <c r="A60" s="72">
        <v>57</v>
      </c>
      <c r="B60" s="86" t="s">
        <v>206</v>
      </c>
      <c r="C60" s="55">
        <v>2</v>
      </c>
      <c r="D60" s="55" t="s">
        <v>26</v>
      </c>
      <c r="E60" s="72">
        <v>2</v>
      </c>
      <c r="F60" s="56">
        <v>42892</v>
      </c>
      <c r="G60" s="56">
        <v>44460</v>
      </c>
      <c r="H60" s="72">
        <f t="shared" si="27"/>
        <v>4</v>
      </c>
      <c r="I60" s="72">
        <f t="shared" si="24"/>
        <v>51</v>
      </c>
      <c r="J60" s="72">
        <v>13.6</v>
      </c>
      <c r="K60" s="72">
        <v>0.97</v>
      </c>
      <c r="L60" s="72">
        <f t="shared" si="25"/>
        <v>97</v>
      </c>
      <c r="M60" s="72">
        <f>93.2-40</f>
        <v>53.2</v>
      </c>
      <c r="N60" s="88">
        <f t="shared" si="13"/>
        <v>45.154639175257728</v>
      </c>
      <c r="O60" s="72">
        <v>50.8</v>
      </c>
      <c r="P60" s="72">
        <v>0</v>
      </c>
      <c r="Q60" s="89">
        <f t="shared" si="20"/>
        <v>14.454245934743332</v>
      </c>
      <c r="S60" s="91">
        <v>-1.6910042232465317</v>
      </c>
      <c r="T60" s="91">
        <v>4.5417998027349133</v>
      </c>
      <c r="U60" s="39" t="str">
        <f t="shared" si="26"/>
        <v>Desnutricion</v>
      </c>
      <c r="V60" s="91">
        <v>0.13926698855089917</v>
      </c>
      <c r="W60" s="91">
        <v>55.538041252386215</v>
      </c>
      <c r="X60" s="39" t="str">
        <f t="shared" si="21"/>
        <v>Normal</v>
      </c>
      <c r="Y60" s="155">
        <v>-0.5825163960333638</v>
      </c>
      <c r="Z60" s="91">
        <v>28.010945039989288</v>
      </c>
      <c r="AA60" s="84" t="str">
        <f t="shared" si="22"/>
        <v>Normal</v>
      </c>
      <c r="AB60" s="60"/>
      <c r="AC60" s="60"/>
      <c r="AD60" s="39" t="str">
        <f t="shared" si="23"/>
        <v>Normal</v>
      </c>
      <c r="AE60" s="91">
        <v>0.90193299227547064</v>
      </c>
      <c r="AF60" s="91">
        <v>81.645376792786067</v>
      </c>
      <c r="AG60" s="41" t="str">
        <f t="shared" si="19"/>
        <v>Normal</v>
      </c>
    </row>
    <row r="61" spans="1:40" ht="15.75" x14ac:dyDescent="0.25">
      <c r="A61" s="72">
        <v>58</v>
      </c>
      <c r="B61" s="86" t="s">
        <v>207</v>
      </c>
      <c r="C61" s="55">
        <v>2</v>
      </c>
      <c r="D61" s="55" t="s">
        <v>26</v>
      </c>
      <c r="E61" s="72">
        <v>1</v>
      </c>
      <c r="F61" s="56">
        <v>42918</v>
      </c>
      <c r="G61" s="56">
        <v>44460</v>
      </c>
      <c r="H61" s="72">
        <f t="shared" si="27"/>
        <v>4</v>
      </c>
      <c r="I61" s="72">
        <f t="shared" si="24"/>
        <v>50</v>
      </c>
      <c r="J61" s="72">
        <v>14.9</v>
      </c>
      <c r="K61" s="72">
        <v>1.01</v>
      </c>
      <c r="L61" s="72">
        <f t="shared" si="25"/>
        <v>101</v>
      </c>
      <c r="M61" s="72">
        <f>94.6-40</f>
        <v>54.599999999999994</v>
      </c>
      <c r="N61" s="88">
        <f t="shared" si="13"/>
        <v>45.940594059405946</v>
      </c>
      <c r="O61" s="72">
        <v>49.5</v>
      </c>
      <c r="P61" s="72">
        <v>0</v>
      </c>
      <c r="Q61" s="89">
        <f t="shared" si="20"/>
        <v>14.606411136163121</v>
      </c>
      <c r="S61" s="91">
        <v>-0.80776215013774555</v>
      </c>
      <c r="T61" s="91">
        <v>20.961375898282697</v>
      </c>
      <c r="U61" s="39" t="str">
        <f t="shared" si="26"/>
        <v>Normal</v>
      </c>
      <c r="V61" s="91">
        <v>0.60407013007999155</v>
      </c>
      <c r="W61" s="91">
        <v>72.71014912834957</v>
      </c>
      <c r="X61" s="39" t="str">
        <f t="shared" si="21"/>
        <v>Normal</v>
      </c>
      <c r="Y61" s="155">
        <v>-0.56603550874462716</v>
      </c>
      <c r="Z61" s="91">
        <v>28.568482111083927</v>
      </c>
      <c r="AA61" s="84" t="str">
        <f t="shared" si="22"/>
        <v>Normal</v>
      </c>
      <c r="AB61" s="60"/>
      <c r="AC61" s="60"/>
      <c r="AD61" s="39" t="str">
        <f t="shared" si="23"/>
        <v>Normal</v>
      </c>
      <c r="AE61" s="91">
        <v>-0.55208900500339464</v>
      </c>
      <c r="AF61" s="91">
        <v>29.044368728380636</v>
      </c>
      <c r="AG61" s="41" t="str">
        <f t="shared" si="19"/>
        <v>Normal</v>
      </c>
    </row>
    <row r="62" spans="1:40" ht="15.75" x14ac:dyDescent="0.25">
      <c r="A62" s="72">
        <v>59</v>
      </c>
      <c r="B62" s="86" t="s">
        <v>208</v>
      </c>
      <c r="C62" s="55">
        <v>2</v>
      </c>
      <c r="D62" s="55" t="s">
        <v>26</v>
      </c>
      <c r="E62" s="72">
        <v>1</v>
      </c>
      <c r="F62" s="56">
        <v>42936</v>
      </c>
      <c r="G62" s="56">
        <v>44460</v>
      </c>
      <c r="H62" s="72">
        <f t="shared" si="27"/>
        <v>4</v>
      </c>
      <c r="I62" s="72">
        <f t="shared" si="24"/>
        <v>50</v>
      </c>
      <c r="J62" s="72">
        <v>14.8</v>
      </c>
      <c r="K62" s="72">
        <v>0.97</v>
      </c>
      <c r="L62" s="72">
        <f t="shared" si="25"/>
        <v>97</v>
      </c>
      <c r="M62" s="72">
        <f>94.8-40</f>
        <v>54.8</v>
      </c>
      <c r="N62" s="88">
        <f t="shared" si="13"/>
        <v>43.505154639175259</v>
      </c>
      <c r="O62" s="72">
        <v>49.6</v>
      </c>
      <c r="P62" s="72">
        <v>0</v>
      </c>
      <c r="Q62" s="89">
        <f t="shared" si="20"/>
        <v>15.729620576044214</v>
      </c>
      <c r="S62" s="91">
        <v>-1.7450314915211436</v>
      </c>
      <c r="T62" s="91">
        <v>4.0489693709218688</v>
      </c>
      <c r="U62" s="39" t="str">
        <f t="shared" si="26"/>
        <v>Desnutricion</v>
      </c>
      <c r="V62" s="91">
        <v>-0.79297524302059053</v>
      </c>
      <c r="W62" s="91">
        <v>21.389612344771709</v>
      </c>
      <c r="X62" s="39" t="str">
        <f t="shared" si="21"/>
        <v>Normal</v>
      </c>
      <c r="Y62" s="155">
        <v>0.3292620327014113</v>
      </c>
      <c r="Z62" s="91">
        <v>62.902118047001863</v>
      </c>
      <c r="AA62" s="84" t="str">
        <f t="shared" si="22"/>
        <v>Normal</v>
      </c>
      <c r="AB62" s="60"/>
      <c r="AC62" s="60"/>
      <c r="AD62" s="39" t="str">
        <f t="shared" si="23"/>
        <v>Normal</v>
      </c>
      <c r="AE62" s="91">
        <v>-0.48397191616892177</v>
      </c>
      <c r="AF62" s="91">
        <v>31.420290011186648</v>
      </c>
      <c r="AG62" s="41" t="str">
        <f t="shared" si="19"/>
        <v>Normal</v>
      </c>
    </row>
    <row r="63" spans="1:40" ht="15.75" x14ac:dyDescent="0.25">
      <c r="A63" s="72">
        <v>60</v>
      </c>
      <c r="B63" s="86" t="s">
        <v>209</v>
      </c>
      <c r="C63" s="55">
        <v>2</v>
      </c>
      <c r="D63" s="55" t="s">
        <v>26</v>
      </c>
      <c r="E63" s="72">
        <v>2</v>
      </c>
      <c r="F63" s="56">
        <v>43023</v>
      </c>
      <c r="G63" s="56">
        <v>44460</v>
      </c>
      <c r="H63" s="72">
        <f t="shared" si="27"/>
        <v>3</v>
      </c>
      <c r="I63" s="72">
        <f t="shared" si="24"/>
        <v>47</v>
      </c>
      <c r="J63" s="72">
        <v>18</v>
      </c>
      <c r="K63" s="72">
        <v>1.04</v>
      </c>
      <c r="L63" s="72">
        <f t="shared" si="25"/>
        <v>104</v>
      </c>
      <c r="M63" s="72">
        <f>98.5-40</f>
        <v>58.5</v>
      </c>
      <c r="N63" s="88">
        <f t="shared" si="13"/>
        <v>43.75</v>
      </c>
      <c r="O63" s="72">
        <v>51.3</v>
      </c>
      <c r="P63" s="72">
        <v>0</v>
      </c>
      <c r="Q63" s="89">
        <f t="shared" si="20"/>
        <v>16.642011834319526</v>
      </c>
      <c r="S63" s="91">
        <v>0.43671156342683753</v>
      </c>
      <c r="T63" s="91">
        <v>66.883972894747785</v>
      </c>
      <c r="U63" s="39" t="str">
        <f t="shared" si="26"/>
        <v>Normal</v>
      </c>
      <c r="V63" s="91">
        <v>8.8472834278789214E-2</v>
      </c>
      <c r="W63" s="91">
        <v>53.524956262034983</v>
      </c>
      <c r="X63" s="39" t="str">
        <f t="shared" si="21"/>
        <v>Normal</v>
      </c>
      <c r="Y63" s="155">
        <v>0.92440627109446527</v>
      </c>
      <c r="Z63" s="91">
        <v>82.236258454923444</v>
      </c>
      <c r="AA63" s="84" t="str">
        <f t="shared" si="22"/>
        <v>Normal</v>
      </c>
      <c r="AB63" s="60"/>
      <c r="AC63" s="60"/>
      <c r="AD63" s="39" t="str">
        <f t="shared" si="23"/>
        <v>Normal</v>
      </c>
      <c r="AE63" s="91">
        <v>1.4111874171518857</v>
      </c>
      <c r="AF63" s="91">
        <v>92.090532032349486</v>
      </c>
      <c r="AG63" s="41" t="str">
        <f t="shared" si="19"/>
        <v>Arriba del promedio</v>
      </c>
    </row>
    <row r="64" spans="1:40" ht="15.75" x14ac:dyDescent="0.25">
      <c r="A64" s="72">
        <v>61</v>
      </c>
      <c r="B64" s="86" t="s">
        <v>210</v>
      </c>
      <c r="C64" s="55">
        <v>3</v>
      </c>
      <c r="D64" s="55" t="s">
        <v>7</v>
      </c>
      <c r="E64" s="72">
        <v>1</v>
      </c>
      <c r="F64" s="56">
        <v>42375</v>
      </c>
      <c r="G64" s="56">
        <v>44460</v>
      </c>
      <c r="H64" s="72">
        <f t="shared" si="27"/>
        <v>5</v>
      </c>
      <c r="I64" s="72">
        <f t="shared" si="24"/>
        <v>68</v>
      </c>
      <c r="J64" s="72">
        <v>17.7</v>
      </c>
      <c r="K64" s="72">
        <v>1.1000000000000001</v>
      </c>
      <c r="L64" s="72">
        <f t="shared" si="25"/>
        <v>110.00000000000001</v>
      </c>
      <c r="M64" s="72">
        <f>101.4-40</f>
        <v>61.400000000000006</v>
      </c>
      <c r="N64" s="88">
        <f t="shared" si="13"/>
        <v>44.18181818181818</v>
      </c>
      <c r="O64" s="72">
        <v>51.5</v>
      </c>
      <c r="P64" s="72">
        <v>0</v>
      </c>
      <c r="Q64" s="89">
        <f t="shared" si="20"/>
        <v>14.628099173553716</v>
      </c>
      <c r="S64" s="91">
        <v>-0.82001129172818532</v>
      </c>
      <c r="T64" s="91">
        <v>20.610483504763078</v>
      </c>
      <c r="U64" s="39" t="str">
        <f t="shared" si="26"/>
        <v>Normal</v>
      </c>
      <c r="V64" s="91">
        <v>-1.0918000576972411</v>
      </c>
      <c r="W64" s="91">
        <v>13.746049684741823</v>
      </c>
      <c r="X64" s="39" t="str">
        <f t="shared" si="21"/>
        <v>Normal</v>
      </c>
      <c r="Y64" s="155">
        <v>-0.44017244119898874</v>
      </c>
      <c r="Z64" s="91">
        <v>32.99061090565791</v>
      </c>
      <c r="AA64" s="84" t="str">
        <f t="shared" si="22"/>
        <v>Normal</v>
      </c>
      <c r="AB64" s="60"/>
      <c r="AC64" s="60"/>
      <c r="AD64" s="39" t="str">
        <f t="shared" si="23"/>
        <v>Normal</v>
      </c>
      <c r="AE64" s="91">
        <v>0.51012668368984326</v>
      </c>
      <c r="AF64" s="91">
        <v>69.501864393654856</v>
      </c>
      <c r="AG64" s="41" t="str">
        <f t="shared" si="19"/>
        <v>Normal</v>
      </c>
    </row>
    <row r="65" spans="1:49" ht="15.75" x14ac:dyDescent="0.25">
      <c r="A65" s="72">
        <v>62</v>
      </c>
      <c r="B65" s="86" t="s">
        <v>211</v>
      </c>
      <c r="C65" s="55">
        <v>3</v>
      </c>
      <c r="D65" s="55" t="s">
        <v>26</v>
      </c>
      <c r="E65" s="72">
        <v>1</v>
      </c>
      <c r="F65" s="56">
        <v>42557</v>
      </c>
      <c r="G65" s="56">
        <v>44460</v>
      </c>
      <c r="H65" s="72">
        <f t="shared" si="27"/>
        <v>5</v>
      </c>
      <c r="I65" s="72">
        <f t="shared" si="24"/>
        <v>62</v>
      </c>
      <c r="J65" s="72">
        <v>18.3</v>
      </c>
      <c r="K65" s="72">
        <v>1.06</v>
      </c>
      <c r="L65" s="72">
        <f t="shared" si="25"/>
        <v>106</v>
      </c>
      <c r="M65" s="72">
        <f>99.7-40</f>
        <v>59.7</v>
      </c>
      <c r="N65" s="88">
        <f t="shared" si="13"/>
        <v>43.679245283018865</v>
      </c>
      <c r="O65" s="72">
        <v>49.5</v>
      </c>
      <c r="P65" s="72">
        <v>0</v>
      </c>
      <c r="Q65" s="89">
        <f t="shared" si="20"/>
        <v>16.28693485226059</v>
      </c>
      <c r="S65" s="91">
        <v>-1.0385062363738089</v>
      </c>
      <c r="T65" s="91">
        <v>14.951721668980964</v>
      </c>
      <c r="U65" s="39" t="str">
        <f t="shared" si="26"/>
        <v>Normal</v>
      </c>
      <c r="V65" s="91">
        <v>-1.4107804186487471</v>
      </c>
      <c r="W65" s="91">
        <v>7.9154684993386946</v>
      </c>
      <c r="X65" s="39" t="str">
        <f t="shared" si="21"/>
        <v>Normal</v>
      </c>
      <c r="Y65" s="155">
        <v>0.78134151355157366</v>
      </c>
      <c r="Z65" s="91">
        <v>78.269916999077793</v>
      </c>
      <c r="AA65" s="84" t="str">
        <f t="shared" si="22"/>
        <v>Normal</v>
      </c>
      <c r="AB65" s="60"/>
      <c r="AC65" s="60"/>
      <c r="AD65" s="39" t="str">
        <f t="shared" si="23"/>
        <v>Normal</v>
      </c>
      <c r="AE65" s="91">
        <v>-0.82791051943105687</v>
      </c>
      <c r="AF65" s="91">
        <v>20.386058852410397</v>
      </c>
      <c r="AG65" s="41" t="str">
        <f t="shared" si="19"/>
        <v>Normal</v>
      </c>
    </row>
    <row r="66" spans="1:49" ht="15.75" x14ac:dyDescent="0.25">
      <c r="A66" s="72">
        <v>63</v>
      </c>
      <c r="B66" s="86" t="s">
        <v>212</v>
      </c>
      <c r="C66" s="55">
        <v>3</v>
      </c>
      <c r="D66" s="55" t="s">
        <v>26</v>
      </c>
      <c r="E66" s="72">
        <v>2</v>
      </c>
      <c r="F66" s="56">
        <v>42406</v>
      </c>
      <c r="G66" s="56">
        <v>44460</v>
      </c>
      <c r="H66" s="72">
        <f t="shared" si="27"/>
        <v>5</v>
      </c>
      <c r="I66" s="72">
        <f t="shared" si="24"/>
        <v>67</v>
      </c>
      <c r="J66" s="72">
        <v>22.4</v>
      </c>
      <c r="K66" s="72">
        <v>1.1000000000000001</v>
      </c>
      <c r="L66" s="72">
        <f t="shared" si="25"/>
        <v>110.00000000000001</v>
      </c>
      <c r="M66" s="72">
        <f>99.7-40</f>
        <v>59.7</v>
      </c>
      <c r="N66" s="88">
        <f t="shared" si="13"/>
        <v>45.727272727272734</v>
      </c>
      <c r="O66" s="72">
        <v>50.8</v>
      </c>
      <c r="P66" s="72">
        <v>0</v>
      </c>
      <c r="Q66" s="89">
        <f t="shared" si="20"/>
        <v>18.512396694214871</v>
      </c>
      <c r="S66" s="91">
        <v>-0.53904190597384583</v>
      </c>
      <c r="T66" s="91">
        <v>29.492896970855632</v>
      </c>
      <c r="U66" s="39" t="str">
        <f t="shared" si="26"/>
        <v>Normal</v>
      </c>
      <c r="V66" s="91">
        <v>-0.17615799665337031</v>
      </c>
      <c r="W66" s="91">
        <v>43.008490925281386</v>
      </c>
      <c r="X66" s="39" t="str">
        <f t="shared" si="21"/>
        <v>Normal</v>
      </c>
      <c r="Y66" s="155">
        <v>1.8603720324408091</v>
      </c>
      <c r="Z66" s="91">
        <v>96.858354563630925</v>
      </c>
      <c r="AA66" s="84" t="str">
        <f t="shared" si="22"/>
        <v>Obesidad</v>
      </c>
      <c r="AB66" s="60"/>
      <c r="AC66" s="60"/>
      <c r="AD66" s="39" t="str">
        <f t="shared" si="23"/>
        <v>Normal</v>
      </c>
      <c r="AE66" s="91">
        <v>0.50254838498722298</v>
      </c>
      <c r="AF66" s="91">
        <v>69.23590869383078</v>
      </c>
      <c r="AG66" s="41" t="str">
        <f t="shared" si="19"/>
        <v>Normal</v>
      </c>
    </row>
    <row r="67" spans="1:49" ht="15.75" x14ac:dyDescent="0.25">
      <c r="A67" s="72">
        <v>64</v>
      </c>
      <c r="B67" s="86" t="s">
        <v>213</v>
      </c>
      <c r="C67" s="55">
        <v>3</v>
      </c>
      <c r="D67" s="55" t="s">
        <v>26</v>
      </c>
      <c r="E67" s="72">
        <v>2</v>
      </c>
      <c r="F67" s="56">
        <v>42704</v>
      </c>
      <c r="G67" s="56">
        <v>44460</v>
      </c>
      <c r="H67" s="72">
        <f t="shared" si="27"/>
        <v>4</v>
      </c>
      <c r="I67" s="72">
        <f t="shared" si="24"/>
        <v>57</v>
      </c>
      <c r="J67" s="72">
        <v>16.3</v>
      </c>
      <c r="K67" s="72">
        <v>1.03</v>
      </c>
      <c r="L67" s="72">
        <f t="shared" si="25"/>
        <v>103</v>
      </c>
      <c r="M67" s="72">
        <f>96.5-40</f>
        <v>56.5</v>
      </c>
      <c r="N67" s="88">
        <f t="shared" si="13"/>
        <v>45.145631067961169</v>
      </c>
      <c r="O67" s="72">
        <v>51</v>
      </c>
      <c r="P67" s="72">
        <v>0</v>
      </c>
      <c r="Q67" s="89">
        <f t="shared" si="20"/>
        <v>15.364313318880198</v>
      </c>
      <c r="S67" s="91">
        <v>-1.0377739719681649</v>
      </c>
      <c r="T67" s="91">
        <v>14.968764857034254</v>
      </c>
      <c r="U67" s="39" t="str">
        <f t="shared" si="26"/>
        <v>Normal</v>
      </c>
      <c r="V67" s="91">
        <v>0.13415331189828822</v>
      </c>
      <c r="W67" s="91">
        <v>55.335932809771712</v>
      </c>
      <c r="X67" s="39" t="str">
        <f t="shared" si="21"/>
        <v>Normal</v>
      </c>
      <c r="Y67" s="155">
        <v>6.9539297280642759E-2</v>
      </c>
      <c r="Z67" s="91">
        <v>52.771982318081214</v>
      </c>
      <c r="AA67" s="84" t="str">
        <f t="shared" si="22"/>
        <v>Normal</v>
      </c>
      <c r="AB67" s="60"/>
      <c r="AC67" s="60"/>
      <c r="AD67" s="39" t="str">
        <f t="shared" si="23"/>
        <v>Normal</v>
      </c>
      <c r="AE67" s="91">
        <v>0.82765062199498152</v>
      </c>
      <c r="AF67" s="91">
        <v>79.606580461752074</v>
      </c>
      <c r="AG67" s="41" t="str">
        <f t="shared" si="19"/>
        <v>Normal</v>
      </c>
    </row>
    <row r="68" spans="1:49" ht="15.75" x14ac:dyDescent="0.25">
      <c r="A68" s="72">
        <v>65</v>
      </c>
      <c r="B68" s="86" t="s">
        <v>214</v>
      </c>
      <c r="C68" s="55">
        <v>3</v>
      </c>
      <c r="D68" s="55" t="s">
        <v>26</v>
      </c>
      <c r="E68" s="72">
        <v>2</v>
      </c>
      <c r="F68" s="56">
        <v>42453</v>
      </c>
      <c r="G68" s="56">
        <v>44460</v>
      </c>
      <c r="H68" s="72">
        <f t="shared" si="27"/>
        <v>5</v>
      </c>
      <c r="I68" s="72">
        <f t="shared" si="24"/>
        <v>65</v>
      </c>
      <c r="J68" s="72">
        <v>27.4</v>
      </c>
      <c r="K68" s="72">
        <v>1.1299999999999999</v>
      </c>
      <c r="L68" s="72">
        <f t="shared" si="25"/>
        <v>112.99999999999999</v>
      </c>
      <c r="M68" s="72">
        <f>102.4-40</f>
        <v>62.400000000000006</v>
      </c>
      <c r="N68" s="88">
        <f t="shared" si="13"/>
        <v>44.778761061946895</v>
      </c>
      <c r="O68" s="72">
        <v>54</v>
      </c>
      <c r="P68" s="72">
        <v>0</v>
      </c>
      <c r="Q68" s="89">
        <f t="shared" si="20"/>
        <v>21.45821912444201</v>
      </c>
      <c r="S68" s="91">
        <v>0.27138307274275447</v>
      </c>
      <c r="T68" s="91">
        <v>60.695179014747936</v>
      </c>
      <c r="U68" s="39" t="str">
        <f t="shared" si="26"/>
        <v>Normal</v>
      </c>
      <c r="V68" s="91">
        <v>-0.77591558138104666</v>
      </c>
      <c r="W68" s="91">
        <v>21.88994160110752</v>
      </c>
      <c r="X68" s="39" t="str">
        <f t="shared" si="21"/>
        <v>Normal</v>
      </c>
      <c r="Y68" s="155">
        <v>3.1575253316033551</v>
      </c>
      <c r="Z68" s="91">
        <v>99.920442794214324</v>
      </c>
      <c r="AA68" s="84" t="str">
        <f t="shared" si="22"/>
        <v>Obesidad</v>
      </c>
      <c r="AB68" s="60"/>
      <c r="AC68" s="60"/>
      <c r="AD68" s="39" t="str">
        <f t="shared" si="23"/>
        <v>Normal</v>
      </c>
      <c r="AE68" s="91">
        <v>2.3360392434516153</v>
      </c>
      <c r="AF68" s="91">
        <v>99.025540183629644</v>
      </c>
      <c r="AG68" s="41" t="str">
        <f t="shared" si="19"/>
        <v>Grande</v>
      </c>
    </row>
    <row r="69" spans="1:49" ht="15.75" x14ac:dyDescent="0.25">
      <c r="A69" s="72">
        <v>66</v>
      </c>
      <c r="B69" s="86" t="s">
        <v>215</v>
      </c>
      <c r="C69" s="55">
        <v>3</v>
      </c>
      <c r="D69" s="55" t="s">
        <v>26</v>
      </c>
      <c r="E69" s="72">
        <v>1</v>
      </c>
      <c r="F69" s="56">
        <v>43048</v>
      </c>
      <c r="G69" s="56">
        <v>44460</v>
      </c>
      <c r="H69" s="72">
        <f t="shared" si="27"/>
        <v>3</v>
      </c>
      <c r="I69" s="72">
        <f t="shared" si="24"/>
        <v>46</v>
      </c>
      <c r="J69" s="72">
        <v>17.100000000000001</v>
      </c>
      <c r="K69" s="72">
        <v>1.06</v>
      </c>
      <c r="L69" s="72">
        <f t="shared" si="25"/>
        <v>106</v>
      </c>
      <c r="M69" s="72">
        <f>100.8-40</f>
        <v>60.8</v>
      </c>
      <c r="N69" s="88">
        <f t="shared" si="13"/>
        <v>42.641509433962263</v>
      </c>
      <c r="O69" s="72">
        <v>51.3</v>
      </c>
      <c r="P69" s="72">
        <v>0</v>
      </c>
      <c r="Q69" s="89">
        <f t="shared" si="20"/>
        <v>15.218939124243501</v>
      </c>
      <c r="S69" s="91">
        <v>0.92408821238438821</v>
      </c>
      <c r="T69" s="91">
        <v>82.227980500563646</v>
      </c>
      <c r="U69" s="39" t="str">
        <f t="shared" si="26"/>
        <v>Normal</v>
      </c>
      <c r="V69" s="91">
        <v>-0.35100224723945178</v>
      </c>
      <c r="W69" s="91">
        <v>36.279333124031787</v>
      </c>
      <c r="X69" s="39" t="str">
        <f t="shared" si="21"/>
        <v>Normal</v>
      </c>
      <c r="Y69" s="155">
        <v>-0.11719707396863781</v>
      </c>
      <c r="Z69" s="91">
        <v>45.335194278819635</v>
      </c>
      <c r="AA69" s="84" t="str">
        <f t="shared" si="22"/>
        <v>Normal</v>
      </c>
      <c r="AB69" s="60"/>
      <c r="AC69" s="60"/>
      <c r="AD69" s="39" t="str">
        <f t="shared" si="23"/>
        <v>Normal</v>
      </c>
      <c r="AE69" s="91">
        <v>0.81972843276087459</v>
      </c>
      <c r="AF69" s="91">
        <v>79.381453125893103</v>
      </c>
      <c r="AG69" s="41" t="str">
        <f t="shared" si="19"/>
        <v>Normal</v>
      </c>
      <c r="AN69" s="110"/>
      <c r="AO69" s="110"/>
    </row>
    <row r="70" spans="1:49" x14ac:dyDescent="0.25">
      <c r="A70" s="72"/>
      <c r="AN70" s="110"/>
      <c r="AO70" s="110"/>
    </row>
    <row r="71" spans="1:49" x14ac:dyDescent="0.25">
      <c r="A71" s="72"/>
      <c r="AN71" s="106"/>
      <c r="AO71" s="106"/>
    </row>
    <row r="72" spans="1:49" ht="18.75" x14ac:dyDescent="0.25">
      <c r="A72" s="144"/>
      <c r="B72" s="145"/>
      <c r="C72" s="130"/>
      <c r="D72" s="130"/>
      <c r="E72" s="145"/>
      <c r="F72" s="130"/>
      <c r="G72" s="146"/>
      <c r="H72" s="145"/>
      <c r="I72" s="144"/>
      <c r="J72" s="145"/>
      <c r="K72" s="145"/>
      <c r="L72" s="145"/>
      <c r="M72" s="144"/>
      <c r="N72" s="147"/>
      <c r="O72" s="145"/>
      <c r="P72" s="144"/>
      <c r="Q72" s="145"/>
      <c r="R72" s="130"/>
      <c r="S72" s="130"/>
      <c r="T72" s="130"/>
      <c r="X72" s="39"/>
      <c r="Y72" s="34"/>
      <c r="Z72" s="34"/>
      <c r="AA72" s="84"/>
      <c r="AE72" s="34"/>
      <c r="AF72" s="34"/>
      <c r="AG72" s="41"/>
      <c r="AW72" s="104"/>
    </row>
    <row r="73" spans="1:49" x14ac:dyDescent="0.25">
      <c r="A73" s="144"/>
      <c r="B73" s="130"/>
      <c r="C73" s="127"/>
      <c r="D73" s="130"/>
      <c r="E73" s="144"/>
      <c r="F73" s="130"/>
      <c r="G73" s="130"/>
      <c r="H73" s="144"/>
      <c r="I73" s="145"/>
      <c r="J73" s="145"/>
      <c r="K73" s="145"/>
      <c r="L73" s="145"/>
      <c r="M73" s="145"/>
      <c r="N73" s="145"/>
      <c r="O73" s="145"/>
      <c r="P73" s="145"/>
      <c r="Q73" s="145"/>
      <c r="R73" s="130"/>
      <c r="S73" s="130"/>
      <c r="T73" s="130"/>
      <c r="AA73" s="85"/>
      <c r="AB73" s="11"/>
      <c r="AC73" s="11"/>
      <c r="AD73" s="11"/>
      <c r="AE73" s="11"/>
      <c r="AF73" s="11"/>
      <c r="AG73" s="11"/>
      <c r="AH73" s="11"/>
      <c r="AI73" s="11"/>
      <c r="AJ73" s="11"/>
    </row>
    <row r="74" spans="1:49" x14ac:dyDescent="0.25">
      <c r="A74" s="145"/>
      <c r="B74" s="148"/>
      <c r="C74" s="149"/>
      <c r="D74" s="130"/>
      <c r="E74" s="144"/>
      <c r="F74" s="130"/>
      <c r="G74" s="130"/>
      <c r="H74" s="144"/>
      <c r="I74" s="145"/>
      <c r="J74" s="145"/>
      <c r="K74" s="145"/>
      <c r="L74" s="145"/>
      <c r="M74" s="145"/>
      <c r="N74" s="145"/>
      <c r="O74" s="145"/>
      <c r="P74" s="145"/>
      <c r="Q74" s="145"/>
      <c r="R74" s="130"/>
      <c r="S74" s="130"/>
      <c r="T74" s="130"/>
      <c r="U74" s="7"/>
      <c r="V74" s="7"/>
      <c r="W74" s="120"/>
      <c r="X74" s="120"/>
      <c r="Y74" s="120"/>
      <c r="Z74" s="5"/>
      <c r="AA74" s="120"/>
      <c r="AB74" s="120"/>
      <c r="AC74" s="120"/>
      <c r="AD74" s="120"/>
      <c r="AE74" s="120"/>
      <c r="AF74" s="120"/>
      <c r="AG74" s="11"/>
      <c r="AH74" s="11"/>
      <c r="AI74" s="11"/>
      <c r="AJ74" s="11"/>
    </row>
    <row r="75" spans="1:49" x14ac:dyDescent="0.25">
      <c r="A75" s="145"/>
      <c r="B75" s="150"/>
      <c r="C75" s="130"/>
      <c r="D75" s="130"/>
      <c r="E75" s="145"/>
      <c r="F75" s="130"/>
      <c r="G75" s="130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30"/>
      <c r="S75" s="130"/>
      <c r="T75" s="130"/>
      <c r="U75" s="7"/>
      <c r="V75" s="11"/>
      <c r="W75" s="7"/>
      <c r="X75" s="7"/>
      <c r="Y75" s="7"/>
      <c r="Z75" s="5"/>
      <c r="AA75" s="97"/>
      <c r="AB75" s="105"/>
      <c r="AC75" s="11"/>
      <c r="AD75" s="97"/>
      <c r="AE75" s="105"/>
      <c r="AF75" s="15"/>
      <c r="AG75" s="97"/>
      <c r="AH75" s="105"/>
      <c r="AI75" s="15"/>
      <c r="AJ75" s="11"/>
    </row>
    <row r="76" spans="1:49" x14ac:dyDescent="0.25">
      <c r="A76" s="145"/>
      <c r="B76" s="145"/>
      <c r="C76" s="151"/>
      <c r="D76" s="130"/>
      <c r="E76" s="152"/>
      <c r="F76" s="130"/>
      <c r="G76" s="130"/>
      <c r="H76" s="152"/>
      <c r="I76" s="145"/>
      <c r="J76" s="128"/>
      <c r="K76" s="128"/>
      <c r="L76" s="145"/>
      <c r="M76" s="128"/>
      <c r="N76" s="128"/>
      <c r="O76" s="145"/>
      <c r="P76" s="128"/>
      <c r="Q76" s="128"/>
      <c r="R76" s="130"/>
      <c r="S76" s="130"/>
      <c r="T76" s="130"/>
      <c r="U76" s="7"/>
      <c r="V76" s="7"/>
      <c r="W76" s="7"/>
      <c r="X76" s="7"/>
      <c r="Y76" s="7"/>
      <c r="Z76" s="5"/>
      <c r="AA76" s="11"/>
      <c r="AB76" s="11"/>
      <c r="AC76" s="11"/>
      <c r="AD76" s="42"/>
      <c r="AE76" s="19"/>
      <c r="AF76" s="37"/>
      <c r="AG76" s="11"/>
      <c r="AH76" s="19"/>
      <c r="AI76" s="37"/>
      <c r="AJ76" s="11"/>
    </row>
    <row r="77" spans="1:49" x14ac:dyDescent="0.25">
      <c r="A77" s="145"/>
      <c r="B77" s="145"/>
      <c r="C77" s="151"/>
      <c r="D77" s="130"/>
      <c r="E77" s="152"/>
      <c r="F77" s="130"/>
      <c r="G77" s="130"/>
      <c r="H77" s="152"/>
      <c r="I77" s="145"/>
      <c r="J77" s="126"/>
      <c r="K77" s="126"/>
      <c r="L77" s="145"/>
      <c r="M77" s="126"/>
      <c r="N77" s="126"/>
      <c r="O77" s="145"/>
      <c r="P77" s="126"/>
      <c r="Q77" s="126"/>
      <c r="R77" s="130"/>
      <c r="S77" s="130"/>
      <c r="T77" s="130"/>
      <c r="U77" s="7"/>
      <c r="V77" s="7"/>
      <c r="W77" s="7"/>
      <c r="X77" s="7"/>
      <c r="Y77" s="7"/>
      <c r="Z77" s="5"/>
      <c r="AA77" s="97"/>
      <c r="AB77" s="42"/>
      <c r="AC77" s="11"/>
      <c r="AD77" s="122"/>
      <c r="AE77" s="19"/>
      <c r="AF77" s="37"/>
      <c r="AG77" s="97"/>
      <c r="AH77" s="19"/>
      <c r="AI77" s="37"/>
      <c r="AJ77" s="11"/>
    </row>
    <row r="78" spans="1:49" x14ac:dyDescent="0.25">
      <c r="A78" s="130"/>
      <c r="B78" s="148"/>
      <c r="C78" s="130"/>
      <c r="D78" s="130"/>
      <c r="E78" s="130"/>
      <c r="F78" s="130"/>
      <c r="G78" s="130"/>
      <c r="H78" s="130"/>
      <c r="I78" s="130"/>
      <c r="J78" s="126"/>
      <c r="K78" s="126"/>
      <c r="L78" s="135"/>
      <c r="M78" s="126"/>
      <c r="N78" s="126"/>
      <c r="O78" s="126"/>
      <c r="P78" s="126"/>
      <c r="Q78" s="126"/>
      <c r="R78" s="134"/>
      <c r="S78" s="130"/>
      <c r="T78" s="130"/>
      <c r="U78" s="7"/>
      <c r="V78" s="7"/>
      <c r="W78" s="7"/>
      <c r="X78" s="123"/>
      <c r="Y78" s="97"/>
      <c r="Z78" s="5"/>
      <c r="AA78" s="11"/>
      <c r="AB78" s="97"/>
      <c r="AC78" s="11"/>
      <c r="AD78" s="37"/>
      <c r="AE78" s="97"/>
      <c r="AF78" s="99"/>
      <c r="AG78" s="7"/>
      <c r="AH78" s="97"/>
      <c r="AI78" s="121"/>
      <c r="AJ78" s="11"/>
    </row>
    <row r="79" spans="1:49" x14ac:dyDescent="0.25">
      <c r="A79" s="130"/>
      <c r="B79" s="145"/>
      <c r="C79" s="130"/>
      <c r="D79" s="130"/>
      <c r="E79" s="153"/>
      <c r="F79" s="130"/>
      <c r="G79" s="130"/>
      <c r="H79" s="130"/>
      <c r="I79" s="130"/>
      <c r="J79" s="126"/>
      <c r="K79" s="126"/>
      <c r="L79" s="154"/>
      <c r="M79" s="126"/>
      <c r="N79" s="126"/>
      <c r="O79" s="130"/>
      <c r="P79" s="126"/>
      <c r="Q79" s="126"/>
      <c r="R79" s="130"/>
      <c r="S79" s="130"/>
      <c r="T79" s="130"/>
      <c r="U79" s="7"/>
      <c r="V79" s="7"/>
      <c r="W79" s="7"/>
      <c r="X79" s="123"/>
      <c r="Y79" s="97"/>
      <c r="Z79" s="5"/>
      <c r="AA79" s="11"/>
      <c r="AB79" s="97"/>
      <c r="AC79" s="43"/>
      <c r="AD79" s="37"/>
      <c r="AE79" s="97"/>
      <c r="AF79" s="99"/>
      <c r="AG79" s="7"/>
      <c r="AH79" s="97"/>
      <c r="AI79" s="121"/>
      <c r="AJ79" s="11"/>
    </row>
    <row r="80" spans="1:49" x14ac:dyDescent="0.25">
      <c r="A80" s="130"/>
      <c r="B80" s="145"/>
      <c r="C80" s="153"/>
      <c r="D80" s="130"/>
      <c r="E80" s="153"/>
      <c r="F80" s="130"/>
      <c r="G80" s="130"/>
      <c r="H80" s="153"/>
      <c r="I80" s="130"/>
      <c r="J80" s="126"/>
      <c r="K80" s="126"/>
      <c r="L80" s="154"/>
      <c r="M80" s="126"/>
      <c r="N80" s="126"/>
      <c r="O80" s="130"/>
      <c r="P80" s="126"/>
      <c r="Q80" s="126"/>
      <c r="R80" s="130"/>
      <c r="S80" s="130"/>
      <c r="T80" s="130"/>
      <c r="U80" s="7"/>
      <c r="V80" s="7"/>
      <c r="W80" s="7"/>
      <c r="X80" s="123"/>
      <c r="Y80" s="97"/>
      <c r="Z80" s="5"/>
      <c r="AA80" s="11"/>
      <c r="AB80" s="97"/>
      <c r="AC80" s="43"/>
      <c r="AD80" s="37"/>
      <c r="AE80" s="97"/>
      <c r="AF80" s="99"/>
      <c r="AG80" s="7"/>
      <c r="AH80" s="97"/>
      <c r="AI80" s="121"/>
      <c r="AJ80" s="11"/>
      <c r="AM80" s="103"/>
    </row>
    <row r="81" spans="1:40" x14ac:dyDescent="0.25">
      <c r="A81" s="130"/>
      <c r="B81" s="145"/>
      <c r="C81" s="153"/>
      <c r="D81" s="130"/>
      <c r="E81" s="153"/>
      <c r="F81" s="130"/>
      <c r="G81" s="130"/>
      <c r="H81" s="153"/>
      <c r="I81" s="130"/>
      <c r="J81" s="126"/>
      <c r="K81" s="126"/>
      <c r="L81" s="154"/>
      <c r="M81" s="126"/>
      <c r="N81" s="126"/>
      <c r="O81" s="130"/>
      <c r="P81" s="126"/>
      <c r="Q81" s="126"/>
      <c r="R81" s="130"/>
      <c r="S81" s="130"/>
      <c r="T81" s="130"/>
      <c r="U81" s="7"/>
      <c r="V81" s="7"/>
      <c r="W81" s="7"/>
      <c r="X81" s="123"/>
      <c r="Y81" s="97"/>
      <c r="Z81" s="5"/>
      <c r="AA81" s="11"/>
      <c r="AB81" s="42"/>
      <c r="AC81" s="42"/>
      <c r="AD81" s="19"/>
      <c r="AE81" s="42"/>
      <c r="AF81" s="99"/>
      <c r="AG81" s="7"/>
      <c r="AH81" s="97"/>
      <c r="AI81" s="121"/>
      <c r="AJ81" s="11"/>
    </row>
    <row r="82" spans="1:40" x14ac:dyDescent="0.25">
      <c r="A82" s="130"/>
      <c r="B82" s="145"/>
      <c r="C82" s="153"/>
      <c r="D82" s="130"/>
      <c r="E82" s="153"/>
      <c r="F82" s="130"/>
      <c r="G82" s="130"/>
      <c r="H82" s="153"/>
      <c r="I82" s="130"/>
      <c r="J82" s="126"/>
      <c r="K82" s="126"/>
      <c r="L82" s="135"/>
      <c r="M82" s="126"/>
      <c r="N82" s="126"/>
      <c r="O82" s="134"/>
      <c r="P82" s="126"/>
      <c r="Q82" s="126"/>
      <c r="R82" s="134"/>
      <c r="S82" s="130"/>
      <c r="T82" s="130"/>
      <c r="U82" s="7"/>
      <c r="V82" s="7"/>
      <c r="W82" s="7"/>
      <c r="X82" s="7"/>
      <c r="Y82" s="7"/>
      <c r="Z82" s="5"/>
      <c r="AA82" s="11"/>
      <c r="AB82" s="42"/>
      <c r="AC82" s="42"/>
      <c r="AD82" s="19"/>
      <c r="AE82" s="42"/>
      <c r="AF82" s="37"/>
      <c r="AG82" s="11"/>
      <c r="AH82" s="11"/>
      <c r="AI82" s="11"/>
      <c r="AJ82" s="11"/>
    </row>
    <row r="83" spans="1:40" x14ac:dyDescent="0.25">
      <c r="A83" s="130"/>
      <c r="B83" s="145"/>
      <c r="C83" s="130"/>
      <c r="D83" s="130"/>
      <c r="E83" s="153"/>
      <c r="F83" s="130"/>
      <c r="G83" s="130"/>
      <c r="H83" s="153"/>
      <c r="I83" s="130"/>
      <c r="J83" s="126"/>
      <c r="K83" s="126"/>
      <c r="L83" s="130"/>
      <c r="M83" s="126"/>
      <c r="N83" s="126"/>
      <c r="O83" s="130"/>
      <c r="P83" s="126"/>
      <c r="Q83" s="126"/>
      <c r="R83" s="130"/>
      <c r="S83" s="130"/>
      <c r="T83" s="130"/>
      <c r="U83" s="7"/>
      <c r="V83" s="7"/>
      <c r="W83" s="7"/>
      <c r="X83" s="7"/>
      <c r="Y83" s="7"/>
      <c r="Z83" s="5"/>
      <c r="AA83" s="11"/>
      <c r="AB83" s="42"/>
      <c r="AC83" s="42"/>
      <c r="AD83" s="19"/>
      <c r="AE83" s="42"/>
      <c r="AF83" s="37"/>
      <c r="AG83" s="11"/>
      <c r="AH83" s="11"/>
      <c r="AI83" s="11"/>
      <c r="AJ83" s="11"/>
      <c r="AM83" s="34"/>
      <c r="AN83" s="34"/>
    </row>
    <row r="84" spans="1:40" x14ac:dyDescent="0.25">
      <c r="A84" s="130"/>
      <c r="B84" s="150"/>
      <c r="C84" s="130"/>
      <c r="D84" s="130"/>
      <c r="E84" s="130"/>
      <c r="F84" s="130"/>
      <c r="G84" s="130"/>
      <c r="H84" s="130"/>
      <c r="I84" s="130"/>
      <c r="J84" s="126"/>
      <c r="K84" s="126"/>
      <c r="L84" s="130"/>
      <c r="M84" s="126"/>
      <c r="N84" s="126"/>
      <c r="O84" s="130"/>
      <c r="P84" s="126"/>
      <c r="Q84" s="126"/>
      <c r="R84" s="130"/>
      <c r="S84" s="130"/>
      <c r="T84" s="130"/>
      <c r="U84" s="7"/>
      <c r="V84" s="7"/>
      <c r="W84" s="120"/>
      <c r="X84" s="120"/>
      <c r="Y84" s="120"/>
      <c r="Z84" s="5"/>
      <c r="AA84" s="120"/>
      <c r="AB84" s="120"/>
      <c r="AC84" s="120"/>
      <c r="AD84" s="120"/>
      <c r="AE84" s="120"/>
      <c r="AF84" s="120"/>
      <c r="AG84" s="11"/>
      <c r="AH84" s="11"/>
      <c r="AI84" s="11"/>
      <c r="AJ84" s="11"/>
      <c r="AM84" s="34"/>
      <c r="AN84" s="110"/>
    </row>
    <row r="85" spans="1:40" x14ac:dyDescent="0.25">
      <c r="A85" s="130"/>
      <c r="B85" s="145"/>
      <c r="C85" s="153"/>
      <c r="D85" s="130"/>
      <c r="E85" s="153"/>
      <c r="F85" s="130"/>
      <c r="G85" s="130"/>
      <c r="H85" s="153"/>
      <c r="I85" s="130"/>
      <c r="J85" s="126"/>
      <c r="K85" s="126"/>
      <c r="L85" s="130"/>
      <c r="M85" s="126"/>
      <c r="N85" s="126"/>
      <c r="O85" s="130"/>
      <c r="P85" s="126"/>
      <c r="Q85" s="126"/>
      <c r="R85" s="130"/>
      <c r="S85" s="130"/>
      <c r="T85" s="130"/>
      <c r="U85" s="7"/>
      <c r="V85" s="7"/>
      <c r="W85" s="7"/>
      <c r="X85" s="7"/>
      <c r="Y85" s="7"/>
      <c r="Z85" s="5"/>
      <c r="AA85" s="11"/>
      <c r="AB85" s="42"/>
      <c r="AC85" s="42"/>
      <c r="AD85" s="19"/>
      <c r="AE85" s="42"/>
      <c r="AF85" s="37"/>
      <c r="AG85" s="11"/>
      <c r="AH85" s="11"/>
      <c r="AI85" s="11"/>
      <c r="AJ85" s="11"/>
      <c r="AM85" s="34"/>
      <c r="AN85" s="110"/>
    </row>
    <row r="86" spans="1:40" x14ac:dyDescent="0.25">
      <c r="A86" s="130"/>
      <c r="B86" s="145"/>
      <c r="C86" s="153"/>
      <c r="D86" s="130"/>
      <c r="E86" s="153"/>
      <c r="F86" s="130"/>
      <c r="G86" s="130"/>
      <c r="H86" s="153"/>
      <c r="I86" s="130"/>
      <c r="J86" s="126"/>
      <c r="K86" s="126"/>
      <c r="L86" s="130"/>
      <c r="M86" s="126"/>
      <c r="N86" s="126"/>
      <c r="O86" s="130"/>
      <c r="P86" s="126"/>
      <c r="Q86" s="126"/>
      <c r="R86" s="130"/>
      <c r="S86" s="130"/>
      <c r="T86" s="130"/>
      <c r="U86" s="7"/>
      <c r="V86" s="7"/>
      <c r="W86" s="7"/>
      <c r="X86" s="7"/>
      <c r="Y86" s="7"/>
      <c r="Z86" s="5"/>
      <c r="AA86" s="97"/>
      <c r="AB86" s="105"/>
      <c r="AC86" s="11"/>
      <c r="AD86" s="97"/>
      <c r="AE86" s="105"/>
      <c r="AF86" s="15"/>
      <c r="AG86" s="97"/>
      <c r="AH86" s="105"/>
      <c r="AI86" s="15"/>
      <c r="AJ86" s="11"/>
    </row>
    <row r="87" spans="1:40" x14ac:dyDescent="0.25">
      <c r="A87" s="130"/>
      <c r="B87" s="150"/>
      <c r="C87" s="130"/>
      <c r="D87" s="130"/>
      <c r="E87" s="130"/>
      <c r="F87" s="130"/>
      <c r="G87" s="130"/>
      <c r="H87" s="130"/>
      <c r="I87" s="130"/>
      <c r="J87" s="126"/>
      <c r="K87" s="126"/>
      <c r="L87" s="130"/>
      <c r="M87" s="126"/>
      <c r="N87" s="126"/>
      <c r="O87" s="130"/>
      <c r="P87" s="126"/>
      <c r="Q87" s="126"/>
      <c r="R87" s="130"/>
      <c r="S87" s="130"/>
      <c r="T87" s="130"/>
      <c r="U87" s="7"/>
      <c r="V87" s="7"/>
      <c r="W87" s="7"/>
      <c r="X87" s="7"/>
      <c r="Y87" s="121"/>
      <c r="Z87" s="5"/>
      <c r="AA87" s="11"/>
      <c r="AB87" s="11"/>
      <c r="AC87" s="11"/>
      <c r="AD87" s="42"/>
      <c r="AE87" s="19"/>
      <c r="AF87" s="37"/>
      <c r="AG87" s="11"/>
      <c r="AH87" s="19"/>
      <c r="AI87" s="37"/>
      <c r="AJ87" s="11"/>
    </row>
    <row r="88" spans="1:40" x14ac:dyDescent="0.25">
      <c r="A88" s="130"/>
      <c r="B88" s="145"/>
      <c r="C88" s="130"/>
      <c r="D88" s="130"/>
      <c r="E88" s="153"/>
      <c r="F88" s="130"/>
      <c r="G88" s="130"/>
      <c r="H88" s="153"/>
      <c r="I88" s="130"/>
      <c r="J88" s="126"/>
      <c r="K88" s="126"/>
      <c r="L88" s="130"/>
      <c r="M88" s="126"/>
      <c r="N88" s="126"/>
      <c r="O88" s="130"/>
      <c r="P88" s="126"/>
      <c r="Q88" s="126"/>
      <c r="R88" s="130"/>
      <c r="S88" s="130"/>
      <c r="T88" s="130"/>
      <c r="U88" s="7"/>
      <c r="V88" s="7"/>
      <c r="W88" s="7"/>
      <c r="X88" s="7"/>
      <c r="Y88" s="121"/>
      <c r="Z88" s="5"/>
      <c r="AA88" s="97"/>
      <c r="AB88" s="42"/>
      <c r="AC88" s="11"/>
      <c r="AD88" s="122"/>
      <c r="AE88" s="19"/>
      <c r="AF88" s="37"/>
      <c r="AG88" s="97"/>
      <c r="AH88" s="19"/>
      <c r="AI88" s="37"/>
      <c r="AJ88" s="11"/>
    </row>
    <row r="89" spans="1:40" x14ac:dyDescent="0.25">
      <c r="A89" s="130"/>
      <c r="B89" s="145"/>
      <c r="C89" s="151"/>
      <c r="D89" s="130"/>
      <c r="E89" s="153"/>
      <c r="F89" s="130"/>
      <c r="G89" s="130"/>
      <c r="H89" s="153"/>
      <c r="I89" s="130"/>
      <c r="J89" s="126"/>
      <c r="K89" s="126"/>
      <c r="L89" s="130"/>
      <c r="M89" s="126"/>
      <c r="N89" s="126"/>
      <c r="O89" s="130"/>
      <c r="P89" s="126"/>
      <c r="Q89" s="126"/>
      <c r="R89" s="130"/>
      <c r="S89" s="130"/>
      <c r="T89" s="130"/>
      <c r="U89" s="7"/>
      <c r="V89" s="7"/>
      <c r="W89" s="7"/>
      <c r="X89" s="7"/>
      <c r="Y89" s="7"/>
      <c r="Z89" s="5"/>
      <c r="AA89" s="11"/>
      <c r="AB89" s="97"/>
      <c r="AC89" s="43"/>
      <c r="AD89" s="37"/>
      <c r="AE89" s="97"/>
      <c r="AF89" s="99"/>
      <c r="AG89" s="7"/>
      <c r="AH89" s="97"/>
      <c r="AI89" s="99"/>
      <c r="AJ89" s="11"/>
      <c r="AL89" s="222"/>
      <c r="AM89" s="222"/>
      <c r="AN89" s="15"/>
    </row>
    <row r="90" spans="1:40" x14ac:dyDescent="0.25">
      <c r="A90" s="130"/>
      <c r="B90" s="145"/>
      <c r="C90" s="130"/>
      <c r="D90" s="130"/>
      <c r="E90" s="153"/>
      <c r="F90" s="130"/>
      <c r="G90" s="130"/>
      <c r="H90" s="130"/>
      <c r="I90" s="130"/>
      <c r="J90" s="126"/>
      <c r="K90" s="126"/>
      <c r="L90" s="130"/>
      <c r="M90" s="126"/>
      <c r="N90" s="126"/>
      <c r="O90" s="130"/>
      <c r="P90" s="126"/>
      <c r="Q90" s="126"/>
      <c r="R90" s="130"/>
      <c r="S90" s="130"/>
      <c r="T90" s="130"/>
      <c r="U90" s="7"/>
      <c r="V90" s="7"/>
      <c r="W90" s="7"/>
      <c r="X90" s="7"/>
      <c r="Y90" s="7"/>
      <c r="Z90" s="5"/>
      <c r="AA90" s="11"/>
      <c r="AB90" s="97"/>
      <c r="AC90" s="43"/>
      <c r="AD90" s="37"/>
      <c r="AE90" s="97"/>
      <c r="AF90" s="99"/>
      <c r="AG90" s="7"/>
      <c r="AH90" s="97"/>
      <c r="AI90" s="99"/>
      <c r="AJ90" s="11"/>
      <c r="AM90" s="107"/>
      <c r="AN90" s="37"/>
    </row>
    <row r="91" spans="1:40" x14ac:dyDescent="0.25">
      <c r="A91" s="130"/>
      <c r="B91" s="150"/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1"/>
      <c r="V91" s="37"/>
      <c r="W91" s="37"/>
      <c r="X91" s="37"/>
      <c r="Y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M91" s="108"/>
      <c r="AN91" s="37"/>
    </row>
    <row r="92" spans="1:40" x14ac:dyDescent="0.25">
      <c r="A92" s="130"/>
      <c r="B92" s="145"/>
      <c r="C92" s="153"/>
      <c r="D92" s="130"/>
      <c r="E92" s="153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1"/>
      <c r="V92" s="37"/>
      <c r="W92" s="37"/>
      <c r="X92" s="37"/>
      <c r="Y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M92" s="108"/>
      <c r="AN92" s="99"/>
    </row>
    <row r="93" spans="1:40" x14ac:dyDescent="0.25">
      <c r="A93" s="130"/>
      <c r="B93" s="145"/>
      <c r="C93" s="130"/>
      <c r="D93" s="130"/>
      <c r="E93" s="153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AM93" s="108"/>
      <c r="AN93" s="99"/>
    </row>
    <row r="94" spans="1:40" x14ac:dyDescent="0.25">
      <c r="A94" s="130"/>
      <c r="B94" s="145"/>
      <c r="C94" s="153"/>
      <c r="D94" s="130"/>
      <c r="E94" s="153"/>
      <c r="F94" s="130"/>
      <c r="G94" s="130"/>
      <c r="H94" s="153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AL94" s="11"/>
      <c r="AM94" s="97"/>
      <c r="AN94" s="99"/>
    </row>
    <row r="95" spans="1:40" x14ac:dyDescent="0.25">
      <c r="A95" s="130"/>
      <c r="B95" s="145"/>
      <c r="C95" s="130"/>
      <c r="D95" s="130"/>
      <c r="E95" s="153"/>
      <c r="F95" s="130"/>
      <c r="G95" s="130"/>
      <c r="H95" s="153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</row>
    <row r="96" spans="1:40" x14ac:dyDescent="0.25">
      <c r="A96" s="130"/>
      <c r="B96" s="145"/>
      <c r="C96" s="130"/>
      <c r="D96" s="130"/>
      <c r="E96" s="153"/>
      <c r="F96" s="130"/>
      <c r="G96" s="130"/>
      <c r="H96" s="153"/>
      <c r="I96" s="130"/>
      <c r="J96" s="130"/>
      <c r="K96" s="128"/>
      <c r="L96" s="128"/>
      <c r="M96" s="130"/>
      <c r="N96" s="130"/>
      <c r="O96" s="130"/>
      <c r="P96" s="130"/>
      <c r="Q96" s="130"/>
      <c r="R96" s="130"/>
      <c r="S96" s="130"/>
      <c r="T96" s="130"/>
    </row>
    <row r="97" spans="1:20" x14ac:dyDescent="0.25">
      <c r="A97" s="130"/>
      <c r="B97" s="130"/>
      <c r="C97" s="130"/>
      <c r="D97" s="130"/>
      <c r="E97" s="130"/>
      <c r="F97" s="130"/>
      <c r="G97" s="130"/>
      <c r="H97" s="130"/>
      <c r="I97" s="130"/>
      <c r="J97" s="130"/>
      <c r="K97" s="126"/>
      <c r="L97" s="126"/>
      <c r="M97" s="130"/>
      <c r="N97" s="130"/>
      <c r="O97" s="130"/>
      <c r="P97" s="130"/>
      <c r="Q97" s="130"/>
      <c r="R97" s="130"/>
      <c r="S97" s="130"/>
      <c r="T97" s="130"/>
    </row>
    <row r="98" spans="1:20" x14ac:dyDescent="0.25">
      <c r="A98" s="130"/>
      <c r="B98" s="130"/>
      <c r="C98" s="130"/>
      <c r="D98" s="130"/>
      <c r="E98" s="130"/>
      <c r="F98" s="130"/>
      <c r="G98" s="130"/>
      <c r="H98" s="130"/>
      <c r="I98" s="130"/>
      <c r="J98" s="130"/>
      <c r="K98" s="126"/>
      <c r="L98" s="126"/>
      <c r="M98" s="130"/>
      <c r="N98" s="130"/>
      <c r="O98" s="130"/>
      <c r="P98" s="130"/>
      <c r="Q98" s="130"/>
      <c r="R98" s="130"/>
      <c r="S98" s="130"/>
      <c r="T98" s="130"/>
    </row>
    <row r="99" spans="1:20" x14ac:dyDescent="0.25">
      <c r="A99" s="130"/>
      <c r="B99" s="130"/>
      <c r="C99" s="130"/>
      <c r="D99" s="130"/>
      <c r="E99" s="130"/>
      <c r="F99" s="130"/>
      <c r="G99" s="130"/>
      <c r="H99" s="130"/>
      <c r="I99" s="130"/>
      <c r="J99" s="130"/>
      <c r="K99" s="126"/>
      <c r="L99" s="126"/>
      <c r="M99" s="130"/>
      <c r="N99" s="130"/>
      <c r="O99" s="130"/>
      <c r="P99" s="130"/>
      <c r="Q99" s="130"/>
      <c r="R99" s="130"/>
      <c r="S99" s="130"/>
      <c r="T99" s="130"/>
    </row>
    <row r="100" spans="1:20" x14ac:dyDescent="0.25">
      <c r="A100" s="130"/>
      <c r="B100" s="130"/>
      <c r="C100" s="130"/>
      <c r="D100" s="130"/>
      <c r="E100" s="130"/>
      <c r="F100" s="130"/>
      <c r="G100" s="130"/>
      <c r="H100" s="130"/>
      <c r="I100" s="130"/>
      <c r="J100" s="130"/>
      <c r="K100" s="126"/>
      <c r="L100" s="126"/>
      <c r="M100" s="130"/>
      <c r="N100" s="130"/>
      <c r="O100" s="130"/>
      <c r="P100" s="130"/>
      <c r="Q100" s="130"/>
      <c r="R100" s="130"/>
      <c r="S100" s="130"/>
      <c r="T100" s="130"/>
    </row>
    <row r="101" spans="1:20" x14ac:dyDescent="0.25">
      <c r="A101" s="130"/>
      <c r="B101" s="130"/>
      <c r="C101" s="130"/>
      <c r="D101" s="130"/>
      <c r="E101" s="130"/>
      <c r="F101" s="130"/>
      <c r="G101" s="130"/>
      <c r="H101" s="130"/>
      <c r="I101" s="130"/>
      <c r="J101" s="130"/>
      <c r="K101" s="126"/>
      <c r="L101" s="126"/>
      <c r="M101" s="130"/>
      <c r="N101" s="130"/>
      <c r="O101" s="130"/>
      <c r="P101" s="130"/>
      <c r="Q101" s="130"/>
      <c r="R101" s="130"/>
      <c r="S101" s="130"/>
      <c r="T101" s="130"/>
    </row>
    <row r="102" spans="1:20" x14ac:dyDescent="0.25">
      <c r="A102" s="130"/>
      <c r="B102" s="130"/>
      <c r="C102" s="130"/>
      <c r="D102" s="130"/>
      <c r="E102" s="130"/>
      <c r="F102" s="130"/>
      <c r="G102" s="130"/>
      <c r="H102" s="130"/>
      <c r="I102" s="130"/>
      <c r="J102" s="130"/>
      <c r="K102" s="126"/>
      <c r="L102" s="126"/>
      <c r="M102" s="130"/>
      <c r="N102" s="130"/>
      <c r="O102" s="130"/>
      <c r="P102" s="130"/>
      <c r="Q102" s="130"/>
      <c r="R102" s="130"/>
      <c r="S102" s="130"/>
      <c r="T102" s="130"/>
    </row>
    <row r="103" spans="1:20" x14ac:dyDescent="0.25">
      <c r="A103" s="130"/>
      <c r="B103" s="130"/>
      <c r="C103" s="130"/>
      <c r="D103" s="130"/>
      <c r="E103" s="130"/>
      <c r="F103" s="130"/>
      <c r="G103" s="130"/>
      <c r="H103" s="130"/>
      <c r="I103" s="130"/>
      <c r="J103" s="130"/>
      <c r="K103" s="126"/>
      <c r="L103" s="126"/>
      <c r="M103" s="130"/>
      <c r="N103" s="130"/>
      <c r="O103" s="130"/>
      <c r="P103" s="130"/>
      <c r="Q103" s="130"/>
      <c r="R103" s="130"/>
      <c r="S103" s="130"/>
      <c r="T103" s="130"/>
    </row>
    <row r="104" spans="1:20" x14ac:dyDescent="0.25">
      <c r="A104" s="130"/>
      <c r="B104" s="130"/>
      <c r="C104" s="130"/>
      <c r="D104" s="130"/>
      <c r="E104" s="130"/>
      <c r="F104" s="130"/>
      <c r="G104" s="130"/>
      <c r="H104" s="130"/>
      <c r="I104" s="130"/>
      <c r="J104" s="130"/>
      <c r="K104" s="126"/>
      <c r="L104" s="126"/>
      <c r="M104" s="130"/>
      <c r="N104" s="130"/>
      <c r="O104" s="130"/>
      <c r="P104" s="130"/>
      <c r="Q104" s="130"/>
      <c r="R104" s="130"/>
      <c r="S104" s="130"/>
      <c r="T104" s="130"/>
    </row>
    <row r="105" spans="1:20" x14ac:dyDescent="0.25">
      <c r="A105" s="130"/>
      <c r="B105" s="130"/>
      <c r="C105" s="130"/>
      <c r="D105" s="130"/>
      <c r="E105" s="130"/>
      <c r="F105" s="130"/>
      <c r="G105" s="130"/>
      <c r="H105" s="130"/>
      <c r="I105" s="130"/>
      <c r="J105" s="130"/>
      <c r="K105" s="126"/>
      <c r="L105" s="126"/>
      <c r="M105" s="130"/>
      <c r="N105" s="130"/>
      <c r="O105" s="130"/>
      <c r="P105" s="130"/>
      <c r="Q105" s="130"/>
      <c r="R105" s="130"/>
      <c r="S105" s="130"/>
      <c r="T105" s="130"/>
    </row>
    <row r="106" spans="1:20" x14ac:dyDescent="0.25">
      <c r="A106" s="130"/>
      <c r="B106" s="130"/>
      <c r="C106" s="130"/>
      <c r="D106" s="130"/>
      <c r="E106" s="130"/>
      <c r="F106" s="130"/>
      <c r="G106" s="130"/>
      <c r="H106" s="130"/>
      <c r="I106" s="130"/>
      <c r="J106" s="130"/>
      <c r="K106" s="126"/>
      <c r="L106" s="126"/>
      <c r="M106" s="130"/>
      <c r="N106" s="130"/>
      <c r="O106" s="130"/>
      <c r="P106" s="130"/>
      <c r="Q106" s="130"/>
      <c r="R106" s="130"/>
      <c r="S106" s="130"/>
      <c r="T106" s="130"/>
    </row>
    <row r="107" spans="1:20" x14ac:dyDescent="0.25">
      <c r="A107" s="130"/>
      <c r="B107" s="130"/>
      <c r="C107" s="130"/>
      <c r="D107" s="130"/>
      <c r="E107" s="130"/>
      <c r="F107" s="130"/>
      <c r="G107" s="130"/>
      <c r="H107" s="130"/>
      <c r="I107" s="130"/>
      <c r="J107" s="130"/>
      <c r="K107" s="126"/>
      <c r="L107" s="126"/>
      <c r="M107" s="130"/>
      <c r="N107" s="130"/>
      <c r="O107" s="130"/>
      <c r="P107" s="130"/>
      <c r="Q107" s="130"/>
      <c r="R107" s="130"/>
      <c r="S107" s="130"/>
      <c r="T107" s="130"/>
    </row>
    <row r="108" spans="1:20" x14ac:dyDescent="0.25">
      <c r="A108" s="130"/>
      <c r="B108" s="130"/>
      <c r="C108" s="130"/>
      <c r="D108" s="130"/>
      <c r="E108" s="130"/>
      <c r="F108" s="130"/>
      <c r="G108" s="130"/>
      <c r="H108" s="130"/>
      <c r="I108" s="130"/>
      <c r="J108" s="130"/>
      <c r="K108" s="126"/>
      <c r="L108" s="126"/>
      <c r="M108" s="130"/>
      <c r="N108" s="130"/>
      <c r="O108" s="130"/>
      <c r="P108" s="130"/>
      <c r="Q108" s="130"/>
      <c r="R108" s="130"/>
      <c r="S108" s="130"/>
      <c r="T108" s="130"/>
    </row>
    <row r="109" spans="1:20" x14ac:dyDescent="0.25">
      <c r="A109" s="130"/>
      <c r="B109" s="130"/>
      <c r="C109" s="130"/>
      <c r="D109" s="130"/>
      <c r="E109" s="130"/>
      <c r="F109" s="130"/>
      <c r="G109" s="130"/>
      <c r="H109" s="130"/>
      <c r="I109" s="130"/>
      <c r="J109" s="130"/>
      <c r="K109" s="126"/>
      <c r="L109" s="126"/>
      <c r="M109" s="130"/>
      <c r="N109" s="130"/>
      <c r="O109" s="130"/>
      <c r="P109" s="130"/>
      <c r="Q109" s="130"/>
      <c r="R109" s="130"/>
      <c r="S109" s="130"/>
      <c r="T109" s="130"/>
    </row>
    <row r="110" spans="1:20" x14ac:dyDescent="0.25">
      <c r="A110" s="130"/>
      <c r="B110" s="130"/>
      <c r="C110" s="130"/>
      <c r="D110" s="130"/>
      <c r="E110" s="130"/>
      <c r="F110" s="130"/>
      <c r="G110" s="130"/>
      <c r="H110" s="130"/>
      <c r="I110" s="130"/>
      <c r="J110" s="130"/>
      <c r="K110" s="126"/>
      <c r="L110" s="126"/>
      <c r="M110" s="130"/>
      <c r="N110" s="130"/>
      <c r="O110" s="130"/>
      <c r="P110" s="130"/>
      <c r="Q110" s="130"/>
      <c r="R110" s="130"/>
      <c r="S110" s="130"/>
      <c r="T110" s="130"/>
    </row>
    <row r="111" spans="1:20" x14ac:dyDescent="0.25">
      <c r="A111" s="130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</row>
    <row r="112" spans="1:20" x14ac:dyDescent="0.25">
      <c r="A112" s="130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</row>
    <row r="113" spans="1:20" x14ac:dyDescent="0.25">
      <c r="A113" s="130"/>
      <c r="B113" s="130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</row>
    <row r="114" spans="1:20" x14ac:dyDescent="0.25">
      <c r="A114" s="130"/>
      <c r="B114" s="130"/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</row>
    <row r="115" spans="1:20" x14ac:dyDescent="0.25">
      <c r="A115" s="130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</row>
  </sheetData>
  <autoFilter ref="A3:AG71"/>
  <mergeCells count="6">
    <mergeCell ref="AL89:AM89"/>
    <mergeCell ref="S2:U2"/>
    <mergeCell ref="V2:X2"/>
    <mergeCell ref="Y2:AA2"/>
    <mergeCell ref="AB2:AD2"/>
    <mergeCell ref="AE2:AG2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64"/>
  <sheetViews>
    <sheetView topLeftCell="C1" zoomScale="80" zoomScaleNormal="80" workbookViewId="0">
      <pane ySplit="2" topLeftCell="A3" activePane="bottomLeft" state="frozen"/>
      <selection pane="bottomLeft" activeCell="S3" sqref="S3:AA21"/>
    </sheetView>
  </sheetViews>
  <sheetFormatPr baseColWidth="10" defaultRowHeight="15" x14ac:dyDescent="0.25"/>
  <cols>
    <col min="2" max="2" width="35.85546875" customWidth="1"/>
    <col min="3" max="3" width="13.7109375" bestFit="1" customWidth="1"/>
    <col min="5" max="5" width="21" customWidth="1"/>
    <col min="6" max="6" width="0" hidden="1" customWidth="1"/>
    <col min="7" max="7" width="11.5703125" bestFit="1" customWidth="1"/>
    <col min="12" max="12" width="16.85546875" customWidth="1"/>
    <col min="13" max="13" width="27.140625" customWidth="1"/>
    <col min="14" max="14" width="11.42578125" style="12"/>
    <col min="21" max="21" width="11.42578125" style="11"/>
    <col min="22" max="24" width="11.42578125" style="12"/>
    <col min="25" max="26" width="11.42578125" style="18"/>
    <col min="27" max="27" width="11.85546875" style="17" bestFit="1" customWidth="1"/>
    <col min="28" max="29" width="0" style="32" hidden="1" customWidth="1"/>
    <col min="30" max="30" width="19" style="32" hidden="1" customWidth="1"/>
    <col min="31" max="32" width="0" style="18" hidden="1" customWidth="1"/>
    <col min="33" max="33" width="19" style="18" hidden="1" customWidth="1"/>
  </cols>
  <sheetData>
    <row r="1" spans="1:139" x14ac:dyDescent="0.25">
      <c r="S1" s="228" t="s">
        <v>165</v>
      </c>
      <c r="T1" s="228"/>
      <c r="U1" s="228"/>
      <c r="V1" s="227" t="s">
        <v>166</v>
      </c>
      <c r="W1" s="227"/>
      <c r="X1" s="227"/>
      <c r="Y1" s="224" t="s">
        <v>8</v>
      </c>
      <c r="Z1" s="224"/>
      <c r="AA1" s="224"/>
      <c r="AB1" s="226" t="s">
        <v>167</v>
      </c>
      <c r="AC1" s="226"/>
      <c r="AD1" s="226"/>
      <c r="AE1" s="225" t="s">
        <v>168</v>
      </c>
      <c r="AF1" s="225"/>
      <c r="AG1" s="225"/>
    </row>
    <row r="2" spans="1:139" s="1" customFormat="1" x14ac:dyDescent="0.25">
      <c r="A2" s="3"/>
      <c r="B2" s="3" t="s">
        <v>1</v>
      </c>
      <c r="C2" s="3" t="s">
        <v>5</v>
      </c>
      <c r="D2" s="3" t="s">
        <v>4</v>
      </c>
      <c r="E2" s="3" t="s">
        <v>2</v>
      </c>
      <c r="F2" s="3"/>
      <c r="G2" s="13" t="s">
        <v>162</v>
      </c>
      <c r="H2" s="3" t="s">
        <v>3</v>
      </c>
      <c r="I2" s="3" t="s">
        <v>161</v>
      </c>
      <c r="J2" s="3" t="s">
        <v>33</v>
      </c>
      <c r="K2" s="3" t="s">
        <v>34</v>
      </c>
      <c r="L2" s="3" t="s">
        <v>163</v>
      </c>
      <c r="M2" s="3" t="s">
        <v>35</v>
      </c>
      <c r="N2" s="22" t="s">
        <v>164</v>
      </c>
      <c r="O2" s="3" t="s">
        <v>36</v>
      </c>
      <c r="P2" s="3" t="s">
        <v>37</v>
      </c>
      <c r="Q2" s="3" t="s">
        <v>8</v>
      </c>
      <c r="S2" s="16" t="s">
        <v>160</v>
      </c>
      <c r="T2" s="16" t="s">
        <v>159</v>
      </c>
      <c r="U2" s="30" t="s">
        <v>169</v>
      </c>
      <c r="V2" s="20" t="s">
        <v>158</v>
      </c>
      <c r="W2" s="20" t="s">
        <v>159</v>
      </c>
      <c r="X2" s="20" t="s">
        <v>169</v>
      </c>
      <c r="Y2" s="17" t="s">
        <v>158</v>
      </c>
      <c r="Z2" s="17" t="s">
        <v>159</v>
      </c>
      <c r="AA2" s="17" t="s">
        <v>169</v>
      </c>
      <c r="AB2" s="32" t="s">
        <v>158</v>
      </c>
      <c r="AC2" s="32" t="s">
        <v>159</v>
      </c>
      <c r="AD2" s="32" t="s">
        <v>169</v>
      </c>
      <c r="AE2" s="21" t="s">
        <v>158</v>
      </c>
      <c r="AF2" s="21" t="s">
        <v>159</v>
      </c>
      <c r="AG2" s="21" t="s">
        <v>169</v>
      </c>
    </row>
    <row r="3" spans="1:139" x14ac:dyDescent="0.25">
      <c r="A3" s="1">
        <v>1</v>
      </c>
      <c r="B3" t="s">
        <v>138</v>
      </c>
      <c r="C3" s="1">
        <v>2</v>
      </c>
      <c r="D3" s="1">
        <v>1</v>
      </c>
      <c r="E3" s="2">
        <v>41385</v>
      </c>
      <c r="F3" s="2">
        <v>44375</v>
      </c>
      <c r="G3" s="8">
        <v>8</v>
      </c>
      <c r="H3" s="1">
        <v>7</v>
      </c>
      <c r="I3" s="1">
        <v>86</v>
      </c>
      <c r="J3" s="1">
        <v>26</v>
      </c>
      <c r="K3" s="1">
        <v>1.24</v>
      </c>
      <c r="L3" s="1">
        <f>K3*100</f>
        <v>124</v>
      </c>
      <c r="M3" s="1">
        <v>66</v>
      </c>
      <c r="N3" s="18">
        <f>((L3-M3)/L3)*100</f>
        <v>46.774193548387096</v>
      </c>
      <c r="O3" s="1">
        <v>0</v>
      </c>
      <c r="P3" s="1">
        <v>60.5</v>
      </c>
      <c r="Q3" s="5">
        <v>16.909469302809573</v>
      </c>
      <c r="S3" s="18">
        <v>0.24784067641612462</v>
      </c>
      <c r="T3" s="18">
        <v>59.787115934409506</v>
      </c>
      <c r="U3" s="39" t="str">
        <f>IF(S3&lt;-1.645,"Desnutricion",IF(AND(S3&gt;=-1.645,S3&lt;=1.645),"Normal",IF(S3&gt;1.645,"Alto")))</f>
        <v>Normal</v>
      </c>
      <c r="V3" s="12">
        <v>-0.37094348438249453</v>
      </c>
      <c r="W3" s="12">
        <v>35.53398130747194</v>
      </c>
      <c r="X3" s="40" t="str">
        <f>IF(V3&lt;-1.645,"Piernas cortas",IF(AND(V3&gt;=-1.645,V3&lt;=1.645),"Normal",IF(V3&gt;1.645,"Piernas largas")))</f>
        <v>Normal</v>
      </c>
      <c r="Y3" s="18">
        <v>0.88775573014982079</v>
      </c>
      <c r="Z3" s="18">
        <v>81.266391957774218</v>
      </c>
      <c r="AA3" s="39" t="str">
        <f>IF(Z3&lt;5,"Desnutricion",IF(AND(Z3&gt;=5,Z3&lt;15),"Bajo Peso",IF(AND(Z3&gt;=15,Z3&lt;=85),"Normal",IF(Z3&gt;85,"Obesidad"))))</f>
        <v>Normal</v>
      </c>
      <c r="AB3" s="19">
        <v>0.80465577724301596</v>
      </c>
      <c r="AC3" s="19">
        <v>78.949082724004384</v>
      </c>
      <c r="AD3" s="39" t="str">
        <f>IF(AB3&lt;-1.645,"Bajo",IF(AND(AB3&gt;=-1.645,AB3&lt;-1.036),"Debajo del promedio",IF(AND(AB3&gt;=-1.036,AB3&lt;=1.036),"Normal",IF(AND(AB3&gt;1.036,AB3&lt;=1.645),"Arriba del promedio",IF(AB3&gt;1.645,"Alto","")))))</f>
        <v>Normal</v>
      </c>
      <c r="AE3" s="18" t="s">
        <v>172</v>
      </c>
      <c r="AF3" s="18" t="s">
        <v>172</v>
      </c>
      <c r="AG3" s="18" t="s">
        <v>172</v>
      </c>
    </row>
    <row r="4" spans="1:139" s="54" customFormat="1" x14ac:dyDescent="0.25">
      <c r="A4" s="7">
        <v>2</v>
      </c>
      <c r="B4" s="11" t="s">
        <v>155</v>
      </c>
      <c r="C4" s="7">
        <v>6</v>
      </c>
      <c r="D4" s="7">
        <v>2</v>
      </c>
      <c r="E4" s="6">
        <v>39663</v>
      </c>
      <c r="F4" s="6">
        <v>44375</v>
      </c>
      <c r="G4" s="14">
        <v>0</v>
      </c>
      <c r="H4" s="7">
        <v>12</v>
      </c>
      <c r="I4" s="7">
        <v>155</v>
      </c>
      <c r="J4" s="7">
        <v>60.6</v>
      </c>
      <c r="K4" s="7">
        <v>1.59</v>
      </c>
      <c r="L4" s="7">
        <f t="shared" ref="L4:L21" si="0">K4*100</f>
        <v>159</v>
      </c>
      <c r="M4" s="7">
        <v>82.5</v>
      </c>
      <c r="N4" s="19">
        <f t="shared" ref="N4:N21" si="1">((L4-M4)/L4)*100</f>
        <v>48.113207547169814</v>
      </c>
      <c r="O4" s="7">
        <v>0</v>
      </c>
      <c r="P4" s="7">
        <v>83.5</v>
      </c>
      <c r="Q4" s="64">
        <v>23.970570784383529</v>
      </c>
      <c r="R4" s="11"/>
      <c r="S4" s="19">
        <v>0.43105678911511802</v>
      </c>
      <c r="T4" s="19">
        <v>66.678646058789212</v>
      </c>
      <c r="U4" s="39" t="str">
        <f t="shared" ref="U4:U21" si="2">IF(S4&lt;-1.645,"Desnutricion",IF(AND(S4&gt;=-1.645,S4&lt;=1.645),"Normal",IF(S4&gt;1.645,"Alto")))</f>
        <v>Normal</v>
      </c>
      <c r="V4" s="15">
        <v>-0.17842542020479563</v>
      </c>
      <c r="W4" s="15">
        <v>42.919444358257735</v>
      </c>
      <c r="X4" s="40" t="str">
        <f t="shared" ref="X4:X21" si="3">IF(V4&lt;-1.645,"Piernas cortas",IF(AND(V4&gt;=-1.645,V4&lt;=1.645),"Normal",IF(V4&gt;1.645,"Piernas largas")))</f>
        <v>Normal</v>
      </c>
      <c r="Y4" s="19">
        <v>1.5662971687977032</v>
      </c>
      <c r="Z4" s="19">
        <v>94.13604682432279</v>
      </c>
      <c r="AA4" s="39" t="s">
        <v>171</v>
      </c>
      <c r="AB4" s="19">
        <v>1.2671640871080232</v>
      </c>
      <c r="AC4" s="19">
        <v>89.745168797475728</v>
      </c>
      <c r="AD4" s="39" t="str">
        <f t="shared" ref="AD4:AD21" si="4">IF(AB4&lt;-1.645,"Bajo",IF(AND(AB4&gt;=-1.645,AB4&lt;-1.036),"Debajo del promedio",IF(AND(AB4&gt;=-1.036,AB4&lt;=1.036),"Normal",IF(AND(AB4&gt;1.036,AB4&lt;=1.645),"Arriba del promedio",IF(AB4&gt;1.645,"Alto","")))))</f>
        <v>Arriba del promedio</v>
      </c>
      <c r="AE4" s="19" t="s">
        <v>172</v>
      </c>
      <c r="AF4" s="19" t="s">
        <v>172</v>
      </c>
      <c r="AG4" s="19" t="s">
        <v>172</v>
      </c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</row>
    <row r="5" spans="1:139" s="54" customFormat="1" x14ac:dyDescent="0.25">
      <c r="A5" s="7">
        <v>3</v>
      </c>
      <c r="B5" s="11" t="s">
        <v>149</v>
      </c>
      <c r="C5" s="7">
        <v>1</v>
      </c>
      <c r="D5" s="7">
        <v>2</v>
      </c>
      <c r="E5" s="6">
        <v>41909</v>
      </c>
      <c r="F5" s="6">
        <v>44375</v>
      </c>
      <c r="G5" s="14">
        <v>6</v>
      </c>
      <c r="H5" s="7">
        <v>5</v>
      </c>
      <c r="I5" s="7">
        <v>69</v>
      </c>
      <c r="J5" s="7">
        <v>19.399999999999999</v>
      </c>
      <c r="K5" s="7">
        <v>1.1499999999999999</v>
      </c>
      <c r="L5" s="7">
        <f t="shared" si="0"/>
        <v>114.99999999999999</v>
      </c>
      <c r="M5" s="7">
        <v>63.400000000000006</v>
      </c>
      <c r="N5" s="19">
        <f t="shared" si="1"/>
        <v>44.869565217391298</v>
      </c>
      <c r="O5" s="7">
        <v>0</v>
      </c>
      <c r="P5" s="7">
        <v>51.8</v>
      </c>
      <c r="Q5" s="64">
        <v>14.669187145557657</v>
      </c>
      <c r="R5" s="11"/>
      <c r="S5" s="19">
        <v>0.26510192583468667</v>
      </c>
      <c r="T5" s="19">
        <v>60.45345280996407</v>
      </c>
      <c r="U5" s="39" t="str">
        <f t="shared" si="2"/>
        <v>Normal</v>
      </c>
      <c r="V5" s="15">
        <v>-1.385699140837799</v>
      </c>
      <c r="W5" s="15">
        <v>8.2919395329092822</v>
      </c>
      <c r="X5" s="40" t="str">
        <f t="shared" si="3"/>
        <v>Normal</v>
      </c>
      <c r="Y5" s="19">
        <v>-0.39734590945666565</v>
      </c>
      <c r="Z5" s="19">
        <v>34.555619855511644</v>
      </c>
      <c r="AA5" s="39" t="str">
        <f t="shared" ref="AA5:AA21" si="5">IF(Z5&lt;5,"Desnutricion",IF(AND(Z5&gt;=5,Z5&lt;15),"Bajo Peso",IF(AND(Z5&gt;=15,Z5&lt;=85),"Normal",IF(Z5&gt;85,"Obesidad"))))</f>
        <v>Normal</v>
      </c>
      <c r="AB5" s="19">
        <v>0.20302723342225468</v>
      </c>
      <c r="AC5" s="19">
        <v>58.044312685983243</v>
      </c>
      <c r="AD5" s="39" t="str">
        <f t="shared" si="4"/>
        <v>Normal</v>
      </c>
      <c r="AE5" s="19" t="s">
        <v>172</v>
      </c>
      <c r="AF5" s="19" t="s">
        <v>172</v>
      </c>
      <c r="AG5" s="19" t="s">
        <v>172</v>
      </c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</row>
    <row r="6" spans="1:139" x14ac:dyDescent="0.25">
      <c r="A6" s="7">
        <v>4</v>
      </c>
      <c r="B6" s="11" t="s">
        <v>152</v>
      </c>
      <c r="C6" s="7">
        <v>3</v>
      </c>
      <c r="D6" s="7">
        <v>1</v>
      </c>
      <c r="E6" s="6">
        <v>41162</v>
      </c>
      <c r="F6" s="6">
        <v>44375</v>
      </c>
      <c r="G6" s="14">
        <v>8</v>
      </c>
      <c r="H6" s="7">
        <v>7</v>
      </c>
      <c r="I6" s="7">
        <v>86</v>
      </c>
      <c r="J6" s="7">
        <v>29.3</v>
      </c>
      <c r="K6" s="7">
        <v>1.29</v>
      </c>
      <c r="L6" s="7">
        <f t="shared" si="0"/>
        <v>129</v>
      </c>
      <c r="M6" s="7">
        <v>69</v>
      </c>
      <c r="N6" s="19">
        <f t="shared" si="1"/>
        <v>46.511627906976742</v>
      </c>
      <c r="O6" s="7">
        <v>0</v>
      </c>
      <c r="P6" s="7">
        <v>57</v>
      </c>
      <c r="Q6" s="64">
        <v>17.607114957033833</v>
      </c>
      <c r="R6" s="11"/>
      <c r="S6" s="19">
        <v>1.1830885119486818</v>
      </c>
      <c r="T6" s="19">
        <v>88.161296485716505</v>
      </c>
      <c r="U6" s="39" t="str">
        <f t="shared" si="2"/>
        <v>Normal</v>
      </c>
      <c r="V6" s="15">
        <v>-0.54173194937461766</v>
      </c>
      <c r="W6" s="15">
        <v>29.400158837493407</v>
      </c>
      <c r="X6" s="40" t="str">
        <f t="shared" si="3"/>
        <v>Normal</v>
      </c>
      <c r="Y6" s="19">
        <v>1.2739044627827243</v>
      </c>
      <c r="Z6" s="19">
        <v>89.865136169394816</v>
      </c>
      <c r="AA6" s="39" t="s">
        <v>171</v>
      </c>
      <c r="AB6" s="19">
        <v>0.38350587926292035</v>
      </c>
      <c r="AC6" s="19">
        <v>64.932764406972041</v>
      </c>
      <c r="AD6" s="39" t="str">
        <f t="shared" si="4"/>
        <v>Normal</v>
      </c>
      <c r="AE6" s="19" t="s">
        <v>172</v>
      </c>
      <c r="AF6" s="19" t="s">
        <v>172</v>
      </c>
      <c r="AG6" s="19" t="s">
        <v>172</v>
      </c>
      <c r="AH6" s="11"/>
      <c r="AI6" s="11"/>
      <c r="AJ6" s="11"/>
      <c r="AK6" s="11" t="s">
        <v>805</v>
      </c>
      <c r="AL6" s="11">
        <v>19</v>
      </c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</row>
    <row r="7" spans="1:139" x14ac:dyDescent="0.25">
      <c r="A7" s="7">
        <v>5</v>
      </c>
      <c r="B7" s="11" t="s">
        <v>139</v>
      </c>
      <c r="C7" s="7">
        <v>6</v>
      </c>
      <c r="D7" s="7">
        <v>1</v>
      </c>
      <c r="E7" s="6">
        <v>40128</v>
      </c>
      <c r="F7" s="6">
        <v>44375</v>
      </c>
      <c r="G7" s="14">
        <v>11</v>
      </c>
      <c r="H7" s="7">
        <v>10</v>
      </c>
      <c r="I7" s="7">
        <v>124</v>
      </c>
      <c r="J7" s="7">
        <v>53.5</v>
      </c>
      <c r="K7" s="7">
        <v>1.5</v>
      </c>
      <c r="L7" s="7">
        <f t="shared" si="0"/>
        <v>150</v>
      </c>
      <c r="M7" s="7">
        <v>74</v>
      </c>
      <c r="N7" s="19">
        <f t="shared" si="1"/>
        <v>50.666666666666671</v>
      </c>
      <c r="O7" s="7">
        <v>0</v>
      </c>
      <c r="P7" s="7">
        <v>87</v>
      </c>
      <c r="Q7" s="64">
        <v>23.777777777777779</v>
      </c>
      <c r="R7" s="11"/>
      <c r="S7" s="19">
        <v>1.6146764993000053</v>
      </c>
      <c r="T7" s="19">
        <v>94.680961532514758</v>
      </c>
      <c r="U7" s="39" t="str">
        <f t="shared" si="2"/>
        <v>Normal</v>
      </c>
      <c r="V7" s="15">
        <v>1.2289029858781169</v>
      </c>
      <c r="W7" s="15">
        <v>89.044590907949654</v>
      </c>
      <c r="X7" s="40" t="str">
        <f t="shared" si="3"/>
        <v>Normal</v>
      </c>
      <c r="Y7" s="19">
        <v>2.4798495915763339</v>
      </c>
      <c r="Z7" s="19">
        <v>99.342810932647311</v>
      </c>
      <c r="AA7" s="39" t="str">
        <f t="shared" si="5"/>
        <v>Obesidad</v>
      </c>
      <c r="AB7" s="19">
        <v>1.9469049750587613</v>
      </c>
      <c r="AC7" s="19">
        <v>97.422693595441928</v>
      </c>
      <c r="AD7" s="39" t="str">
        <f t="shared" si="4"/>
        <v>Alto</v>
      </c>
      <c r="AE7" s="19" t="s">
        <v>172</v>
      </c>
      <c r="AF7" s="19" t="s">
        <v>172</v>
      </c>
      <c r="AG7" s="19" t="s">
        <v>172</v>
      </c>
      <c r="AH7" s="11"/>
      <c r="AI7" s="11"/>
      <c r="AJ7" s="11"/>
      <c r="AK7" s="11" t="s">
        <v>804</v>
      </c>
      <c r="AL7" s="11">
        <v>11</v>
      </c>
      <c r="AM7" s="11">
        <f>11/19</f>
        <v>0.57894736842105265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</row>
    <row r="8" spans="1:139" x14ac:dyDescent="0.25">
      <c r="A8" s="7">
        <v>6</v>
      </c>
      <c r="B8" s="11" t="s">
        <v>153</v>
      </c>
      <c r="C8" s="7">
        <v>4</v>
      </c>
      <c r="D8" s="7">
        <v>1</v>
      </c>
      <c r="E8" s="6">
        <v>40574</v>
      </c>
      <c r="F8" s="6">
        <v>44375</v>
      </c>
      <c r="G8" s="14">
        <v>10</v>
      </c>
      <c r="H8" s="7">
        <v>9</v>
      </c>
      <c r="I8" s="7">
        <v>113</v>
      </c>
      <c r="J8" s="7">
        <v>44.7</v>
      </c>
      <c r="K8" s="7">
        <v>1.45</v>
      </c>
      <c r="L8" s="7">
        <f t="shared" si="0"/>
        <v>145</v>
      </c>
      <c r="M8" s="7">
        <v>77.8</v>
      </c>
      <c r="N8" s="19">
        <f t="shared" si="1"/>
        <v>46.344827586206897</v>
      </c>
      <c r="O8" s="7">
        <v>0</v>
      </c>
      <c r="P8" s="7">
        <v>68</v>
      </c>
      <c r="Q8" s="64">
        <v>21.260404280618314</v>
      </c>
      <c r="R8" s="11"/>
      <c r="S8" s="19">
        <v>1.6633223903473833</v>
      </c>
      <c r="T8" s="19">
        <v>95.187604044316714</v>
      </c>
      <c r="U8" s="39" t="str">
        <f t="shared" si="2"/>
        <v>Alto</v>
      </c>
      <c r="V8" s="15">
        <v>-1.4427463384241581</v>
      </c>
      <c r="W8" s="15">
        <v>7.4545970271324311</v>
      </c>
      <c r="X8" s="40" t="str">
        <f t="shared" si="3"/>
        <v>Normal</v>
      </c>
      <c r="Y8" s="19">
        <v>2.1254575075540405</v>
      </c>
      <c r="Z8" s="19">
        <v>98.32257719412604</v>
      </c>
      <c r="AA8" s="39" t="str">
        <f t="shared" si="5"/>
        <v>Obesidad</v>
      </c>
      <c r="AB8" s="19">
        <v>0.84234571778872969</v>
      </c>
      <c r="AC8" s="19">
        <v>80.020276615089401</v>
      </c>
      <c r="AD8" s="39" t="str">
        <f t="shared" si="4"/>
        <v>Normal</v>
      </c>
      <c r="AE8" s="19" t="s">
        <v>172</v>
      </c>
      <c r="AF8" s="19" t="s">
        <v>172</v>
      </c>
      <c r="AG8" s="19" t="s">
        <v>172</v>
      </c>
      <c r="AH8" s="11"/>
      <c r="AI8" s="11"/>
      <c r="AJ8" s="11"/>
      <c r="AK8" s="11" t="s">
        <v>705</v>
      </c>
      <c r="AL8" s="11">
        <v>8</v>
      </c>
      <c r="AM8" s="11">
        <f>8/19</f>
        <v>0.42105263157894735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</row>
    <row r="9" spans="1:139" s="54" customFormat="1" x14ac:dyDescent="0.25">
      <c r="A9" s="7">
        <v>8</v>
      </c>
      <c r="B9" s="11" t="s">
        <v>151</v>
      </c>
      <c r="C9" s="7">
        <v>2</v>
      </c>
      <c r="D9" s="7">
        <v>2</v>
      </c>
      <c r="E9" s="6">
        <v>41633</v>
      </c>
      <c r="F9" s="6">
        <v>44375</v>
      </c>
      <c r="G9" s="14">
        <v>7</v>
      </c>
      <c r="H9" s="7">
        <v>6</v>
      </c>
      <c r="I9" s="7">
        <v>77</v>
      </c>
      <c r="J9" s="7">
        <v>26.7</v>
      </c>
      <c r="K9" s="7">
        <v>1.25</v>
      </c>
      <c r="L9" s="7">
        <f t="shared" si="0"/>
        <v>125</v>
      </c>
      <c r="M9" s="7">
        <v>65</v>
      </c>
      <c r="N9" s="19">
        <f t="shared" si="1"/>
        <v>48</v>
      </c>
      <c r="O9" s="7">
        <v>0</v>
      </c>
      <c r="P9" s="7">
        <v>60.5</v>
      </c>
      <c r="Q9" s="64">
        <v>17.088000000000001</v>
      </c>
      <c r="R9" s="11"/>
      <c r="S9" s="19">
        <v>1.4232474720086099</v>
      </c>
      <c r="T9" s="19">
        <v>92.266778581424802</v>
      </c>
      <c r="U9" s="39" t="str">
        <f t="shared" si="2"/>
        <v>Normal</v>
      </c>
      <c r="V9" s="15">
        <v>0.49404183975337451</v>
      </c>
      <c r="W9" s="15">
        <v>68.936168442250363</v>
      </c>
      <c r="X9" s="40" t="str">
        <f t="shared" si="3"/>
        <v>Normal</v>
      </c>
      <c r="Y9" s="19">
        <v>0.98990319392608428</v>
      </c>
      <c r="Z9" s="19">
        <v>83.888928088510525</v>
      </c>
      <c r="AA9" s="39" t="str">
        <f t="shared" si="5"/>
        <v>Normal</v>
      </c>
      <c r="AB9" s="19">
        <v>1.2445864419341026</v>
      </c>
      <c r="AC9" s="19">
        <v>89.335809668275758</v>
      </c>
      <c r="AD9" s="39" t="str">
        <f t="shared" si="4"/>
        <v>Arriba del promedio</v>
      </c>
      <c r="AE9" s="19" t="s">
        <v>172</v>
      </c>
      <c r="AF9" s="19" t="s">
        <v>172</v>
      </c>
      <c r="AG9" s="19" t="s">
        <v>172</v>
      </c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</row>
    <row r="10" spans="1:139" s="54" customFormat="1" x14ac:dyDescent="0.25">
      <c r="A10" s="7">
        <v>9</v>
      </c>
      <c r="B10" s="11" t="s">
        <v>140</v>
      </c>
      <c r="C10" s="7">
        <v>5</v>
      </c>
      <c r="D10" s="7">
        <v>2</v>
      </c>
      <c r="E10" s="6">
        <v>40339</v>
      </c>
      <c r="F10" s="6">
        <v>44375</v>
      </c>
      <c r="G10" s="14">
        <v>11</v>
      </c>
      <c r="H10" s="7">
        <v>10</v>
      </c>
      <c r="I10" s="7">
        <v>120</v>
      </c>
      <c r="J10" s="7">
        <v>35.700000000000003</v>
      </c>
      <c r="K10" s="7">
        <v>1.5</v>
      </c>
      <c r="L10" s="7">
        <f t="shared" si="0"/>
        <v>150</v>
      </c>
      <c r="M10" s="7">
        <v>79</v>
      </c>
      <c r="N10" s="19">
        <f t="shared" si="1"/>
        <v>47.333333333333336</v>
      </c>
      <c r="O10" s="7">
        <v>0</v>
      </c>
      <c r="P10" s="7">
        <v>60.3</v>
      </c>
      <c r="Q10" s="64">
        <v>15.866666666666667</v>
      </c>
      <c r="R10" s="11"/>
      <c r="S10" s="19">
        <v>1.776499994704593</v>
      </c>
      <c r="T10" s="19">
        <v>96.21747286040916</v>
      </c>
      <c r="U10" s="39" t="str">
        <f t="shared" si="2"/>
        <v>Alto</v>
      </c>
      <c r="V10" s="15">
        <v>-0.81949842918253013</v>
      </c>
      <c r="W10" s="15">
        <v>20.62510489032724</v>
      </c>
      <c r="X10" s="40" t="str">
        <f t="shared" si="3"/>
        <v>Normal</v>
      </c>
      <c r="Y10" s="19">
        <v>-0.38669851338686129</v>
      </c>
      <c r="Z10" s="19">
        <v>34.948970842416053</v>
      </c>
      <c r="AA10" s="39" t="str">
        <f t="shared" si="5"/>
        <v>Normal</v>
      </c>
      <c r="AB10" s="19">
        <v>0.16567551263736599</v>
      </c>
      <c r="AC10" s="19">
        <v>56.579384110393583</v>
      </c>
      <c r="AD10" s="39" t="str">
        <f t="shared" si="4"/>
        <v>Normal</v>
      </c>
      <c r="AE10" s="19" t="s">
        <v>172</v>
      </c>
      <c r="AF10" s="19" t="s">
        <v>172</v>
      </c>
      <c r="AG10" s="19" t="s">
        <v>172</v>
      </c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</row>
    <row r="11" spans="1:139" x14ac:dyDescent="0.25">
      <c r="A11" s="7">
        <v>10</v>
      </c>
      <c r="B11" s="11" t="s">
        <v>141</v>
      </c>
      <c r="C11" s="7">
        <v>5</v>
      </c>
      <c r="D11" s="7">
        <v>1</v>
      </c>
      <c r="E11" s="6">
        <v>40345</v>
      </c>
      <c r="F11" s="6">
        <v>44375</v>
      </c>
      <c r="G11" s="14">
        <v>11</v>
      </c>
      <c r="H11" s="7">
        <v>10</v>
      </c>
      <c r="I11" s="7">
        <v>120</v>
      </c>
      <c r="J11" s="7">
        <v>70.099999999999994</v>
      </c>
      <c r="K11" s="7">
        <v>1.54</v>
      </c>
      <c r="L11" s="7">
        <f t="shared" si="0"/>
        <v>154</v>
      </c>
      <c r="M11" s="7">
        <v>82</v>
      </c>
      <c r="N11" s="19">
        <f t="shared" si="1"/>
        <v>46.753246753246749</v>
      </c>
      <c r="O11" s="7">
        <v>0</v>
      </c>
      <c r="P11" s="7">
        <v>91.5</v>
      </c>
      <c r="Q11" s="64">
        <v>29.558104233428907</v>
      </c>
      <c r="R11" s="11"/>
      <c r="S11" s="19">
        <v>2.5449192365828419</v>
      </c>
      <c r="T11" s="19">
        <v>99.45348492209672</v>
      </c>
      <c r="U11" s="39" t="str">
        <f t="shared" si="2"/>
        <v>Alto</v>
      </c>
      <c r="V11" s="15">
        <v>-1.2653296717214157</v>
      </c>
      <c r="W11" s="15">
        <v>10.287658716284273</v>
      </c>
      <c r="X11" s="40" t="str">
        <f t="shared" si="3"/>
        <v>Normal</v>
      </c>
      <c r="Y11" s="19">
        <v>3.4780933136428684</v>
      </c>
      <c r="Z11" s="19">
        <v>99.97475029532842</v>
      </c>
      <c r="AA11" s="39" t="str">
        <f t="shared" si="5"/>
        <v>Obesidad</v>
      </c>
      <c r="AB11" s="19">
        <v>2.289034548809127</v>
      </c>
      <c r="AC11" s="19">
        <v>98.896132744814764</v>
      </c>
      <c r="AD11" s="39" t="str">
        <f t="shared" si="4"/>
        <v>Alto</v>
      </c>
      <c r="AE11" s="19" t="s">
        <v>172</v>
      </c>
      <c r="AF11" s="19" t="s">
        <v>172</v>
      </c>
      <c r="AG11" s="19" t="s">
        <v>172</v>
      </c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</row>
    <row r="12" spans="1:139" x14ac:dyDescent="0.25">
      <c r="A12" s="7">
        <v>11</v>
      </c>
      <c r="B12" s="11" t="s">
        <v>142</v>
      </c>
      <c r="C12" s="7">
        <v>4</v>
      </c>
      <c r="D12" s="7">
        <v>1</v>
      </c>
      <c r="E12" s="6">
        <v>40867</v>
      </c>
      <c r="F12" s="6">
        <v>44375</v>
      </c>
      <c r="G12" s="14">
        <v>9</v>
      </c>
      <c r="H12" s="7">
        <v>8</v>
      </c>
      <c r="I12" s="7">
        <v>100</v>
      </c>
      <c r="J12" s="7">
        <v>54</v>
      </c>
      <c r="K12" s="7">
        <v>1.4</v>
      </c>
      <c r="L12" s="7">
        <f t="shared" si="0"/>
        <v>140</v>
      </c>
      <c r="M12" s="7">
        <v>74.5</v>
      </c>
      <c r="N12" s="19">
        <f t="shared" si="1"/>
        <v>46.785714285714285</v>
      </c>
      <c r="O12" s="7">
        <v>0</v>
      </c>
      <c r="P12" s="7">
        <v>89</v>
      </c>
      <c r="Q12" s="64">
        <v>27.551020408163268</v>
      </c>
      <c r="R12" s="11"/>
      <c r="S12" s="19">
        <v>1.898868359126398</v>
      </c>
      <c r="T12" s="19">
        <v>97.120910677775356</v>
      </c>
      <c r="U12" s="39" t="str">
        <f t="shared" si="2"/>
        <v>Alto</v>
      </c>
      <c r="V12" s="15">
        <v>-0.83431005119467561</v>
      </c>
      <c r="W12" s="15">
        <v>20.205314467032231</v>
      </c>
      <c r="X12" s="40" t="str">
        <f t="shared" si="3"/>
        <v>Normal</v>
      </c>
      <c r="Y12" s="19">
        <v>3.8578177022793705</v>
      </c>
      <c r="Z12" s="19">
        <v>99.994279803875713</v>
      </c>
      <c r="AA12" s="39" t="str">
        <f t="shared" si="5"/>
        <v>Obesidad</v>
      </c>
      <c r="AB12" s="19">
        <v>2.5356020165329052</v>
      </c>
      <c r="AC12" s="19">
        <v>99.438728864879153</v>
      </c>
      <c r="AD12" s="39" t="str">
        <f t="shared" si="4"/>
        <v>Alto</v>
      </c>
      <c r="AE12" s="19" t="s">
        <v>172</v>
      </c>
      <c r="AF12" s="19" t="s">
        <v>172</v>
      </c>
      <c r="AG12" s="19" t="s">
        <v>172</v>
      </c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</row>
    <row r="13" spans="1:139" s="54" customFormat="1" x14ac:dyDescent="0.25">
      <c r="A13" s="7">
        <v>12</v>
      </c>
      <c r="B13" s="11" t="s">
        <v>150</v>
      </c>
      <c r="C13" s="7">
        <v>1</v>
      </c>
      <c r="D13" s="7">
        <v>2</v>
      </c>
      <c r="E13" s="6">
        <v>41905</v>
      </c>
      <c r="F13" s="6">
        <v>44375</v>
      </c>
      <c r="G13" s="14">
        <v>6</v>
      </c>
      <c r="H13" s="7">
        <v>5</v>
      </c>
      <c r="I13" s="7">
        <v>62</v>
      </c>
      <c r="J13" s="7">
        <v>23.9</v>
      </c>
      <c r="K13" s="7">
        <v>1.25</v>
      </c>
      <c r="L13" s="7">
        <f t="shared" si="0"/>
        <v>125</v>
      </c>
      <c r="M13" s="7">
        <v>67.5</v>
      </c>
      <c r="N13" s="19">
        <f t="shared" si="1"/>
        <v>46</v>
      </c>
      <c r="O13" s="7">
        <v>52.2</v>
      </c>
      <c r="P13" s="7">
        <v>54</v>
      </c>
      <c r="Q13" s="64">
        <v>15.295999999999999</v>
      </c>
      <c r="R13" s="11"/>
      <c r="S13" s="19">
        <v>3.0949939079669861</v>
      </c>
      <c r="T13" s="19">
        <v>99.901591530214532</v>
      </c>
      <c r="U13" s="39" t="str">
        <f t="shared" si="2"/>
        <v>Alto</v>
      </c>
      <c r="V13" s="15">
        <v>-6.2105641732824396E-3</v>
      </c>
      <c r="W13" s="15">
        <v>49.75223592936991</v>
      </c>
      <c r="X13" s="40" t="str">
        <f t="shared" si="3"/>
        <v>Normal</v>
      </c>
      <c r="Y13" s="19">
        <v>3.5318949339453044E-2</v>
      </c>
      <c r="Z13" s="19">
        <v>51.408729331554312</v>
      </c>
      <c r="AA13" s="39" t="str">
        <f t="shared" si="5"/>
        <v>Normal</v>
      </c>
      <c r="AB13" s="19">
        <v>0.8747612591557471</v>
      </c>
      <c r="AC13" s="19">
        <v>80.914808972360078</v>
      </c>
      <c r="AD13" s="39" t="str">
        <f t="shared" si="4"/>
        <v>Normal</v>
      </c>
      <c r="AE13" s="19" t="s">
        <v>172</v>
      </c>
      <c r="AF13" s="19" t="s">
        <v>172</v>
      </c>
      <c r="AG13" s="19" t="s">
        <v>172</v>
      </c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</row>
    <row r="14" spans="1:139" x14ac:dyDescent="0.25">
      <c r="A14" s="7">
        <v>13</v>
      </c>
      <c r="B14" s="11" t="s">
        <v>156</v>
      </c>
      <c r="C14" s="7">
        <v>2</v>
      </c>
      <c r="D14" s="7">
        <v>1</v>
      </c>
      <c r="E14" s="6">
        <v>41693</v>
      </c>
      <c r="F14" s="6">
        <v>44375</v>
      </c>
      <c r="G14" s="14">
        <v>7</v>
      </c>
      <c r="H14" s="7">
        <v>5</v>
      </c>
      <c r="I14" s="7">
        <v>64</v>
      </c>
      <c r="J14" s="7">
        <v>16.7</v>
      </c>
      <c r="K14" s="7">
        <v>1.0900000000000001</v>
      </c>
      <c r="L14" s="7">
        <f t="shared" si="0"/>
        <v>109.00000000000001</v>
      </c>
      <c r="M14" s="7">
        <v>61.5</v>
      </c>
      <c r="N14" s="19">
        <f t="shared" si="1"/>
        <v>43.577981651376149</v>
      </c>
      <c r="O14" s="7">
        <v>51</v>
      </c>
      <c r="P14" s="7">
        <v>42</v>
      </c>
      <c r="Q14" s="64">
        <v>14.056055887551551</v>
      </c>
      <c r="R14" s="11"/>
      <c r="S14" s="19">
        <v>-0.61139319580076734</v>
      </c>
      <c r="T14" s="19">
        <v>27.046965305525404</v>
      </c>
      <c r="U14" s="39" t="str">
        <f t="shared" si="2"/>
        <v>Normal</v>
      </c>
      <c r="V14" s="15">
        <v>-1.7666891149816752</v>
      </c>
      <c r="W14" s="15">
        <v>3.8640153654482368</v>
      </c>
      <c r="X14" s="40" t="str">
        <f t="shared" si="3"/>
        <v>Piernas cortas</v>
      </c>
      <c r="Y14" s="19">
        <v>-1.0043697079802139</v>
      </c>
      <c r="Z14" s="19">
        <v>15.76002226547919</v>
      </c>
      <c r="AA14" s="39" t="str">
        <f t="shared" si="5"/>
        <v>Normal</v>
      </c>
      <c r="AB14" s="19">
        <v>-1.8622716520142881</v>
      </c>
      <c r="AC14" s="19">
        <v>3.1282404579093539</v>
      </c>
      <c r="AD14" s="39" t="str">
        <f t="shared" si="4"/>
        <v>Bajo</v>
      </c>
      <c r="AE14" s="19" t="s">
        <v>172</v>
      </c>
      <c r="AF14" s="19" t="s">
        <v>172</v>
      </c>
      <c r="AG14" s="19" t="s">
        <v>172</v>
      </c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</row>
    <row r="15" spans="1:139" s="54" customFormat="1" x14ac:dyDescent="0.25">
      <c r="A15" s="7">
        <v>14</v>
      </c>
      <c r="B15" s="11" t="s">
        <v>143</v>
      </c>
      <c r="C15" s="7">
        <v>1</v>
      </c>
      <c r="D15" s="7">
        <v>2</v>
      </c>
      <c r="E15" s="6">
        <v>42798</v>
      </c>
      <c r="F15" s="6">
        <v>44375</v>
      </c>
      <c r="G15" s="14">
        <v>4</v>
      </c>
      <c r="H15" s="7">
        <v>4</v>
      </c>
      <c r="I15" s="7">
        <v>51</v>
      </c>
      <c r="J15" s="7">
        <v>17.7</v>
      </c>
      <c r="K15" s="7">
        <v>1.07</v>
      </c>
      <c r="L15" s="7">
        <f t="shared" si="0"/>
        <v>107</v>
      </c>
      <c r="M15" s="7">
        <v>69</v>
      </c>
      <c r="N15" s="19">
        <f t="shared" si="1"/>
        <v>35.514018691588781</v>
      </c>
      <c r="O15" s="7">
        <v>51</v>
      </c>
      <c r="P15" s="7">
        <v>53.5</v>
      </c>
      <c r="Q15" s="64">
        <v>15.459865490435845</v>
      </c>
      <c r="R15" s="11"/>
      <c r="S15" s="19">
        <v>0.57011981500465603</v>
      </c>
      <c r="T15" s="19">
        <v>71.570178174729747</v>
      </c>
      <c r="U15" s="39" t="str">
        <f t="shared" si="2"/>
        <v>Normal</v>
      </c>
      <c r="V15" s="15">
        <v>-6.9518523693521574</v>
      </c>
      <c r="W15" s="15">
        <v>1.8026029160120648E-10</v>
      </c>
      <c r="X15" s="40" t="str">
        <f t="shared" si="3"/>
        <v>Piernas cortas</v>
      </c>
      <c r="Y15" s="19">
        <v>0.14557516213285238</v>
      </c>
      <c r="Z15" s="19">
        <v>55.787161159067232</v>
      </c>
      <c r="AA15" s="39" t="str">
        <f t="shared" si="5"/>
        <v>Normal</v>
      </c>
      <c r="AB15" s="19">
        <v>0.98780380105365739</v>
      </c>
      <c r="AC15" s="19">
        <v>83.837562717815345</v>
      </c>
      <c r="AD15" s="39" t="str">
        <f t="shared" si="4"/>
        <v>Normal</v>
      </c>
      <c r="AE15" s="19">
        <v>1.040128501702501</v>
      </c>
      <c r="AF15" s="19">
        <v>85.085989823497982</v>
      </c>
      <c r="AG15" s="39" t="str">
        <f>IF(AE15&lt;-1.645,"Pequeño",IF(AND(AE15&gt;=-1.645,AE15&lt;-1.036),"Debajo del promedio",IF(AND(AE15&gt;=-1.036,AE15&lt;=1.036),"Normal",IF(AND(AE15&gt;1.036,AE15&lt;=1.645),"Arriba del promedio",IF(AE15&gt;1.645,"Grande","")))))</f>
        <v>Arriba del promedio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</row>
    <row r="16" spans="1:139" x14ac:dyDescent="0.25">
      <c r="A16" s="7">
        <v>17</v>
      </c>
      <c r="B16" s="11" t="s">
        <v>144</v>
      </c>
      <c r="C16" s="7">
        <v>3</v>
      </c>
      <c r="D16" s="7">
        <v>1</v>
      </c>
      <c r="E16" s="6">
        <v>41060</v>
      </c>
      <c r="F16" s="6">
        <v>44375</v>
      </c>
      <c r="G16" s="14">
        <v>9</v>
      </c>
      <c r="H16" s="7">
        <v>8</v>
      </c>
      <c r="I16" s="7">
        <v>96</v>
      </c>
      <c r="J16" s="7">
        <v>25.7</v>
      </c>
      <c r="K16" s="7">
        <v>1.25</v>
      </c>
      <c r="L16" s="7">
        <f t="shared" si="0"/>
        <v>125</v>
      </c>
      <c r="M16" s="7">
        <v>84</v>
      </c>
      <c r="N16" s="19">
        <f t="shared" si="1"/>
        <v>32.800000000000004</v>
      </c>
      <c r="O16" s="7">
        <v>0</v>
      </c>
      <c r="P16" s="7">
        <v>58</v>
      </c>
      <c r="Q16" s="64">
        <v>16.448</v>
      </c>
      <c r="R16" s="11"/>
      <c r="S16" s="19">
        <v>-0.40104283261070822</v>
      </c>
      <c r="T16" s="19">
        <v>34.41942944350123</v>
      </c>
      <c r="U16" s="39" t="str">
        <f t="shared" si="2"/>
        <v>Normal</v>
      </c>
      <c r="V16" s="15">
        <v>-11.996282616202869</v>
      </c>
      <c r="W16" s="15">
        <v>1.8580776487074295E-31</v>
      </c>
      <c r="X16" s="40" t="str">
        <f t="shared" si="3"/>
        <v>Piernas cortas</v>
      </c>
      <c r="Y16" s="19">
        <v>0.4493298902304565</v>
      </c>
      <c r="Z16" s="19">
        <v>67.340315066071682</v>
      </c>
      <c r="AA16" s="39" t="str">
        <f t="shared" si="5"/>
        <v>Normal</v>
      </c>
      <c r="AB16" s="19">
        <v>0.21971717673518171</v>
      </c>
      <c r="AC16" s="19">
        <v>58.695428678092412</v>
      </c>
      <c r="AD16" s="39" t="str">
        <f t="shared" si="4"/>
        <v>Normal</v>
      </c>
      <c r="AE16" s="19" t="s">
        <v>172</v>
      </c>
      <c r="AF16" s="19" t="s">
        <v>172</v>
      </c>
      <c r="AG16" s="19" t="s">
        <v>172</v>
      </c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</row>
    <row r="17" spans="1:139" x14ac:dyDescent="0.25">
      <c r="A17" s="7">
        <v>18</v>
      </c>
      <c r="B17" s="11" t="s">
        <v>154</v>
      </c>
      <c r="C17" s="7">
        <v>4</v>
      </c>
      <c r="D17" s="7">
        <v>1</v>
      </c>
      <c r="E17" s="6">
        <v>40899</v>
      </c>
      <c r="F17" s="6">
        <v>44375</v>
      </c>
      <c r="G17" s="14">
        <v>9</v>
      </c>
      <c r="H17" s="7">
        <v>8</v>
      </c>
      <c r="I17" s="7">
        <v>101</v>
      </c>
      <c r="J17" s="7">
        <v>25.9</v>
      </c>
      <c r="K17" s="7">
        <v>1.27</v>
      </c>
      <c r="L17" s="7">
        <f t="shared" si="0"/>
        <v>127</v>
      </c>
      <c r="M17" s="7">
        <v>72</v>
      </c>
      <c r="N17" s="19">
        <f t="shared" si="1"/>
        <v>43.30708661417323</v>
      </c>
      <c r="O17" s="7">
        <v>0</v>
      </c>
      <c r="P17" s="7">
        <v>59.5</v>
      </c>
      <c r="Q17" s="64">
        <v>16.058032116064233</v>
      </c>
      <c r="R17" s="11"/>
      <c r="S17" s="19">
        <v>-0.42919691113583019</v>
      </c>
      <c r="T17" s="19">
        <v>33.388996534627339</v>
      </c>
      <c r="U17" s="39" t="str">
        <f t="shared" si="2"/>
        <v>Normal</v>
      </c>
      <c r="V17" s="15">
        <v>-3.2637163681582511</v>
      </c>
      <c r="W17" s="15">
        <v>5.4980593197514235E-2</v>
      </c>
      <c r="X17" s="40" t="str">
        <f t="shared" si="3"/>
        <v>Piernas cortas</v>
      </c>
      <c r="Y17" s="19">
        <v>0.1264478892879497</v>
      </c>
      <c r="Z17" s="19">
        <v>55.031130191549124</v>
      </c>
      <c r="AA17" s="39" t="str">
        <f t="shared" si="5"/>
        <v>Normal</v>
      </c>
      <c r="AB17" s="19">
        <v>0.26300040128220348</v>
      </c>
      <c r="AC17" s="19">
        <v>60.372486508903442</v>
      </c>
      <c r="AD17" s="39" t="str">
        <f t="shared" si="4"/>
        <v>Normal</v>
      </c>
      <c r="AE17" s="19" t="s">
        <v>172</v>
      </c>
      <c r="AF17" s="19" t="s">
        <v>172</v>
      </c>
      <c r="AG17" s="19" t="s">
        <v>172</v>
      </c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</row>
    <row r="18" spans="1:139" s="54" customFormat="1" x14ac:dyDescent="0.25">
      <c r="A18" s="7">
        <v>23</v>
      </c>
      <c r="B18" s="11" t="s">
        <v>145</v>
      </c>
      <c r="C18" s="7">
        <v>2</v>
      </c>
      <c r="D18" s="7">
        <v>2</v>
      </c>
      <c r="E18" s="6">
        <v>41391</v>
      </c>
      <c r="F18" s="6">
        <v>44375</v>
      </c>
      <c r="G18" s="14">
        <v>8</v>
      </c>
      <c r="H18" s="7">
        <v>7</v>
      </c>
      <c r="I18" s="7">
        <v>86</v>
      </c>
      <c r="J18" s="7">
        <v>23.6</v>
      </c>
      <c r="K18" s="7">
        <v>1.28</v>
      </c>
      <c r="L18" s="7">
        <f t="shared" si="0"/>
        <v>128</v>
      </c>
      <c r="M18" s="7">
        <v>65.5</v>
      </c>
      <c r="N18" s="19">
        <f t="shared" si="1"/>
        <v>48.828125</v>
      </c>
      <c r="O18" s="7">
        <v>0</v>
      </c>
      <c r="P18" s="7">
        <v>55</v>
      </c>
      <c r="Q18" s="64">
        <v>14.404296875</v>
      </c>
      <c r="R18" s="11"/>
      <c r="S18" s="19">
        <v>1.1300613194632538</v>
      </c>
      <c r="T18" s="19">
        <v>87.077480643734276</v>
      </c>
      <c r="U18" s="39" t="str">
        <f t="shared" si="2"/>
        <v>Normal</v>
      </c>
      <c r="V18" s="15">
        <v>0.83438088128160715</v>
      </c>
      <c r="W18" s="15">
        <v>79.796680632744156</v>
      </c>
      <c r="X18" s="40" t="str">
        <f t="shared" si="3"/>
        <v>Normal</v>
      </c>
      <c r="Y18" s="19">
        <v>-0.66990559979016351</v>
      </c>
      <c r="Z18" s="19">
        <v>25.145898489957219</v>
      </c>
      <c r="AA18" s="39" t="str">
        <f t="shared" si="5"/>
        <v>Normal</v>
      </c>
      <c r="AB18" s="19">
        <v>0.437591404979215</v>
      </c>
      <c r="AC18" s="19">
        <v>66.915874855541318</v>
      </c>
      <c r="AD18" s="39" t="str">
        <f t="shared" si="4"/>
        <v>Normal</v>
      </c>
      <c r="AE18" s="19" t="s">
        <v>172</v>
      </c>
      <c r="AF18" s="19" t="s">
        <v>172</v>
      </c>
      <c r="AG18" s="19" t="s">
        <v>172</v>
      </c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</row>
    <row r="19" spans="1:139" x14ac:dyDescent="0.25">
      <c r="A19" s="7">
        <v>24</v>
      </c>
      <c r="B19" s="11" t="s">
        <v>146</v>
      </c>
      <c r="C19" s="7">
        <v>3</v>
      </c>
      <c r="D19" s="7">
        <v>1</v>
      </c>
      <c r="E19" s="6">
        <v>42193</v>
      </c>
      <c r="F19" s="6">
        <v>44375</v>
      </c>
      <c r="G19" s="14">
        <v>5</v>
      </c>
      <c r="H19" s="7">
        <v>5</v>
      </c>
      <c r="I19" s="7">
        <v>60</v>
      </c>
      <c r="J19" s="7">
        <v>21.4</v>
      </c>
      <c r="K19" s="7">
        <v>1.19</v>
      </c>
      <c r="L19" s="7">
        <f t="shared" si="0"/>
        <v>119</v>
      </c>
      <c r="M19" s="7">
        <v>64</v>
      </c>
      <c r="N19" s="19">
        <f t="shared" si="1"/>
        <v>46.218487394957982</v>
      </c>
      <c r="O19" s="7">
        <v>51</v>
      </c>
      <c r="P19" s="7">
        <v>53</v>
      </c>
      <c r="Q19" s="64">
        <v>15.111927123790693</v>
      </c>
      <c r="R19" s="11"/>
      <c r="S19" s="19">
        <v>1.9500312184973925</v>
      </c>
      <c r="T19" s="19">
        <v>97.441380087890963</v>
      </c>
      <c r="U19" s="39" t="str">
        <f t="shared" si="2"/>
        <v>Alto</v>
      </c>
      <c r="V19" s="15">
        <v>0.16179482231841832</v>
      </c>
      <c r="W19" s="15">
        <v>56.426628474334827</v>
      </c>
      <c r="X19" s="40" t="str">
        <f t="shared" si="3"/>
        <v>Normal</v>
      </c>
      <c r="Y19" s="19">
        <v>-6.202155883204126E-2</v>
      </c>
      <c r="Z19" s="19">
        <v>47.527283179233542</v>
      </c>
      <c r="AA19" s="39" t="str">
        <f t="shared" si="5"/>
        <v>Normal</v>
      </c>
      <c r="AB19" s="19">
        <v>0.48669341370520519</v>
      </c>
      <c r="AC19" s="19">
        <v>68.676219330881352</v>
      </c>
      <c r="AD19" s="39" t="str">
        <f t="shared" si="4"/>
        <v>Normal</v>
      </c>
      <c r="AE19" s="19">
        <v>0.17561738290961731</v>
      </c>
      <c r="AF19" s="19">
        <v>56.970272749290643</v>
      </c>
      <c r="AG19" s="39" t="str">
        <f>IF(AE19&lt;-1.645,"Pequeño",IF(AND(AE19&gt;=-1.645,AE19&lt;-1.036),"Debajo del promedio",IF(AND(AE19&gt;=-1.036,AE19&lt;=1.036),"Normal",IF(AND(AE19&gt;1.036,AE19&lt;=1.645),"Arriba del promedio",IF(AE19&gt;1.645,"Grande","")))))</f>
        <v>Normal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</row>
    <row r="20" spans="1:139" x14ac:dyDescent="0.25">
      <c r="A20" s="7">
        <v>25</v>
      </c>
      <c r="B20" s="11" t="s">
        <v>147</v>
      </c>
      <c r="C20" s="7">
        <v>2</v>
      </c>
      <c r="D20" s="7">
        <v>1</v>
      </c>
      <c r="E20" s="6">
        <v>41527</v>
      </c>
      <c r="F20" s="6">
        <v>44375</v>
      </c>
      <c r="G20" s="14">
        <v>7</v>
      </c>
      <c r="H20" s="7">
        <v>6</v>
      </c>
      <c r="I20" s="7">
        <v>74</v>
      </c>
      <c r="J20" s="7">
        <v>20.9</v>
      </c>
      <c r="K20" s="7">
        <v>1.2</v>
      </c>
      <c r="L20" s="7">
        <f t="shared" si="0"/>
        <v>120</v>
      </c>
      <c r="M20" s="7">
        <v>63</v>
      </c>
      <c r="N20" s="19">
        <f t="shared" si="1"/>
        <v>47.5</v>
      </c>
      <c r="O20" s="7">
        <v>0</v>
      </c>
      <c r="P20" s="7">
        <v>53</v>
      </c>
      <c r="Q20" s="64">
        <v>14.513888888888889</v>
      </c>
      <c r="R20" s="11"/>
      <c r="S20" s="19">
        <v>0.61522240124341421</v>
      </c>
      <c r="T20" s="19">
        <v>73.079607207472719</v>
      </c>
      <c r="U20" s="39" t="str">
        <f t="shared" si="2"/>
        <v>Normal</v>
      </c>
      <c r="V20" s="15">
        <v>0.46777943323662668</v>
      </c>
      <c r="W20" s="15">
        <v>68.002883510122231</v>
      </c>
      <c r="X20" s="40" t="str">
        <f t="shared" si="3"/>
        <v>Normal</v>
      </c>
      <c r="Y20" s="19">
        <v>-0.64275022981407648</v>
      </c>
      <c r="Z20" s="19">
        <v>26.019309120900303</v>
      </c>
      <c r="AA20" s="39" t="str">
        <f t="shared" si="5"/>
        <v>Normal</v>
      </c>
      <c r="AB20" s="19">
        <v>0.13681328965135556</v>
      </c>
      <c r="AC20" s="19">
        <v>55.441081059889456</v>
      </c>
      <c r="AD20" s="39" t="str">
        <f t="shared" si="4"/>
        <v>Normal</v>
      </c>
      <c r="AE20" s="19" t="s">
        <v>172</v>
      </c>
      <c r="AF20" s="19" t="s">
        <v>172</v>
      </c>
      <c r="AG20" s="19" t="s">
        <v>172</v>
      </c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</row>
    <row r="21" spans="1:139" s="54" customFormat="1" x14ac:dyDescent="0.25">
      <c r="A21" s="7">
        <v>26</v>
      </c>
      <c r="B21" s="11" t="s">
        <v>148</v>
      </c>
      <c r="C21" s="7">
        <v>2</v>
      </c>
      <c r="D21" s="7">
        <v>2</v>
      </c>
      <c r="E21" s="6">
        <v>42514</v>
      </c>
      <c r="F21" s="6">
        <v>44375</v>
      </c>
      <c r="G21" s="14">
        <v>5</v>
      </c>
      <c r="H21" s="7">
        <v>5</v>
      </c>
      <c r="I21" s="7">
        <v>61</v>
      </c>
      <c r="J21" s="7">
        <v>20.399999999999999</v>
      </c>
      <c r="K21" s="7">
        <v>1.1200000000000001</v>
      </c>
      <c r="L21" s="7">
        <f t="shared" si="0"/>
        <v>112.00000000000001</v>
      </c>
      <c r="M21" s="7">
        <v>62</v>
      </c>
      <c r="N21" s="19">
        <f t="shared" si="1"/>
        <v>44.642857142857153</v>
      </c>
      <c r="O21" s="7">
        <v>50</v>
      </c>
      <c r="P21" s="7">
        <v>46</v>
      </c>
      <c r="Q21" s="64">
        <v>16.262755102040813</v>
      </c>
      <c r="R21" s="11"/>
      <c r="S21" s="19">
        <v>0.50247743330772954</v>
      </c>
      <c r="T21" s="19">
        <v>69.233413875691326</v>
      </c>
      <c r="U21" s="39" t="str">
        <f t="shared" si="2"/>
        <v>Normal</v>
      </c>
      <c r="V21" s="15">
        <v>-0.86297997845882879</v>
      </c>
      <c r="W21" s="15">
        <v>19.407423758012268</v>
      </c>
      <c r="X21" s="40" t="str">
        <f t="shared" si="3"/>
        <v>Normal</v>
      </c>
      <c r="Y21" s="19">
        <v>0.6485873164653021</v>
      </c>
      <c r="Z21" s="19">
        <v>74.169742206916794</v>
      </c>
      <c r="AA21" s="39" t="str">
        <f t="shared" si="5"/>
        <v>Normal</v>
      </c>
      <c r="AB21" s="19">
        <v>-0.78346708304179025</v>
      </c>
      <c r="AC21" s="19">
        <v>21.667643812449899</v>
      </c>
      <c r="AD21" s="39" t="str">
        <f t="shared" si="4"/>
        <v>Normal</v>
      </c>
      <c r="AE21" s="19" t="s">
        <v>172</v>
      </c>
      <c r="AF21" s="19" t="s">
        <v>172</v>
      </c>
      <c r="AG21" s="19" t="s">
        <v>172</v>
      </c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</row>
    <row r="22" spans="1:139" x14ac:dyDescent="0.25">
      <c r="U22" s="39"/>
      <c r="X22" s="40"/>
      <c r="AA22" s="39"/>
      <c r="AB22" s="7"/>
      <c r="AC22" s="7"/>
      <c r="AD22" s="39"/>
      <c r="AG22" s="41"/>
    </row>
    <row r="23" spans="1:139" ht="15.75" x14ac:dyDescent="0.25">
      <c r="A23" s="1"/>
      <c r="C23" s="1"/>
      <c r="D23" s="1"/>
      <c r="E23" s="1"/>
      <c r="F23" s="2"/>
      <c r="G23" s="2"/>
      <c r="H23" s="129"/>
      <c r="I23" s="129"/>
      <c r="J23" s="1"/>
      <c r="K23" s="1"/>
      <c r="L23" s="1"/>
      <c r="M23" s="1"/>
      <c r="N23" s="1"/>
      <c r="O23" s="1"/>
      <c r="P23" s="1"/>
      <c r="Q23" s="5"/>
      <c r="S23" s="36"/>
      <c r="T23" s="36"/>
      <c r="U23" s="19"/>
      <c r="V23" s="36"/>
      <c r="W23" s="34"/>
      <c r="X23" s="31"/>
      <c r="Y23"/>
      <c r="Z23" s="36"/>
      <c r="AA23" s="36"/>
      <c r="AB23"/>
      <c r="AC23"/>
      <c r="AD23"/>
    </row>
    <row r="24" spans="1:139" ht="15.75" x14ac:dyDescent="0.25">
      <c r="A24" s="1"/>
      <c r="C24" s="1"/>
      <c r="D24" s="1"/>
      <c r="E24" s="1"/>
      <c r="F24" s="2"/>
      <c r="G24" s="2"/>
      <c r="H24" s="130"/>
      <c r="I24" s="130"/>
      <c r="J24" s="1"/>
      <c r="K24" s="1"/>
      <c r="L24" s="1"/>
      <c r="M24" s="1"/>
      <c r="N24" s="1"/>
      <c r="O24" s="1"/>
      <c r="P24" s="1"/>
      <c r="Q24" s="5"/>
      <c r="S24" s="36"/>
      <c r="T24" s="36"/>
      <c r="U24" s="19"/>
      <c r="V24" s="36"/>
      <c r="W24" s="34"/>
      <c r="X24" s="31"/>
      <c r="Y24"/>
      <c r="Z24" s="36"/>
      <c r="AA24" s="36"/>
      <c r="AB24"/>
      <c r="AC24"/>
      <c r="AD24"/>
    </row>
    <row r="25" spans="1:139" ht="15.75" x14ac:dyDescent="0.25">
      <c r="A25" s="1"/>
      <c r="B25" s="11"/>
      <c r="C25" s="7"/>
      <c r="D25" s="7"/>
      <c r="E25" s="138"/>
      <c r="F25" s="2"/>
      <c r="G25" s="6"/>
      <c r="H25" s="137"/>
      <c r="I25" s="137"/>
      <c r="J25" s="138"/>
      <c r="K25" s="7"/>
      <c r="L25" s="7"/>
      <c r="M25" s="7"/>
      <c r="N25" s="120"/>
      <c r="O25" s="120"/>
      <c r="P25" s="120"/>
      <c r="Q25" s="64"/>
      <c r="R25" s="120"/>
      <c r="S25" s="120"/>
      <c r="T25" s="120"/>
      <c r="U25" s="120"/>
      <c r="V25" s="120"/>
      <c r="W25" s="120"/>
      <c r="X25" s="141"/>
      <c r="Y25" s="11"/>
      <c r="Z25" s="42"/>
      <c r="AA25" s="42"/>
      <c r="AB25"/>
      <c r="AC25"/>
      <c r="AD25"/>
      <c r="AH25" s="11"/>
      <c r="AI25" s="11"/>
      <c r="AJ25" s="11"/>
    </row>
    <row r="26" spans="1:139" ht="15.75" x14ac:dyDescent="0.25">
      <c r="A26" s="1"/>
      <c r="B26" s="11"/>
      <c r="C26" s="7"/>
      <c r="D26" s="7"/>
      <c r="E26" s="139"/>
      <c r="F26" s="2"/>
      <c r="G26" s="6"/>
      <c r="H26" s="126"/>
      <c r="I26" s="126"/>
      <c r="J26" s="138"/>
      <c r="K26" s="7"/>
      <c r="L26" s="7"/>
      <c r="M26" s="11"/>
      <c r="N26" s="7"/>
      <c r="O26" s="7"/>
      <c r="P26" s="7"/>
      <c r="Q26" s="64"/>
      <c r="R26" s="97"/>
      <c r="S26" s="105"/>
      <c r="T26" s="11"/>
      <c r="U26" s="97"/>
      <c r="V26" s="105"/>
      <c r="W26" s="15"/>
      <c r="X26" s="141"/>
      <c r="Y26" s="11"/>
      <c r="Z26" s="42"/>
      <c r="AA26" s="42"/>
      <c r="AB26"/>
      <c r="AC26"/>
      <c r="AD26"/>
      <c r="AH26" s="11"/>
      <c r="AI26" s="11"/>
      <c r="AJ26" s="11"/>
    </row>
    <row r="27" spans="1:139" ht="15.75" x14ac:dyDescent="0.25">
      <c r="A27" s="1"/>
      <c r="B27" s="11"/>
      <c r="C27" s="7"/>
      <c r="D27" s="7"/>
      <c r="E27" s="138"/>
      <c r="F27" s="2"/>
      <c r="G27" s="138"/>
      <c r="H27" s="126"/>
      <c r="I27" s="126"/>
      <c r="J27" s="138"/>
      <c r="K27" s="7"/>
      <c r="L27" s="7"/>
      <c r="M27" s="7"/>
      <c r="N27" s="7"/>
      <c r="O27" s="7"/>
      <c r="P27" s="7"/>
      <c r="Q27" s="64"/>
      <c r="R27" s="11"/>
      <c r="S27" s="11"/>
      <c r="T27" s="11"/>
      <c r="U27" s="42"/>
      <c r="V27" s="19"/>
      <c r="W27" s="37"/>
      <c r="X27" s="141"/>
      <c r="Y27" s="11"/>
      <c r="Z27" s="42"/>
      <c r="AA27" s="42"/>
      <c r="AB27"/>
      <c r="AC27"/>
      <c r="AD27"/>
      <c r="AH27" s="11"/>
      <c r="AI27" s="11"/>
      <c r="AJ27" s="11"/>
    </row>
    <row r="28" spans="1:139" ht="15.75" x14ac:dyDescent="0.25">
      <c r="A28" s="1"/>
      <c r="B28" s="11"/>
      <c r="C28" s="7"/>
      <c r="D28" s="7"/>
      <c r="E28" s="138"/>
      <c r="F28" s="2"/>
      <c r="G28" s="7"/>
      <c r="H28" s="126"/>
      <c r="I28" s="126"/>
      <c r="J28" s="138"/>
      <c r="K28" s="7"/>
      <c r="L28" s="7"/>
      <c r="M28" s="7"/>
      <c r="N28" s="7"/>
      <c r="O28" s="7"/>
      <c r="P28" s="7"/>
      <c r="Q28" s="64"/>
      <c r="R28" s="97"/>
      <c r="S28" s="42"/>
      <c r="T28" s="11"/>
      <c r="U28" s="122"/>
      <c r="V28" s="19"/>
      <c r="W28" s="37"/>
      <c r="X28" s="141"/>
      <c r="Y28" s="11"/>
      <c r="Z28" s="42"/>
      <c r="AA28" s="42"/>
      <c r="AB28"/>
      <c r="AC28"/>
      <c r="AD28"/>
      <c r="AH28" s="11"/>
      <c r="AI28" s="11"/>
      <c r="AJ28" s="11"/>
    </row>
    <row r="29" spans="1:139" ht="15.75" x14ac:dyDescent="0.25">
      <c r="A29" s="1"/>
      <c r="B29" s="11"/>
      <c r="C29" s="7"/>
      <c r="D29" s="7"/>
      <c r="E29" s="138"/>
      <c r="F29" s="2"/>
      <c r="G29" s="6"/>
      <c r="H29" s="126"/>
      <c r="I29" s="126"/>
      <c r="J29" s="138"/>
      <c r="K29" s="7"/>
      <c r="L29" s="7"/>
      <c r="M29" s="7"/>
      <c r="N29" s="7"/>
      <c r="O29" s="97"/>
      <c r="P29" s="97"/>
      <c r="Q29" s="64"/>
      <c r="R29" s="11"/>
      <c r="S29" s="97"/>
      <c r="T29" s="11"/>
      <c r="U29" s="37"/>
      <c r="V29" s="97"/>
      <c r="W29" s="37"/>
      <c r="X29" s="141"/>
      <c r="Y29" s="11"/>
      <c r="Z29" s="42"/>
      <c r="AA29" s="42"/>
      <c r="AB29"/>
      <c r="AC29"/>
      <c r="AD29"/>
      <c r="AH29" s="11"/>
      <c r="AI29" s="11"/>
      <c r="AJ29" s="11"/>
    </row>
    <row r="30" spans="1:139" ht="15.75" x14ac:dyDescent="0.25">
      <c r="A30" s="1"/>
      <c r="B30" s="11"/>
      <c r="C30" s="7"/>
      <c r="D30" s="7"/>
      <c r="E30" s="138"/>
      <c r="F30" s="2"/>
      <c r="G30" s="6"/>
      <c r="H30" s="126"/>
      <c r="I30" s="126"/>
      <c r="J30" s="138"/>
      <c r="K30" s="7"/>
      <c r="L30" s="7"/>
      <c r="M30" s="7"/>
      <c r="N30" s="7"/>
      <c r="O30" s="97"/>
      <c r="P30" s="97"/>
      <c r="Q30" s="64"/>
      <c r="R30" s="11"/>
      <c r="S30" s="97"/>
      <c r="T30" s="43"/>
      <c r="U30" s="37"/>
      <c r="V30" s="97"/>
      <c r="W30" s="37"/>
      <c r="X30" s="141"/>
      <c r="Y30" s="11"/>
      <c r="Z30" s="42"/>
      <c r="AA30" s="42"/>
      <c r="AB30"/>
      <c r="AC30"/>
      <c r="AD30"/>
      <c r="AH30" s="11"/>
      <c r="AI30" s="11"/>
      <c r="AJ30" s="11"/>
    </row>
    <row r="31" spans="1:139" ht="15.75" x14ac:dyDescent="0.25">
      <c r="A31" s="1"/>
      <c r="B31" s="11"/>
      <c r="C31" s="7"/>
      <c r="D31" s="7"/>
      <c r="E31" s="140"/>
      <c r="F31" s="2"/>
      <c r="G31" s="142"/>
      <c r="H31" s="131"/>
      <c r="I31" s="132"/>
      <c r="J31" s="138"/>
      <c r="K31" s="7"/>
      <c r="L31" s="7"/>
      <c r="M31" s="7"/>
      <c r="N31" s="7"/>
      <c r="O31" s="97"/>
      <c r="P31" s="97"/>
      <c r="Q31" s="64"/>
      <c r="R31" s="11"/>
      <c r="S31" s="97"/>
      <c r="T31" s="43"/>
      <c r="U31" s="37"/>
      <c r="V31" s="97"/>
      <c r="W31" s="37"/>
      <c r="X31" s="141"/>
      <c r="Y31" s="11"/>
      <c r="Z31" s="42"/>
      <c r="AA31" s="42"/>
      <c r="AB31"/>
      <c r="AC31"/>
      <c r="AD31"/>
      <c r="AH31" s="11"/>
      <c r="AI31" s="11"/>
      <c r="AJ31" s="11"/>
    </row>
    <row r="32" spans="1:139" ht="15.75" x14ac:dyDescent="0.25">
      <c r="A32" s="1"/>
      <c r="B32" s="11"/>
      <c r="C32" s="7"/>
      <c r="D32" s="7"/>
      <c r="E32" s="140"/>
      <c r="F32" s="2"/>
      <c r="G32" s="142"/>
      <c r="H32" s="132"/>
      <c r="I32" s="133"/>
      <c r="J32" s="138"/>
      <c r="K32" s="7"/>
      <c r="L32" s="7"/>
      <c r="M32" s="7"/>
      <c r="N32" s="7"/>
      <c r="O32" s="7"/>
      <c r="P32" s="7"/>
      <c r="Q32" s="64"/>
      <c r="R32" s="11"/>
      <c r="S32" s="42"/>
      <c r="T32" s="42"/>
      <c r="U32" s="19"/>
      <c r="V32" s="42"/>
      <c r="W32" s="37"/>
      <c r="X32" s="141"/>
      <c r="Y32" s="11"/>
      <c r="Z32" s="42"/>
      <c r="AA32" s="42"/>
      <c r="AB32"/>
      <c r="AC32"/>
      <c r="AD32"/>
      <c r="AH32" s="11"/>
      <c r="AI32" s="11"/>
      <c r="AJ32" s="11"/>
    </row>
    <row r="33" spans="1:36" ht="15.75" x14ac:dyDescent="0.25">
      <c r="A33" s="1"/>
      <c r="B33" s="11"/>
      <c r="C33" s="7"/>
      <c r="D33" s="7"/>
      <c r="E33" s="140"/>
      <c r="F33" s="2"/>
      <c r="G33" s="142"/>
      <c r="H33" s="132"/>
      <c r="I33" s="133"/>
      <c r="J33" s="138"/>
      <c r="K33" s="7"/>
      <c r="L33" s="7"/>
      <c r="M33" s="7"/>
      <c r="N33" s="7"/>
      <c r="O33" s="7"/>
      <c r="P33" s="7"/>
      <c r="Q33" s="64"/>
      <c r="R33" s="11"/>
      <c r="S33" s="42"/>
      <c r="T33" s="42"/>
      <c r="U33" s="19"/>
      <c r="V33" s="42"/>
      <c r="W33" s="37"/>
      <c r="X33" s="141"/>
      <c r="Y33" s="11"/>
      <c r="Z33" s="42"/>
      <c r="AA33" s="42"/>
      <c r="AB33"/>
      <c r="AC33"/>
      <c r="AD33"/>
      <c r="AH33" s="11"/>
      <c r="AI33" s="11"/>
      <c r="AJ33" s="11"/>
    </row>
    <row r="34" spans="1:36" ht="15.75" x14ac:dyDescent="0.25">
      <c r="A34" s="1"/>
      <c r="B34" s="11"/>
      <c r="C34" s="7"/>
      <c r="D34" s="7"/>
      <c r="E34" s="140"/>
      <c r="F34" s="2"/>
      <c r="G34" s="142"/>
      <c r="H34" s="132"/>
      <c r="I34" s="132"/>
      <c r="J34" s="138"/>
      <c r="K34" s="7"/>
      <c r="L34" s="7"/>
      <c r="M34" s="7"/>
      <c r="N34" s="7"/>
      <c r="O34" s="7"/>
      <c r="P34" s="7"/>
      <c r="Q34" s="64"/>
      <c r="R34" s="11"/>
      <c r="S34" s="42"/>
      <c r="T34" s="42"/>
      <c r="U34" s="19"/>
      <c r="V34" s="42"/>
      <c r="W34" s="37"/>
      <c r="X34" s="141"/>
      <c r="Y34" s="11"/>
      <c r="Z34" s="42"/>
      <c r="AA34" s="42"/>
      <c r="AB34"/>
      <c r="AC34"/>
      <c r="AD34"/>
      <c r="AH34" s="11"/>
      <c r="AI34" s="11"/>
      <c r="AJ34" s="11"/>
    </row>
    <row r="35" spans="1:36" ht="15.75" x14ac:dyDescent="0.25">
      <c r="A35" s="1"/>
      <c r="B35" s="11"/>
      <c r="C35" s="7"/>
      <c r="D35" s="7"/>
      <c r="E35" s="138"/>
      <c r="F35" s="2"/>
      <c r="G35" s="6"/>
      <c r="H35" s="126"/>
      <c r="I35" s="126"/>
      <c r="J35" s="138"/>
      <c r="K35" s="7"/>
      <c r="L35" s="7"/>
      <c r="M35" s="7"/>
      <c r="N35" s="120"/>
      <c r="O35" s="120"/>
      <c r="P35" s="120"/>
      <c r="Q35" s="64"/>
      <c r="R35" s="120"/>
      <c r="S35" s="120"/>
      <c r="T35" s="120"/>
      <c r="U35" s="120"/>
      <c r="V35" s="120"/>
      <c r="W35" s="120"/>
      <c r="X35" s="141"/>
      <c r="Y35" s="11"/>
      <c r="Z35" s="42"/>
      <c r="AA35" s="42"/>
      <c r="AB35"/>
      <c r="AC35"/>
      <c r="AD35"/>
      <c r="AH35" s="11"/>
      <c r="AI35" s="11"/>
      <c r="AJ35" s="11"/>
    </row>
    <row r="36" spans="1:36" ht="15.75" x14ac:dyDescent="0.25">
      <c r="A36" s="1"/>
      <c r="B36" s="11"/>
      <c r="C36" s="7"/>
      <c r="D36" s="7"/>
      <c r="E36" s="138"/>
      <c r="F36" s="2"/>
      <c r="G36" s="6"/>
      <c r="H36" s="126"/>
      <c r="I36" s="126"/>
      <c r="J36" s="138"/>
      <c r="K36" s="7"/>
      <c r="L36" s="7"/>
      <c r="M36" s="7"/>
      <c r="N36" s="7"/>
      <c r="O36" s="7"/>
      <c r="P36" s="7"/>
      <c r="Q36" s="64"/>
      <c r="R36" s="11"/>
      <c r="S36" s="42"/>
      <c r="T36" s="42"/>
      <c r="U36" s="19"/>
      <c r="V36" s="42"/>
      <c r="W36" s="37"/>
      <c r="X36" s="141"/>
      <c r="Y36" s="11"/>
      <c r="Z36" s="42"/>
      <c r="AA36" s="42"/>
      <c r="AB36"/>
      <c r="AC36"/>
      <c r="AD36"/>
      <c r="AH36" s="11"/>
      <c r="AI36" s="11"/>
      <c r="AJ36" s="11"/>
    </row>
    <row r="37" spans="1:36" ht="15.75" x14ac:dyDescent="0.25">
      <c r="A37" s="1"/>
      <c r="B37" s="11"/>
      <c r="C37" s="7"/>
      <c r="D37" s="7"/>
      <c r="E37" s="138"/>
      <c r="F37" s="2"/>
      <c r="G37" s="6"/>
      <c r="H37" s="126"/>
      <c r="I37" s="126"/>
      <c r="J37" s="138"/>
      <c r="K37" s="7"/>
      <c r="L37" s="7"/>
      <c r="M37" s="7"/>
      <c r="N37" s="7"/>
      <c r="O37" s="7"/>
      <c r="P37" s="7"/>
      <c r="Q37" s="64"/>
      <c r="R37" s="97"/>
      <c r="S37" s="105"/>
      <c r="T37" s="11"/>
      <c r="U37" s="97"/>
      <c r="V37" s="105"/>
      <c r="W37" s="15"/>
      <c r="X37" s="141"/>
      <c r="Y37" s="11"/>
      <c r="Z37" s="42"/>
      <c r="AA37" s="42"/>
      <c r="AB37"/>
      <c r="AC37"/>
      <c r="AD37"/>
      <c r="AH37" s="11"/>
      <c r="AI37" s="11"/>
      <c r="AJ37" s="11"/>
    </row>
    <row r="38" spans="1:36" ht="15.75" x14ac:dyDescent="0.25">
      <c r="A38" s="1"/>
      <c r="B38" s="11"/>
      <c r="C38" s="7"/>
      <c r="D38" s="7"/>
      <c r="E38" s="138"/>
      <c r="F38" s="2"/>
      <c r="G38" s="6"/>
      <c r="H38" s="126"/>
      <c r="I38" s="126"/>
      <c r="J38" s="138"/>
      <c r="K38" s="7"/>
      <c r="L38" s="7"/>
      <c r="M38" s="7"/>
      <c r="N38" s="7"/>
      <c r="O38" s="7"/>
      <c r="P38" s="11"/>
      <c r="Q38" s="64"/>
      <c r="R38" s="11"/>
      <c r="S38" s="11"/>
      <c r="T38" s="11"/>
      <c r="U38" s="42"/>
      <c r="V38" s="19"/>
      <c r="W38" s="37"/>
      <c r="X38" s="141"/>
      <c r="Y38" s="11"/>
      <c r="Z38" s="42"/>
      <c r="AA38" s="42"/>
      <c r="AB38"/>
      <c r="AC38"/>
      <c r="AD38"/>
      <c r="AH38" s="11"/>
      <c r="AI38" s="11"/>
      <c r="AJ38" s="11"/>
    </row>
    <row r="39" spans="1:36" ht="15.75" x14ac:dyDescent="0.25">
      <c r="A39" s="1"/>
      <c r="B39" s="11"/>
      <c r="C39" s="7"/>
      <c r="D39" s="7"/>
      <c r="E39" s="138"/>
      <c r="F39" s="2"/>
      <c r="G39" s="6"/>
      <c r="H39" s="126"/>
      <c r="I39" s="126"/>
      <c r="J39" s="138"/>
      <c r="K39" s="7"/>
      <c r="L39" s="7"/>
      <c r="M39" s="7"/>
      <c r="N39" s="7"/>
      <c r="O39" s="7"/>
      <c r="P39" s="11"/>
      <c r="Q39" s="64"/>
      <c r="R39" s="97"/>
      <c r="S39" s="42"/>
      <c r="T39" s="11"/>
      <c r="U39" s="122"/>
      <c r="V39" s="19"/>
      <c r="W39" s="37"/>
      <c r="X39" s="141"/>
      <c r="Y39" s="11"/>
      <c r="Z39" s="42"/>
      <c r="AA39" s="42"/>
      <c r="AB39"/>
      <c r="AC39"/>
      <c r="AD39"/>
      <c r="AH39" s="11"/>
      <c r="AI39" s="11"/>
      <c r="AJ39" s="11"/>
    </row>
    <row r="40" spans="1:36" ht="15.75" x14ac:dyDescent="0.25">
      <c r="A40" s="1"/>
      <c r="B40" s="11"/>
      <c r="C40" s="7"/>
      <c r="D40" s="7"/>
      <c r="E40" s="138"/>
      <c r="F40" s="6"/>
      <c r="G40" s="6"/>
      <c r="H40" s="143"/>
      <c r="I40" s="143"/>
      <c r="J40" s="138"/>
      <c r="K40" s="7"/>
      <c r="L40" s="7"/>
      <c r="M40" s="7"/>
      <c r="N40" s="7"/>
      <c r="O40" s="7"/>
      <c r="P40" s="7"/>
      <c r="Q40" s="64"/>
      <c r="R40" s="11"/>
      <c r="S40" s="97"/>
      <c r="T40" s="43"/>
      <c r="U40" s="37"/>
      <c r="V40" s="97"/>
      <c r="W40" s="37"/>
      <c r="X40" s="141"/>
      <c r="Y40" s="11"/>
      <c r="Z40" s="42"/>
      <c r="AA40" s="42"/>
      <c r="AB40"/>
      <c r="AC40"/>
      <c r="AD40"/>
      <c r="AH40" s="11"/>
      <c r="AI40" s="11"/>
      <c r="AJ40" s="11"/>
    </row>
    <row r="41" spans="1:36" ht="15.75" x14ac:dyDescent="0.25">
      <c r="A41" s="1"/>
      <c r="B41" s="11"/>
      <c r="C41" s="7"/>
      <c r="D41" s="7"/>
      <c r="E41" s="7"/>
      <c r="F41" s="2"/>
      <c r="G41" s="6"/>
      <c r="H41" s="143"/>
      <c r="I41" s="143"/>
      <c r="J41" s="7"/>
      <c r="K41" s="7"/>
      <c r="L41" s="7"/>
      <c r="M41" s="7"/>
      <c r="N41" s="7"/>
      <c r="O41" s="7"/>
      <c r="P41" s="7"/>
      <c r="Q41" s="64"/>
      <c r="R41" s="11"/>
      <c r="S41" s="97"/>
      <c r="T41" s="43"/>
      <c r="U41" s="37"/>
      <c r="V41" s="97"/>
      <c r="W41" s="37"/>
      <c r="X41" s="141"/>
      <c r="Y41" s="11"/>
      <c r="Z41" s="42"/>
      <c r="AA41" s="42"/>
      <c r="AB41"/>
      <c r="AC41"/>
      <c r="AD41"/>
      <c r="AH41" s="11"/>
      <c r="AI41" s="11"/>
      <c r="AJ41" s="11"/>
    </row>
    <row r="42" spans="1:36" ht="15.75" x14ac:dyDescent="0.25">
      <c r="A42" s="1"/>
      <c r="B42" s="11"/>
      <c r="C42" s="7"/>
      <c r="D42" s="7"/>
      <c r="E42" s="7"/>
      <c r="F42" s="2"/>
      <c r="G42" s="6"/>
      <c r="H42" s="143"/>
      <c r="I42" s="143"/>
      <c r="J42" s="7"/>
      <c r="K42" s="7"/>
      <c r="L42" s="7"/>
      <c r="M42" s="7"/>
      <c r="N42" s="7"/>
      <c r="O42" s="7"/>
      <c r="P42" s="7"/>
      <c r="Q42" s="64"/>
      <c r="R42" s="11"/>
      <c r="S42" s="97"/>
      <c r="T42" s="97"/>
      <c r="U42" s="37"/>
      <c r="V42" s="97"/>
      <c r="W42" s="37"/>
      <c r="X42" s="141"/>
      <c r="Y42" s="11"/>
      <c r="Z42" s="42"/>
      <c r="AA42" s="42"/>
      <c r="AB42"/>
      <c r="AC42"/>
      <c r="AD42"/>
      <c r="AH42" s="11"/>
      <c r="AI42" s="11"/>
      <c r="AJ42" s="11"/>
    </row>
    <row r="43" spans="1:36" x14ac:dyDescent="0.25">
      <c r="B43" s="11"/>
      <c r="C43" s="11"/>
      <c r="D43" s="11"/>
      <c r="E43" s="11"/>
      <c r="G43" s="11"/>
      <c r="H43" s="11"/>
      <c r="I43" s="11"/>
      <c r="J43" s="11"/>
      <c r="K43" s="11"/>
      <c r="L43" s="11"/>
      <c r="M43" s="11"/>
      <c r="N43" s="15"/>
      <c r="O43" s="11"/>
      <c r="P43" s="11"/>
      <c r="Q43" s="11"/>
      <c r="R43" s="11"/>
      <c r="S43" s="42"/>
      <c r="T43" s="42"/>
      <c r="U43" s="19"/>
      <c r="V43" s="42"/>
      <c r="W43" s="37"/>
      <c r="X43" s="15"/>
      <c r="Y43" s="19"/>
      <c r="Z43" s="19"/>
      <c r="AA43" s="19"/>
      <c r="AB43" s="136"/>
      <c r="AC43" s="136"/>
      <c r="AD43" s="136"/>
      <c r="AH43" s="11"/>
      <c r="AI43" s="11"/>
      <c r="AJ43" s="11"/>
    </row>
    <row r="44" spans="1:36" x14ac:dyDescent="0.25">
      <c r="B44" s="11"/>
      <c r="C44" s="11"/>
      <c r="D44" s="11"/>
      <c r="E44" s="11"/>
      <c r="G44" s="11"/>
      <c r="H44" s="11"/>
      <c r="I44" s="11"/>
      <c r="J44" s="11"/>
      <c r="K44" s="11"/>
      <c r="L44" s="11"/>
      <c r="M44" s="11"/>
      <c r="N44" s="15"/>
      <c r="O44" s="11"/>
      <c r="P44" s="11"/>
      <c r="Q44" s="11"/>
      <c r="R44" s="11"/>
      <c r="S44" s="11"/>
      <c r="T44" s="11"/>
      <c r="V44" s="15"/>
      <c r="W44" s="15"/>
      <c r="X44" s="15"/>
      <c r="Y44" s="19"/>
      <c r="Z44" s="19"/>
      <c r="AA44" s="19"/>
      <c r="AB44" s="136"/>
      <c r="AC44" s="136"/>
      <c r="AD44" s="136"/>
      <c r="AH44" s="11"/>
      <c r="AI44" s="11"/>
      <c r="AJ44" s="11"/>
    </row>
    <row r="45" spans="1:36" x14ac:dyDescent="0.25">
      <c r="B45" s="11"/>
      <c r="C45" s="11"/>
      <c r="D45" s="11"/>
      <c r="E45" s="11"/>
      <c r="G45" s="11"/>
      <c r="H45" s="11"/>
      <c r="I45" s="11"/>
      <c r="J45" s="11"/>
      <c r="K45" s="11"/>
      <c r="L45" s="11"/>
      <c r="M45" s="11"/>
      <c r="N45" s="15"/>
      <c r="O45" s="11"/>
      <c r="P45" s="11"/>
      <c r="Q45" s="11"/>
      <c r="R45" s="11"/>
      <c r="S45" s="11"/>
      <c r="T45" s="11"/>
      <c r="V45" s="15"/>
      <c r="W45" s="15"/>
      <c r="X45" s="15"/>
      <c r="Y45" s="19"/>
      <c r="Z45" s="19"/>
      <c r="AA45" s="19"/>
      <c r="AB45" s="136"/>
      <c r="AC45" s="136"/>
      <c r="AD45" s="136"/>
      <c r="AH45" s="11"/>
      <c r="AI45" s="11"/>
      <c r="AJ45" s="11"/>
    </row>
    <row r="46" spans="1:36" x14ac:dyDescent="0.25">
      <c r="B46" s="11"/>
      <c r="C46" s="11"/>
      <c r="D46" s="11"/>
      <c r="E46" s="11"/>
      <c r="G46" s="11"/>
      <c r="H46" s="11"/>
      <c r="I46" s="11"/>
      <c r="J46" s="11"/>
      <c r="K46" s="11"/>
      <c r="L46" s="11"/>
      <c r="M46" s="11"/>
      <c r="N46" s="15"/>
      <c r="O46" s="11"/>
      <c r="P46" s="11"/>
      <c r="Q46" s="11"/>
      <c r="R46" s="11"/>
      <c r="S46" s="11"/>
      <c r="T46" s="11"/>
      <c r="V46" s="15"/>
      <c r="W46" s="15"/>
      <c r="X46" s="15"/>
      <c r="Y46" s="19"/>
      <c r="Z46" s="19"/>
      <c r="AA46" s="19"/>
      <c r="AB46" s="136"/>
      <c r="AC46" s="136"/>
      <c r="AD46" s="136"/>
      <c r="AH46" s="11"/>
      <c r="AI46" s="11"/>
      <c r="AJ46" s="11"/>
    </row>
    <row r="47" spans="1:36" x14ac:dyDescent="0.25">
      <c r="B47" s="11"/>
      <c r="C47" s="11"/>
      <c r="D47" s="11"/>
      <c r="E47" s="11"/>
      <c r="G47" s="11"/>
      <c r="H47" s="11"/>
      <c r="I47" s="11"/>
      <c r="J47" s="11"/>
      <c r="K47" s="11"/>
      <c r="L47" s="11"/>
      <c r="M47" s="11"/>
      <c r="N47" s="15"/>
      <c r="O47" s="11"/>
      <c r="P47" s="11"/>
      <c r="Q47" s="11"/>
      <c r="R47" s="11"/>
      <c r="S47" s="11"/>
      <c r="T47" s="11"/>
      <c r="V47" s="15"/>
      <c r="W47" s="15"/>
      <c r="X47" s="15"/>
      <c r="Y47" s="19"/>
      <c r="Z47" s="19"/>
      <c r="AA47" s="19"/>
      <c r="AB47" s="136"/>
      <c r="AC47" s="136"/>
      <c r="AD47" s="136"/>
      <c r="AH47" s="11"/>
      <c r="AI47" s="11"/>
      <c r="AJ47" s="11"/>
    </row>
    <row r="48" spans="1:36" x14ac:dyDescent="0.25">
      <c r="B48" s="11"/>
      <c r="C48" s="11"/>
      <c r="D48" s="11"/>
      <c r="E48" s="11"/>
      <c r="G48" s="11"/>
      <c r="H48" s="11"/>
      <c r="I48" s="11"/>
      <c r="J48" s="11"/>
      <c r="K48" s="11"/>
      <c r="L48" s="11"/>
      <c r="M48" s="11"/>
      <c r="N48" s="15"/>
      <c r="O48" s="11"/>
      <c r="P48" s="11"/>
      <c r="Q48" s="11"/>
      <c r="R48" s="11"/>
      <c r="S48" s="11"/>
      <c r="T48" s="11"/>
      <c r="V48" s="15"/>
      <c r="W48" s="15"/>
      <c r="X48" s="15"/>
      <c r="Y48" s="19"/>
      <c r="Z48" s="19"/>
      <c r="AA48" s="19"/>
      <c r="AB48" s="136"/>
      <c r="AC48" s="136"/>
      <c r="AD48" s="136"/>
      <c r="AH48" s="11"/>
      <c r="AI48" s="11"/>
      <c r="AJ48" s="11"/>
    </row>
    <row r="49" spans="2:36" x14ac:dyDescent="0.25">
      <c r="B49" s="11"/>
      <c r="C49" s="11"/>
      <c r="D49" s="11"/>
      <c r="E49" s="11"/>
      <c r="G49" s="11"/>
      <c r="H49" s="11"/>
      <c r="I49" s="11"/>
      <c r="J49" s="11"/>
      <c r="K49" s="11"/>
      <c r="L49" s="11"/>
      <c r="M49" s="11"/>
      <c r="N49" s="15"/>
      <c r="O49" s="11"/>
      <c r="P49" s="11"/>
      <c r="Q49" s="11"/>
      <c r="R49" s="11"/>
      <c r="S49" s="11"/>
      <c r="T49" s="11"/>
      <c r="V49" s="15"/>
      <c r="W49" s="15"/>
      <c r="X49" s="15"/>
      <c r="Y49" s="19"/>
      <c r="Z49" s="19"/>
      <c r="AA49" s="19"/>
      <c r="AB49" s="136"/>
      <c r="AC49" s="136"/>
      <c r="AD49" s="136"/>
      <c r="AH49" s="11"/>
      <c r="AI49" s="11"/>
      <c r="AJ49" s="11"/>
    </row>
    <row r="50" spans="2:36" x14ac:dyDescent="0.25">
      <c r="B50" s="11"/>
      <c r="C50" s="11"/>
      <c r="D50" s="11"/>
      <c r="E50" s="11"/>
      <c r="G50" s="11"/>
      <c r="H50" s="11"/>
      <c r="I50" s="11"/>
      <c r="J50" s="11"/>
      <c r="K50" s="11"/>
      <c r="L50" s="11"/>
      <c r="M50" s="11"/>
      <c r="N50" s="15"/>
      <c r="O50" s="11"/>
      <c r="P50" s="11"/>
      <c r="Q50" s="11"/>
      <c r="R50" s="11"/>
      <c r="S50" s="11"/>
      <c r="T50" s="11"/>
      <c r="V50" s="15"/>
      <c r="W50" s="15"/>
      <c r="X50" s="15"/>
      <c r="Y50" s="19"/>
      <c r="Z50" s="19"/>
      <c r="AA50" s="19"/>
      <c r="AB50" s="136"/>
      <c r="AC50" s="136"/>
      <c r="AD50" s="136"/>
      <c r="AH50" s="11"/>
      <c r="AI50" s="11"/>
      <c r="AJ50" s="11"/>
    </row>
    <row r="51" spans="2:36" x14ac:dyDescent="0.25">
      <c r="B51" s="11"/>
      <c r="C51" s="11"/>
      <c r="D51" s="11"/>
      <c r="E51" s="11"/>
      <c r="G51" s="11"/>
      <c r="H51" s="11"/>
      <c r="I51" s="11"/>
      <c r="J51" s="11"/>
      <c r="K51" s="11"/>
      <c r="L51" s="11"/>
      <c r="M51" s="11"/>
      <c r="N51" s="15"/>
      <c r="O51" s="11"/>
      <c r="P51" s="11"/>
      <c r="Q51" s="11"/>
      <c r="R51" s="11"/>
      <c r="S51" s="11"/>
      <c r="T51" s="11"/>
      <c r="V51" s="15"/>
      <c r="W51" s="15"/>
      <c r="X51" s="15"/>
      <c r="Y51" s="19"/>
      <c r="Z51" s="19"/>
      <c r="AA51" s="19"/>
      <c r="AB51" s="136"/>
      <c r="AC51" s="136"/>
      <c r="AD51" s="136"/>
      <c r="AH51" s="11"/>
      <c r="AI51" s="11"/>
      <c r="AJ51" s="11"/>
    </row>
    <row r="52" spans="2:36" x14ac:dyDescent="0.25">
      <c r="B52" s="11"/>
      <c r="C52" s="11"/>
      <c r="D52" s="11"/>
      <c r="E52" s="11"/>
      <c r="G52" s="11"/>
      <c r="H52" s="11"/>
      <c r="I52" s="11"/>
      <c r="J52" s="11"/>
      <c r="K52" s="11"/>
      <c r="L52" s="11"/>
      <c r="M52" s="11"/>
      <c r="N52" s="15"/>
      <c r="O52" s="11"/>
      <c r="P52" s="11"/>
      <c r="Q52" s="11"/>
      <c r="R52" s="11"/>
      <c r="S52" s="11"/>
      <c r="T52" s="11"/>
      <c r="V52" s="15"/>
      <c r="W52" s="15"/>
      <c r="X52" s="15"/>
      <c r="Y52" s="19"/>
      <c r="Z52" s="19"/>
      <c r="AA52" s="19"/>
      <c r="AB52" s="136"/>
      <c r="AC52" s="136"/>
      <c r="AD52" s="136"/>
      <c r="AH52" s="11"/>
      <c r="AI52" s="11"/>
      <c r="AJ52" s="11"/>
    </row>
    <row r="53" spans="2:36" x14ac:dyDescent="0.25">
      <c r="B53" s="11"/>
      <c r="C53" s="11"/>
      <c r="D53" s="11"/>
      <c r="E53" s="11"/>
      <c r="G53" s="11"/>
      <c r="H53" s="11"/>
      <c r="I53" s="11"/>
      <c r="J53" s="11"/>
      <c r="K53" s="11"/>
      <c r="L53" s="11"/>
      <c r="M53" s="11"/>
      <c r="N53" s="15"/>
      <c r="O53" s="11"/>
      <c r="P53" s="11"/>
      <c r="Q53" s="11"/>
      <c r="R53" s="11"/>
      <c r="S53" s="11"/>
      <c r="T53" s="11"/>
      <c r="V53" s="15"/>
      <c r="W53" s="15"/>
      <c r="X53" s="15"/>
      <c r="Y53" s="19"/>
      <c r="Z53" s="19"/>
      <c r="AA53" s="19"/>
      <c r="AB53" s="136"/>
      <c r="AC53" s="136"/>
      <c r="AD53" s="136"/>
      <c r="AH53" s="11"/>
      <c r="AI53" s="11"/>
      <c r="AJ53" s="11"/>
    </row>
    <row r="54" spans="2:36" x14ac:dyDescent="0.25">
      <c r="B54" s="11"/>
      <c r="C54" s="11"/>
      <c r="D54" s="11"/>
      <c r="E54" s="11"/>
      <c r="G54" s="11"/>
      <c r="H54" s="11"/>
      <c r="I54" s="11"/>
      <c r="J54" s="11"/>
      <c r="K54" s="11"/>
      <c r="L54" s="11"/>
      <c r="M54" s="11"/>
      <c r="N54" s="15"/>
      <c r="O54" s="11"/>
      <c r="P54" s="11"/>
      <c r="Q54" s="11"/>
      <c r="R54" s="11"/>
      <c r="S54" s="11"/>
      <c r="T54" s="11"/>
      <c r="V54" s="15"/>
      <c r="W54" s="15"/>
      <c r="X54" s="15"/>
      <c r="Y54" s="19"/>
      <c r="Z54" s="19"/>
      <c r="AA54" s="19"/>
      <c r="AB54" s="136"/>
      <c r="AC54" s="136"/>
      <c r="AD54" s="136"/>
      <c r="AH54" s="11"/>
      <c r="AI54" s="11"/>
      <c r="AJ54" s="11"/>
    </row>
    <row r="55" spans="2:36" x14ac:dyDescent="0.25">
      <c r="B55" s="11"/>
      <c r="C55" s="11"/>
      <c r="D55" s="11"/>
      <c r="E55" s="11"/>
      <c r="G55" s="11"/>
      <c r="H55" s="11"/>
      <c r="I55" s="11"/>
      <c r="J55" s="11"/>
      <c r="K55" s="11"/>
      <c r="L55" s="11"/>
      <c r="M55" s="11"/>
      <c r="N55" s="15"/>
      <c r="O55" s="11"/>
      <c r="P55" s="11"/>
      <c r="Q55" s="11"/>
      <c r="R55" s="11"/>
      <c r="S55" s="11"/>
      <c r="T55" s="11"/>
      <c r="V55" s="15"/>
      <c r="W55" s="15"/>
      <c r="X55" s="15"/>
      <c r="Y55" s="19"/>
      <c r="Z55" s="19"/>
      <c r="AA55" s="19"/>
      <c r="AB55" s="136"/>
      <c r="AC55" s="136"/>
      <c r="AD55" s="136"/>
      <c r="AH55" s="11"/>
      <c r="AI55" s="11"/>
      <c r="AJ55" s="11"/>
    </row>
    <row r="56" spans="2:36" x14ac:dyDescent="0.25">
      <c r="B56" s="11"/>
      <c r="C56" s="11"/>
      <c r="D56" s="11"/>
      <c r="E56" s="11"/>
      <c r="G56" s="11"/>
      <c r="H56" s="11"/>
      <c r="I56" s="11"/>
      <c r="J56" s="11"/>
      <c r="K56" s="11"/>
      <c r="L56" s="11"/>
      <c r="M56" s="11"/>
      <c r="N56" s="15"/>
      <c r="O56" s="11"/>
      <c r="P56" s="11"/>
      <c r="Q56" s="11"/>
      <c r="R56" s="11"/>
      <c r="S56" s="11"/>
      <c r="T56" s="11"/>
      <c r="V56" s="15"/>
      <c r="W56" s="15"/>
      <c r="X56" s="15"/>
      <c r="Y56" s="19"/>
      <c r="Z56" s="19"/>
      <c r="AA56" s="19"/>
      <c r="AB56" s="136"/>
      <c r="AC56" s="136"/>
      <c r="AD56" s="136"/>
      <c r="AH56" s="11"/>
      <c r="AI56" s="11"/>
      <c r="AJ56" s="11"/>
    </row>
    <row r="57" spans="2:36" x14ac:dyDescent="0.25">
      <c r="B57" s="11"/>
      <c r="C57" s="11"/>
      <c r="D57" s="11"/>
      <c r="E57" s="11"/>
      <c r="G57" s="11"/>
      <c r="H57" s="11"/>
      <c r="I57" s="11"/>
      <c r="J57" s="11"/>
      <c r="K57" s="11"/>
      <c r="L57" s="11"/>
      <c r="M57" s="11"/>
      <c r="N57" s="15"/>
      <c r="O57" s="11"/>
      <c r="P57" s="11"/>
      <c r="Q57" s="11"/>
      <c r="R57" s="11"/>
      <c r="S57" s="11"/>
      <c r="T57" s="11"/>
      <c r="V57" s="15"/>
      <c r="W57" s="15"/>
      <c r="X57" s="15"/>
      <c r="Y57" s="19"/>
      <c r="Z57" s="19"/>
      <c r="AA57" s="19"/>
      <c r="AB57" s="136"/>
      <c r="AC57" s="136"/>
      <c r="AD57" s="136"/>
      <c r="AH57" s="11"/>
      <c r="AI57" s="11"/>
      <c r="AJ57" s="11"/>
    </row>
    <row r="58" spans="2:36" x14ac:dyDescent="0.25">
      <c r="B58" s="11"/>
      <c r="C58" s="11"/>
      <c r="D58" s="11"/>
      <c r="E58" s="11"/>
      <c r="G58" s="11"/>
      <c r="H58" s="11"/>
      <c r="I58" s="11"/>
      <c r="J58" s="11"/>
      <c r="K58" s="11"/>
      <c r="L58" s="11"/>
      <c r="M58" s="11"/>
      <c r="N58" s="15"/>
      <c r="O58" s="11"/>
      <c r="P58" s="11"/>
      <c r="Q58" s="11"/>
      <c r="R58" s="11"/>
      <c r="S58" s="11"/>
      <c r="T58" s="11"/>
      <c r="V58" s="15"/>
      <c r="W58" s="15"/>
      <c r="X58" s="15"/>
      <c r="Y58" s="19"/>
      <c r="Z58" s="19"/>
      <c r="AA58" s="19"/>
      <c r="AB58" s="136"/>
      <c r="AC58" s="136"/>
      <c r="AD58" s="136"/>
      <c r="AH58" s="11"/>
      <c r="AI58" s="11"/>
      <c r="AJ58" s="11"/>
    </row>
    <row r="59" spans="2:36" x14ac:dyDescent="0.25">
      <c r="B59" s="11"/>
      <c r="C59" s="11"/>
      <c r="D59" s="11"/>
      <c r="E59" s="11"/>
      <c r="G59" s="11"/>
      <c r="H59" s="11"/>
      <c r="I59" s="11"/>
      <c r="J59" s="11"/>
      <c r="K59" s="11"/>
      <c r="L59" s="11"/>
      <c r="M59" s="11"/>
      <c r="N59" s="15"/>
      <c r="O59" s="11"/>
      <c r="P59" s="11"/>
      <c r="Q59" s="11"/>
      <c r="R59" s="11"/>
      <c r="S59" s="11"/>
      <c r="T59" s="11"/>
      <c r="V59" s="15"/>
      <c r="W59" s="15"/>
      <c r="X59" s="15"/>
      <c r="Y59" s="19"/>
      <c r="Z59" s="19"/>
      <c r="AA59" s="19"/>
      <c r="AB59" s="136"/>
      <c r="AC59" s="136"/>
      <c r="AD59" s="136"/>
      <c r="AH59" s="11"/>
      <c r="AI59" s="11"/>
      <c r="AJ59" s="11"/>
    </row>
    <row r="60" spans="2:36" x14ac:dyDescent="0.25">
      <c r="B60" s="11"/>
      <c r="C60" s="11"/>
      <c r="D60" s="11"/>
      <c r="E60" s="11"/>
      <c r="G60" s="11"/>
      <c r="H60" s="11"/>
      <c r="I60" s="11"/>
      <c r="J60" s="11"/>
      <c r="K60" s="11"/>
      <c r="L60" s="11"/>
      <c r="M60" s="11"/>
      <c r="N60" s="15"/>
      <c r="O60" s="11"/>
      <c r="P60" s="11"/>
      <c r="Q60" s="11"/>
      <c r="R60" s="11"/>
      <c r="S60" s="11"/>
      <c r="T60" s="11"/>
      <c r="V60" s="15"/>
      <c r="W60" s="15"/>
      <c r="X60" s="15"/>
      <c r="Y60" s="19"/>
      <c r="Z60" s="19"/>
      <c r="AA60" s="19"/>
      <c r="AB60" s="136"/>
      <c r="AC60" s="136"/>
      <c r="AD60" s="136"/>
      <c r="AH60" s="11"/>
      <c r="AI60" s="11"/>
      <c r="AJ60" s="11"/>
    </row>
    <row r="61" spans="2:36" x14ac:dyDescent="0.25">
      <c r="B61" s="11"/>
      <c r="C61" s="11"/>
      <c r="D61" s="11"/>
      <c r="E61" s="11"/>
      <c r="G61" s="11"/>
      <c r="H61" s="11"/>
      <c r="I61" s="11"/>
      <c r="J61" s="11"/>
      <c r="K61" s="11"/>
      <c r="L61" s="11"/>
      <c r="M61" s="11"/>
      <c r="N61" s="15"/>
      <c r="O61" s="11"/>
      <c r="P61" s="11"/>
      <c r="Q61" s="11"/>
      <c r="R61" s="11"/>
      <c r="S61" s="11"/>
      <c r="T61" s="11"/>
      <c r="V61" s="15"/>
      <c r="W61" s="15"/>
      <c r="X61" s="15"/>
      <c r="Y61" s="19"/>
      <c r="Z61" s="19"/>
      <c r="AA61" s="19"/>
      <c r="AB61" s="136"/>
      <c r="AC61" s="136"/>
      <c r="AD61" s="136"/>
      <c r="AH61" s="11"/>
      <c r="AI61" s="11"/>
      <c r="AJ61" s="11"/>
    </row>
    <row r="62" spans="2:36" x14ac:dyDescent="0.25">
      <c r="B62" s="11"/>
      <c r="C62" s="11"/>
      <c r="D62" s="11"/>
      <c r="E62" s="11"/>
      <c r="G62" s="11"/>
      <c r="H62" s="11"/>
      <c r="I62" s="11"/>
      <c r="J62" s="11"/>
      <c r="K62" s="11"/>
      <c r="L62" s="11"/>
      <c r="M62" s="11"/>
      <c r="N62" s="15"/>
      <c r="O62" s="11"/>
      <c r="P62" s="11"/>
      <c r="Q62" s="11"/>
      <c r="R62" s="11"/>
      <c r="S62" s="11"/>
      <c r="T62" s="11"/>
      <c r="V62" s="15"/>
      <c r="W62" s="15"/>
      <c r="X62" s="15"/>
      <c r="Y62" s="19"/>
      <c r="Z62" s="19"/>
      <c r="AA62" s="19"/>
      <c r="AB62" s="136"/>
      <c r="AC62" s="136"/>
      <c r="AD62" s="136"/>
      <c r="AH62" s="11"/>
      <c r="AI62" s="11"/>
      <c r="AJ62" s="11"/>
    </row>
    <row r="63" spans="2:36" x14ac:dyDescent="0.25">
      <c r="B63" s="11"/>
      <c r="C63" s="11"/>
      <c r="D63" s="11"/>
      <c r="E63" s="11"/>
      <c r="G63" s="11"/>
      <c r="H63" s="11"/>
      <c r="I63" s="11"/>
      <c r="J63" s="11"/>
      <c r="K63" s="11"/>
      <c r="L63" s="11"/>
      <c r="M63" s="11"/>
      <c r="N63" s="15"/>
      <c r="O63" s="11"/>
      <c r="P63" s="11"/>
      <c r="Q63" s="11"/>
      <c r="R63" s="11"/>
      <c r="S63" s="11"/>
      <c r="T63" s="11"/>
      <c r="V63" s="15"/>
      <c r="W63" s="15"/>
      <c r="X63" s="15"/>
      <c r="Y63" s="19"/>
      <c r="Z63" s="19"/>
      <c r="AA63" s="19"/>
      <c r="AB63" s="136"/>
      <c r="AC63" s="136"/>
      <c r="AD63" s="136"/>
      <c r="AH63" s="11"/>
      <c r="AI63" s="11"/>
      <c r="AJ63" s="11"/>
    </row>
    <row r="64" spans="2:36" x14ac:dyDescent="0.25">
      <c r="B64" s="11"/>
      <c r="C64" s="11"/>
      <c r="D64" s="11"/>
      <c r="E64" s="11"/>
      <c r="G64" s="11"/>
      <c r="H64" s="11"/>
      <c r="I64" s="11"/>
      <c r="J64" s="11"/>
      <c r="K64" s="11"/>
      <c r="L64" s="11"/>
      <c r="M64" s="11"/>
      <c r="N64" s="15"/>
      <c r="O64" s="11"/>
      <c r="P64" s="11"/>
      <c r="Q64" s="11"/>
      <c r="R64" s="11"/>
      <c r="S64" s="11"/>
      <c r="T64" s="11"/>
      <c r="V64" s="15"/>
      <c r="W64" s="15"/>
      <c r="X64" s="15"/>
      <c r="Y64" s="19"/>
      <c r="Z64" s="19"/>
      <c r="AA64" s="19"/>
      <c r="AB64" s="136"/>
      <c r="AC64" s="136"/>
      <c r="AD64" s="136"/>
      <c r="AH64" s="11"/>
      <c r="AI64" s="11"/>
      <c r="AJ64" s="11"/>
    </row>
  </sheetData>
  <autoFilter ref="A2:AG21"/>
  <mergeCells count="5">
    <mergeCell ref="Y1:AA1"/>
    <mergeCell ref="AE1:AG1"/>
    <mergeCell ref="AB1:AD1"/>
    <mergeCell ref="V1:X1"/>
    <mergeCell ref="S1:U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Dashboard</vt:lpstr>
      <vt:lpstr>Integración</vt:lpstr>
      <vt:lpstr>Miguel Hidalgo, Hidalgo</vt:lpstr>
      <vt:lpstr>Emiliano Zapata, Naucalpan</vt:lpstr>
      <vt:lpstr>17Abril1869, Alpuyeca</vt:lpstr>
      <vt:lpstr>JDTBujalance, Miravalle</vt:lpstr>
      <vt:lpstr>Eufemio Z., Ajuchitlán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ANIMAH</dc:creator>
  <cp:lastModifiedBy>UlisesJ</cp:lastModifiedBy>
  <dcterms:created xsi:type="dcterms:W3CDTF">2021-06-22T23:44:44Z</dcterms:created>
  <dcterms:modified xsi:type="dcterms:W3CDTF">2022-02-21T05:30:19Z</dcterms:modified>
</cp:coreProperties>
</file>