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4.png" ContentType="image/png"/>
  <Override PartName="/xl/media/image3.png" ContentType="image/png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owerConsumption" sheetId="1" state="visible" r:id="rId2"/>
    <sheet name="Spannungsteiler" sheetId="2" state="visible" r:id="rId3"/>
    <sheet name="HX2262" sheetId="3" state="visible" r:id="rId4"/>
    <sheet name="BitRate" sheetId="4" state="visible" r:id="rId5"/>
    <sheet name="Kondensator" sheetId="5" state="visible" r:id="rId6"/>
    <sheet name="Rollo-Fahrzei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<sst xmlns="http://schemas.openxmlformats.org/spreadsheetml/2006/main" count="316" uniqueCount="195">
  <si>
    <t xml:space="preserve">Batterie</t>
  </si>
  <si>
    <t xml:space="preserve">Kapazität</t>
  </si>
  <si>
    <t xml:space="preserve">mA/h</t>
  </si>
  <si>
    <t xml:space="preserve">RFM69</t>
  </si>
  <si>
    <t xml:space="preserve">Supply</t>
  </si>
  <si>
    <t xml:space="preserve">Idle Mode</t>
  </si>
  <si>
    <t xml:space="preserve">µA/h</t>
  </si>
  <si>
    <t xml:space="preserve">µA/ms</t>
  </si>
  <si>
    <t xml:space="preserve">Receive Mode (spec 16mA)</t>
  </si>
  <si>
    <t xml:space="preserve">Mit Stepup</t>
  </si>
  <si>
    <t xml:space="preserve">gemessen</t>
  </si>
  <si>
    <t xml:space="preserve">Ohne Maßnahmen</t>
  </si>
  <si>
    <t xml:space="preserve">Teilfunktionen aus</t>
  </si>
  <si>
    <t xml:space="preserve">RFM ListenMode idle
+ awake Atmega</t>
  </si>
  <si>
    <t xml:space="preserve">RFM ListenMode idle 
+ PowerDown Atmega</t>
  </si>
  <si>
    <t xml:space="preserve">Stromverbrauch pro Cycle</t>
  </si>
  <si>
    <t xml:space="preserve">Verbrauch mA/h</t>
  </si>
  <si>
    <t xml:space="preserve">Gesamtverbrauch</t>
  </si>
  <si>
    <t xml:space="preserve">Laufzeit</t>
  </si>
  <si>
    <t xml:space="preserve">ListenResolIdle</t>
  </si>
  <si>
    <t xml:space="preserve">ms</t>
  </si>
  <si>
    <t xml:space="preserve">Idle</t>
  </si>
  <si>
    <t xml:space="preserve">µA</t>
  </si>
  <si>
    <t xml:space="preserve">h</t>
  </si>
  <si>
    <t xml:space="preserve">ListenResolRX</t>
  </si>
  <si>
    <t xml:space="preserve">µs</t>
  </si>
  <si>
    <t xml:space="preserve">RX</t>
  </si>
  <si>
    <t xml:space="preserve">Tage</t>
  </si>
  <si>
    <t xml:space="preserve">Leistung auf 1.3V bezogen</t>
  </si>
  <si>
    <t xml:space="preserve">Wochen</t>
  </si>
  <si>
    <t xml:space="preserve">ListenCoefIdle</t>
  </si>
  <si>
    <t xml:space="preserve">Monate</t>
  </si>
  <si>
    <t xml:space="preserve">ListenCoefRX</t>
  </si>
  <si>
    <t xml:space="preserve">bytes  im ListenRX Mode → 1 Byte muss drin sein</t>
  </si>
  <si>
    <t xml:space="preserve">Jahre</t>
  </si>
  <si>
    <t xml:space="preserve">RX (Satellite)</t>
  </si>
  <si>
    <t xml:space="preserve">kbps bzw. bpms</t>
  </si>
  <si>
    <t xml:space="preserve">ms pro bit</t>
  </si>
  <si>
    <t xml:space="preserve">bytes</t>
  </si>
  <si>
    <t xml:space="preserve">HeaderBytes (3x Preample; 3xSync; 1xLength; 1xToAdderss; 1xFromAddress; 1xDataOptions, 1xMsgCounter, MSG; 1xCRC) z.B. MSG: 03I02857A001F00 → ca. 15 bytes als MAX + 12Header+Footer</t>
  </si>
  <si>
    <t xml:space="preserve">mit AES (1 oder 0)</t>
  </si>
  <si>
    <t xml:space="preserve">mit AES und Header</t>
  </si>
  <si>
    <t xml:space="preserve">Bytes (vielfaches von 16 + Overhead(13))</t>
  </si>
  <si>
    <t xml:space="preserve">bits</t>
  </si>
  <si>
    <t xml:space="preserve">ms (pro Paket)</t>
  </si>
  <si>
    <t xml:space="preserve">Replys (Widerholungen pro Cycle (Idle+RX))</t>
  </si>
  <si>
    <t xml:space="preserve">Faktor für Replycalculation im Quellcode</t>
  </si>
  <si>
    <t xml:space="preserve">[(BiteRate * ListenPeriode/8) / FrameLength in Bytes]</t>
  </si>
  <si>
    <t xml:space="preserve">(Timeout=TimeoutRxStart*16*T bit)</t>
  </si>
  <si>
    <t xml:space="preserve">RXTimeout1</t>
  </si>
  <si>
    <t xml:space="preserve">ms (RX→rssiThresh)</t>
  </si>
  <si>
    <t xml:space="preserve">hex</t>
  </si>
  <si>
    <t xml:space="preserve">RXTimeout2</t>
  </si>
  <si>
    <t xml:space="preserve">ms (rssiThresh→Idle) *1.5 Safety</t>
  </si>
  <si>
    <t xml:space="preserve">TX</t>
  </si>
  <si>
    <t xml:space="preserve">mA/h (20-130)</t>
  </si>
  <si>
    <t xml:space="preserve">Events pro Tag</t>
  </si>
  <si>
    <t xml:space="preserve">µA/h über 1 Tag</t>
  </si>
  <si>
    <t xml:space="preserve">Atmega @8MHz</t>
  </si>
  <si>
    <t xml:space="preserve">Event Dauer</t>
  </si>
  <si>
    <t xml:space="preserve">PowerDown</t>
  </si>
  <si>
    <t xml:space="preserve">idle</t>
  </si>
  <si>
    <t xml:space="preserve">PullUps</t>
  </si>
  <si>
    <t xml:space="preserve">V</t>
  </si>
  <si>
    <t xml:space="preserve">R1</t>
  </si>
  <si>
    <t xml:space="preserve">kOhm</t>
  </si>
  <si>
    <t xml:space="preserve">mA</t>
  </si>
  <si>
    <t xml:space="preserve">StepUp</t>
  </si>
  <si>
    <t xml:space="preserve">Ruhestrom</t>
  </si>
  <si>
    <t xml:space="preserve">&lt;--19µA</t>
  </si>
  <si>
    <t xml:space="preserve">Current multiplication?</t>
  </si>
  <si>
    <t xml:space="preserve">&lt;--11µA</t>
  </si>
  <si>
    <t xml:space="preserve">Wirkungsgrad</t>
  </si>
  <si>
    <t xml:space="preserve">Rtop</t>
  </si>
  <si>
    <t xml:space="preserve">Vout</t>
  </si>
  <si>
    <t xml:space="preserve">Rbot</t>
  </si>
  <si>
    <t xml:space="preserve">IR</t>
  </si>
  <si>
    <t xml:space="preserve">Paketlänge</t>
  </si>
  <si>
    <t xml:space="preserve">Current</t>
  </si>
  <si>
    <t xml:space="preserve">IR-Current</t>
  </si>
  <si>
    <t xml:space="preserve">mA/ms</t>
  </si>
  <si>
    <t xml:space="preserve">Verbrauch</t>
  </si>
  <si>
    <t xml:space="preserve">mA/h über 1 Tag</t>
  </si>
  <si>
    <t xml:space="preserve">3,3V</t>
  </si>
  <si>
    <t xml:space="preserve">Widerstand Ohm</t>
  </si>
  <si>
    <t xml:space="preserve">I</t>
  </si>
  <si>
    <t xml:space="preserve">A</t>
  </si>
  <si>
    <t xml:space="preserve">|</t>
  </si>
  <si>
    <t xml:space="preserve">R</t>
  </si>
  <si>
    <t xml:space="preserve">LDR</t>
  </si>
  <si>
    <t xml:space="preserve">GND</t>
  </si>
  <si>
    <t xml:space="preserve">Delta</t>
  </si>
  <si>
    <t xml:space="preserve">SC5262 / SC5272, HX2262 / HX2272, PT2262 / PT2272</t>
  </si>
  <si>
    <t xml:space="preserve">Pollin Funk-Steckdosen-Set 2605 - Protocol:1 / BitLength:24 - (Link)</t>
  </si>
  <si>
    <t xml:space="preserve">http://www.sweetpi.de/blog/329/ein-ueberblick-ueber-433mhz-funksteckdosen-und-deren-protokolle</t>
  </si>
  <si>
    <t xml:space="preserve">Bit 0: 375μs hight + 1125μs low + 375μs hight + 1125μs low</t>
  </si>
  <si>
    <t xml:space="preserve">Bit 1: 1125μs hight + 375μs low + 1125μs hight + 375μs low</t>
  </si>
  <si>
    <t xml:space="preserve">Bit F (floating): 375μs hight + 1125μs low + 1125μs hight + 375μs low</t>
  </si>
  <si>
    <t xml:space="preserve">Sync: 375µs high + 11625µs low</t>
  </si>
  <si>
    <t xml:space="preserve">T (bitrate)</t>
  </si>
  <si>
    <t xml:space="preserve">About 300 to 500 microseconds</t>
  </si>
  <si>
    <t xml:space="preserve">F</t>
  </si>
  <si>
    <t xml:space="preserve">Sync</t>
  </si>
  <si>
    <t xml:space="preserve">Protocol Bitlength</t>
  </si>
  <si>
    <t xml:space="preserve">bytes + 4 bytes sync</t>
  </si>
  <si>
    <t xml:space="preserve">RFM Sync</t>
  </si>
  <si>
    <t xml:space="preserve">sync(80 00 00 00) housecode( 88 … )</t>
  </si>
  <si>
    <t xml:space="preserve">Bitrate</t>
  </si>
  <si>
    <t xml:space="preserve">High</t>
  </si>
  <si>
    <t xml:space="preserve">Low</t>
  </si>
  <si>
    <t xml:space="preserve">4.8 kb/s</t>
  </si>
  <si>
    <t xml:space="preserve">0A</t>
  </si>
  <si>
    <t xml:space="preserve">Bitrate = FXO-SC/Bitrate (0-15)</t>
  </si>
  <si>
    <t xml:space="preserve">kb/s</t>
  </si>
  <si>
    <t xml:space="preserve">FXO-SC</t>
  </si>
  <si>
    <t xml:space="preserve">steps</t>
  </si>
  <si>
    <t xml:space="preserve">0c80</t>
  </si>
  <si>
    <t xml:space="preserve">FDEV</t>
  </si>
  <si>
    <t xml:space="preserve">←- BR/2 &lt;= 500 kHz</t>
  </si>
  <si>
    <t xml:space="preserve">BR = FXOSC / BitRate</t>
  </si>
  <si>
    <t xml:space="preserve">Frequence</t>
  </si>
  <si>
    <t xml:space="preserve">07,08,09</t>
  </si>
  <si>
    <t xml:space="preserve">RxBw – FSK</t>
  </si>
  <si>
    <t xml:space="preserve">kHz</t>
  </si>
  <si>
    <t xml:space="preserve">(BitRate &lt; 2 * RxBw)</t>
  </si>
  <si>
    <t xml:space="preserve">min (BitRate/2)</t>
  </si>
  <si>
    <t xml:space="preserve">ListenMode</t>
  </si>
  <si>
    <t xml:space="preserve">kb/s bzw. b/ms</t>
  </si>
  <si>
    <t xml:space="preserve">[3xPreamble][3xSync][1xLen][1xtoAddress][1xfromAddress][1xXData_Config][1xMsgCounter][Msg][1xCRC]</t>
  </si>
  <si>
    <t xml:space="preserve">header</t>
  </si>
  <si>
    <t xml:space="preserve">[ms] Zeit Pro Frame</t>
  </si>
  <si>
    <t xml:space="preserve">ms (ListenPeriode)</t>
  </si>
  <si>
    <t xml:space="preserve">Faktor</t>
  </si>
  <si>
    <t xml:space="preserve">OOK</t>
  </si>
  <si>
    <t xml:space="preserve">µs (gemeinsamer Teiler)</t>
  </si>
  <si>
    <t xml:space="preserve">kbits/s</t>
  </si>
  <si>
    <t xml:space="preserve">6a</t>
  </si>
  <si>
    <t xml:space="preserve">a9</t>
  </si>
  <si>
    <t xml:space="preserve">E3 8C E3 33 8C CE 33 33 8E 33 38 CC CC CC CC CC CC CC CC CC CE 38 CC E3 33 8C 6 AF ED DF</t>
  </si>
  <si>
    <t xml:space="preserve">10001100</t>
  </si>
  <si>
    <t xml:space="preserve">01000000</t>
  </si>
  <si>
    <t xml:space="preserve">1-aus</t>
  </si>
  <si>
    <t xml:space="preserve">1101001001000110010000000000000000000110010010</t>
  </si>
  <si>
    <t xml:space="preserve">11010010</t>
  </si>
  <si>
    <t xml:space="preserve">01000110</t>
  </si>
  <si>
    <t xml:space="preserve">00000000</t>
  </si>
  <si>
    <t xml:space="preserve">000001100</t>
  </si>
  <si>
    <t xml:space="preserve">0100100</t>
  </si>
  <si>
    <t xml:space="preserve">1-an</t>
  </si>
  <si>
    <t xml:space="preserve">1101001001000110010000000000001000100111010110</t>
  </si>
  <si>
    <t xml:space="preserve">00000010</t>
  </si>
  <si>
    <t xml:space="preserve">00100111</t>
  </si>
  <si>
    <t xml:space="preserve">010110</t>
  </si>
  <si>
    <t xml:space="preserve">2-aus</t>
  </si>
  <si>
    <t xml:space="preserve">1101001001000110010000000110000000000110010100</t>
  </si>
  <si>
    <t xml:space="preserve">01100000</t>
  </si>
  <si>
    <t xml:space="preserve">00000110</t>
  </si>
  <si>
    <t xml:space="preserve">010100</t>
  </si>
  <si>
    <t xml:space="preserve">HOUSECODE</t>
  </si>
  <si>
    <t xml:space="preserve">7e</t>
  </si>
  <si>
    <t xml:space="preserve">8C</t>
  </si>
  <si>
    <t xml:space="preserve">TASTE</t>
  </si>
  <si>
    <t xml:space="preserve">00; 01; 02</t>
  </si>
  <si>
    <t xml:space="preserve">Frequenz</t>
  </si>
  <si>
    <t xml:space="preserve">Hz</t>
  </si>
  <si>
    <t xml:space="preserve">delta_U</t>
  </si>
  <si>
    <t xml:space="preserve">delta_t</t>
  </si>
  <si>
    <t xml:space="preserve">&lt;- Bei einem Brückengleichrichter (auch B2U-Gleichrichter) wird der Glättungskondensator immer nach einer halben Netz-Periodendauer, also bei 50 Hz alle 10 ms, aufgeladen</t>
  </si>
  <si>
    <t xml:space="preserve">µF</t>
  </si>
  <si>
    <t xml:space="preserve">nF</t>
  </si>
  <si>
    <t xml:space="preserve">U</t>
  </si>
  <si>
    <t xml:space="preserve">Ohm</t>
  </si>
  <si>
    <t xml:space="preserve">(Halbe Periodendauer _|-_|-_)</t>
  </si>
  <si>
    <t xml:space="preserve">Dicke des Panzers</t>
  </si>
  <si>
    <t xml:space="preserve">cm</t>
  </si>
  <si>
    <t xml:space="preserve">d</t>
  </si>
  <si>
    <t xml:space="preserve">Durchmesser des aufgewickelten Panzers</t>
  </si>
  <si>
    <t xml:space="preserve">2*r</t>
  </si>
  <si>
    <t xml:space="preserve">Lagen auf der Rolle bei Wellendurchmesser 0</t>
  </si>
  <si>
    <t xml:space="preserve">-</t>
  </si>
  <si>
    <t xml:space="preserve">r/d</t>
  </si>
  <si>
    <t xml:space="preserve">Motordrehzahl</t>
  </si>
  <si>
    <t xml:space="preserve">u/min</t>
  </si>
  <si>
    <t xml:space="preserve">SL35 10/17</t>
  </si>
  <si>
    <t xml:space="preserve">Fahrzeit nach unten</t>
  </si>
  <si>
    <t xml:space="preserve">s</t>
  </si>
  <si>
    <t xml:space="preserve">Fahrstrecke</t>
  </si>
  <si>
    <t xml:space="preserve">Fahrzeit</t>
  </si>
  <si>
    <t xml:space="preserve">Phi_oben (Bogenmaß)</t>
  </si>
  <si>
    <t xml:space="preserve">rad</t>
  </si>
  <si>
    <t xml:space="preserve">Wickeldiff durch Fahrzeit</t>
  </si>
  <si>
    <t xml:space="preserve">delta_rad</t>
  </si>
  <si>
    <t xml:space="preserve">Phi_unten (Bogenmaß)</t>
  </si>
  <si>
    <t xml:space="preserve">a</t>
  </si>
  <si>
    <t xml:space="preserve">Motorspeed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</si>
</sst>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0"/>
    <numFmt numFmtId="167" formatCode="0.0"/>
    <numFmt numFmtId="168" formatCode="0E+00"/>
    <numFmt numFmtId="169" formatCode="0.00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66CC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6633"/>
        <bgColor rgb="FFFF8080"/>
      </patternFill>
    </fill>
    <fill>
      <patternFill patternType="solid">
        <fgColor rgb="FF0099FF"/>
        <bgColor rgb="FF00B0F0"/>
      </patternFill>
    </fill>
    <fill>
      <patternFill patternType="solid">
        <fgColor rgb="FF00B0F0"/>
        <bgColor rgb="FF0099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9F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213480</xdr:colOff>
      <xdr:row>34</xdr:row>
      <xdr:rowOff>165600</xdr:rowOff>
    </xdr:from>
    <xdr:to>
      <xdr:col>16</xdr:col>
      <xdr:colOff>28800</xdr:colOff>
      <xdr:row>65</xdr:row>
      <xdr:rowOff>98280</xdr:rowOff>
    </xdr:to>
    <xdr:pic>
      <xdr:nvPicPr>
        <xdr:cNvPr id="0" name="Grafik 1" descr=""/>
        <xdr:cNvPicPr/>
      </xdr:nvPicPr>
      <xdr:blipFill>
        <a:blip r:embed="rId1"/>
        <a:stretch/>
      </xdr:blipFill>
      <xdr:spPr>
        <a:xfrm>
          <a:off x="838080" y="6595560"/>
          <a:ext cx="5149440" cy="568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145800</xdr:colOff>
      <xdr:row>25</xdr:row>
      <xdr:rowOff>67320</xdr:rowOff>
    </xdr:from>
    <xdr:to>
      <xdr:col>18</xdr:col>
      <xdr:colOff>126720</xdr:colOff>
      <xdr:row>34</xdr:row>
      <xdr:rowOff>43560</xdr:rowOff>
    </xdr:to>
    <xdr:pic>
      <xdr:nvPicPr>
        <xdr:cNvPr id="1" name="Grafik 2" descr=""/>
        <xdr:cNvPicPr/>
      </xdr:nvPicPr>
      <xdr:blipFill>
        <a:blip r:embed="rId2"/>
        <a:stretch/>
      </xdr:blipFill>
      <xdr:spPr>
        <a:xfrm>
          <a:off x="770400" y="4828320"/>
          <a:ext cx="6564600" cy="1645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359280</xdr:colOff>
      <xdr:row>4</xdr:row>
      <xdr:rowOff>182160</xdr:rowOff>
    </xdr:from>
    <xdr:to>
      <xdr:col>2</xdr:col>
      <xdr:colOff>468000</xdr:colOff>
      <xdr:row>7</xdr:row>
      <xdr:rowOff>71640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983880" y="923760"/>
          <a:ext cx="914760" cy="44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329400</xdr:colOff>
      <xdr:row>11</xdr:row>
      <xdr:rowOff>51480</xdr:rowOff>
    </xdr:from>
    <xdr:to>
      <xdr:col>2</xdr:col>
      <xdr:colOff>409320</xdr:colOff>
      <xdr:row>13</xdr:row>
      <xdr:rowOff>147960</xdr:rowOff>
    </xdr:to>
    <xdr:pic>
      <xdr:nvPicPr>
        <xdr:cNvPr id="3" name="Picture 2" descr=""/>
        <xdr:cNvPicPr/>
      </xdr:nvPicPr>
      <xdr:blipFill>
        <a:blip r:embed="rId2"/>
        <a:stretch/>
      </xdr:blipFill>
      <xdr:spPr>
        <a:xfrm>
          <a:off x="954000" y="2090880"/>
          <a:ext cx="885960" cy="444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code.google.com/p/rc-switch/wiki/KnowHow_LineCoding" TargetMode="External"/><Relationship Id="rId2" Type="http://schemas.openxmlformats.org/officeDocument/2006/relationships/hyperlink" Target="http://www.pollin.de/shop/dt/MzMzOTQ0OTk-/Haustechnik/Installationsmaterial/Schalter_Steckdosen/Funk_Steckdosen_Set_2605.html" TargetMode="External"/><Relationship Id="rId3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2"/>
  <sheetViews>
    <sheetView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B21" activeCellId="1" sqref="K11:K12 B21"/>
    </sheetView>
  </sheetViews>
  <sheetFormatPr defaultRowHeight="12.85" zeroHeight="false" outlineLevelRow="0" outlineLevelCol="0"/>
  <cols>
    <col collapsed="false" customWidth="true" hidden="false" outlineLevel="0" max="1" min="1" style="0" width="9.87"/>
    <col collapsed="false" customWidth="true" hidden="false" outlineLevel="0" max="2" min="2" style="0" width="22.21"/>
    <col collapsed="false" customWidth="true" hidden="false" outlineLevel="0" max="3" min="3" style="0" width="6.01"/>
    <col collapsed="false" customWidth="true" hidden="false" outlineLevel="0" max="4" min="4" style="0" width="11.72"/>
    <col collapsed="false" customWidth="true" hidden="false" outlineLevel="0" max="5" min="5" style="0" width="14.81"/>
    <col collapsed="false" customWidth="true" hidden="false" outlineLevel="0" max="6" min="6" style="0" width="12.49"/>
    <col collapsed="false" customWidth="true" hidden="false" outlineLevel="0" max="7" min="7" style="0" width="8.79"/>
    <col collapsed="false" customWidth="true" hidden="false" outlineLevel="0" max="8" min="8" style="0" width="9.87"/>
    <col collapsed="false" customWidth="true" hidden="false" outlineLevel="0" max="9" min="9" style="0" width="14.19"/>
    <col collapsed="false" customWidth="true" hidden="false" outlineLevel="0" max="10" min="10" style="0" width="11.11"/>
    <col collapsed="false" customWidth="true" hidden="false" outlineLevel="0" max="11" min="11" style="0" width="16.35"/>
    <col collapsed="false" customWidth="true" hidden="false" outlineLevel="0" max="1025" min="12" style="0" width="9.87"/>
  </cols>
  <sheetData>
    <row r="1" customFormat="false" ht="12.75" hidden="false" customHeight="false" outlineLevel="0" collapsed="false"/>
    <row r="2" customFormat="false" ht="12.75" hidden="false" customHeight="false" outlineLevel="0" collapsed="false">
      <c r="A2" s="0" t="s">
        <v>0</v>
      </c>
    </row>
    <row r="3" customFormat="false" ht="12.85" hidden="false" customHeight="false" outlineLevel="0" collapsed="false">
      <c r="B3" s="0" t="s">
        <v>1</v>
      </c>
      <c r="C3" s="1" t="n">
        <v>1200</v>
      </c>
      <c r="D3" s="0" t="s">
        <v>2</v>
      </c>
    </row>
    <row r="6" customFormat="false" ht="12.75" hidden="false" customHeight="false" outlineLevel="0" collapsed="false">
      <c r="A6" s="0" t="s">
        <v>3</v>
      </c>
    </row>
    <row r="8" customFormat="false" ht="12.75" hidden="false" customHeight="false" outlineLevel="0" collapsed="false">
      <c r="B8" s="0" t="s">
        <v>4</v>
      </c>
      <c r="C8" s="0" t="n">
        <v>1.8</v>
      </c>
      <c r="D8" s="0" t="n">
        <v>3.6</v>
      </c>
    </row>
    <row r="9" customFormat="false" ht="12.85" hidden="false" customHeight="false" outlineLevel="0" collapsed="false">
      <c r="B9" s="0" t="s">
        <v>5</v>
      </c>
      <c r="C9" s="1" t="n">
        <v>70</v>
      </c>
      <c r="D9" s="0" t="s">
        <v>6</v>
      </c>
      <c r="E9" s="0" t="n">
        <f aca="false">PowerConsumption!C9/60/60/1000</f>
        <v>1.94444444444444E-005</v>
      </c>
      <c r="F9" s="0" t="s">
        <v>7</v>
      </c>
    </row>
    <row r="10" customFormat="false" ht="12.85" hidden="false" customHeight="false" outlineLevel="0" collapsed="false">
      <c r="B10" s="0" t="s">
        <v>8</v>
      </c>
      <c r="C10" s="1" t="n">
        <v>46</v>
      </c>
      <c r="D10" s="0" t="s">
        <v>2</v>
      </c>
      <c r="E10" s="0" t="n">
        <f aca="false">PowerConsumption!C10/60/60/1000*1000</f>
        <v>0.0127777777777778</v>
      </c>
      <c r="F10" s="0" t="s">
        <v>7</v>
      </c>
      <c r="G10" s="0" t="s">
        <v>9</v>
      </c>
    </row>
    <row r="11" customFormat="false" ht="12.85" hidden="false" customHeight="false" outlineLevel="0" collapsed="false">
      <c r="A11" s="2" t="s">
        <v>10</v>
      </c>
      <c r="B11" s="0" t="s">
        <v>11</v>
      </c>
      <c r="C11" s="3" t="n">
        <v>19.5</v>
      </c>
      <c r="D11" s="0" t="s">
        <v>2</v>
      </c>
      <c r="G11" s="3" t="n">
        <v>65</v>
      </c>
      <c r="H11" s="0" t="s">
        <v>2</v>
      </c>
    </row>
    <row r="12" customFormat="false" ht="12.85" hidden="false" customHeight="false" outlineLevel="0" collapsed="false">
      <c r="A12" s="2"/>
      <c r="B12" s="0" t="s">
        <v>12</v>
      </c>
      <c r="C12" s="3" t="n">
        <v>19.2</v>
      </c>
      <c r="D12" s="0" t="s">
        <v>2</v>
      </c>
      <c r="G12" s="3" t="n">
        <v>53</v>
      </c>
      <c r="H12" s="0" t="s">
        <v>2</v>
      </c>
    </row>
    <row r="13" customFormat="false" ht="25.85" hidden="false" customHeight="false" outlineLevel="0" collapsed="false">
      <c r="A13" s="2"/>
      <c r="B13" s="4" t="s">
        <v>13</v>
      </c>
      <c r="C13" s="3" t="n">
        <v>3.4</v>
      </c>
      <c r="D13" s="0" t="s">
        <v>2</v>
      </c>
      <c r="G13" s="3" t="n">
        <v>10</v>
      </c>
      <c r="H13" s="0" t="s">
        <v>2</v>
      </c>
    </row>
    <row r="14" customFormat="false" ht="26.8" hidden="false" customHeight="false" outlineLevel="0" collapsed="false">
      <c r="A14" s="2"/>
      <c r="B14" s="4" t="s">
        <v>14</v>
      </c>
      <c r="C14" s="3" t="n">
        <v>0.4</v>
      </c>
      <c r="D14" s="0" t="s">
        <v>6</v>
      </c>
      <c r="G14" s="3" t="n">
        <v>70</v>
      </c>
      <c r="H14" s="0" t="s">
        <v>6</v>
      </c>
    </row>
    <row r="15" customFormat="false" ht="12.85" hidden="false" customHeight="false" outlineLevel="0" collapsed="false">
      <c r="A15" s="2"/>
      <c r="B15" s="4"/>
      <c r="C15" s="4"/>
    </row>
    <row r="16" customFormat="false" ht="12.85" hidden="false" customHeight="false" outlineLevel="0" collapsed="false">
      <c r="A16" s="2"/>
      <c r="B16" s="4"/>
      <c r="C16" s="4"/>
    </row>
    <row r="17" customFormat="false" ht="12.85" hidden="false" customHeight="false" outlineLevel="0" collapsed="false">
      <c r="G17" s="0" t="s">
        <v>15</v>
      </c>
      <c r="J17" s="0" t="s">
        <v>16</v>
      </c>
      <c r="L17" s="0" t="s">
        <v>17</v>
      </c>
      <c r="N17" s="0" t="s">
        <v>18</v>
      </c>
    </row>
    <row r="18" customFormat="false" ht="12" hidden="false" customHeight="true" outlineLevel="0" collapsed="false">
      <c r="B18" s="0" t="s">
        <v>19</v>
      </c>
      <c r="C18" s="5" t="n">
        <v>4.1</v>
      </c>
      <c r="D18" s="0" t="s">
        <v>20</v>
      </c>
      <c r="E18" s="0" t="n">
        <f aca="false">PowerConsumption!C18*PowerConsumption!D21</f>
        <v>262.4</v>
      </c>
      <c r="F18" s="0" t="s">
        <v>20</v>
      </c>
      <c r="G18" s="6" t="s">
        <v>21</v>
      </c>
      <c r="H18" s="0" t="n">
        <f aca="false">PowerConsumption!E18*PowerConsumption!E9</f>
        <v>0.00510222222222222</v>
      </c>
      <c r="I18" s="7" t="s">
        <v>22</v>
      </c>
      <c r="J18" s="8" t="n">
        <f aca="false">(1*60*60*1000)/(PowerConsumption!E18+PowerConsumption!E19)*(PowerConsumption!H18+PowerConsumption!H19)/1000*(2-PowerConsumption!L61)</f>
        <v>0.125943970767357</v>
      </c>
      <c r="K18" s="0" t="s">
        <v>2</v>
      </c>
      <c r="L18" s="0" t="n">
        <f aca="false">(PowerConsumption!J18+PowerConsumption!J42+PowerConsumption!J62+PowerConsumption!J50+PowerConsumption!J55+PowerConsumption!J71)*(2-PowerConsumption!L61)</f>
        <v>0.127565155952542</v>
      </c>
      <c r="M18" s="0" t="s">
        <v>2</v>
      </c>
      <c r="N18" s="9" t="n">
        <f aca="false">PowerConsumption!C3/PowerConsumption!L18</f>
        <v>9406.95749587321</v>
      </c>
      <c r="O18" s="0" t="s">
        <v>23</v>
      </c>
    </row>
    <row r="19" customFormat="false" ht="12.85" hidden="false" customHeight="false" outlineLevel="0" collapsed="false">
      <c r="B19" s="0" t="s">
        <v>24</v>
      </c>
      <c r="C19" s="5" t="n">
        <v>64</v>
      </c>
      <c r="D19" s="0" t="s">
        <v>25</v>
      </c>
      <c r="E19" s="8" t="n">
        <f aca="false">PowerConsumption!C19*PowerConsumption!D22/1000</f>
        <v>0.32</v>
      </c>
      <c r="F19" s="0" t="s">
        <v>20</v>
      </c>
      <c r="G19" s="6" t="s">
        <v>26</v>
      </c>
      <c r="H19" s="0" t="n">
        <f aca="false">PowerConsumption!E19*PowerConsumption!E10</f>
        <v>0.00408888888888889</v>
      </c>
      <c r="I19" s="0" t="s">
        <v>22</v>
      </c>
      <c r="N19" s="10" t="n">
        <f aca="false">PowerConsumption!N18/24</f>
        <v>391.95656232805</v>
      </c>
      <c r="O19" s="0" t="s">
        <v>27</v>
      </c>
    </row>
    <row r="20" customFormat="false" ht="12.85" hidden="false" customHeight="false" outlineLevel="0" collapsed="false">
      <c r="L20" s="0" t="s">
        <v>28</v>
      </c>
      <c r="N20" s="10" t="n">
        <f aca="false">PowerConsumption!N19/7</f>
        <v>55.9937946182929</v>
      </c>
      <c r="O20" s="0" t="s">
        <v>29</v>
      </c>
    </row>
    <row r="21" customFormat="false" ht="12.85" hidden="false" customHeight="false" outlineLevel="0" collapsed="false">
      <c r="B21" s="0" t="s">
        <v>30</v>
      </c>
      <c r="C21" s="11" t="n">
        <v>40</v>
      </c>
      <c r="D21" s="0" t="n">
        <f aca="false">HEX2DEC(PowerConsumption!C21)</f>
        <v>64</v>
      </c>
      <c r="L21" s="0" t="n">
        <f aca="false">PowerConsumption!L18*3.3/1.3</f>
        <v>0.323819242033376</v>
      </c>
      <c r="N21" s="10" t="n">
        <f aca="false">PowerConsumption!N20/4</f>
        <v>13.9984486545732</v>
      </c>
      <c r="O21" s="0" t="s">
        <v>31</v>
      </c>
    </row>
    <row r="22" customFormat="false" ht="12.85" hidden="false" customHeight="false" outlineLevel="0" collapsed="false">
      <c r="B22" s="0" t="s">
        <v>32</v>
      </c>
      <c r="C22" s="5" t="n">
        <v>5</v>
      </c>
      <c r="D22" s="0" t="n">
        <f aca="false">HEX2DEC(PowerConsumption!C22)</f>
        <v>5</v>
      </c>
      <c r="F22" s="10" t="n">
        <f aca="false">PowerConsumption!E19/(PowerConsumption!E29/PowerConsumption!C29)/8</f>
        <v>2.2222</v>
      </c>
      <c r="G22" s="0" t="s">
        <v>33</v>
      </c>
      <c r="N22" s="10" t="n">
        <f aca="false">PowerConsumption!N21/12</f>
        <v>1.1665373878811</v>
      </c>
      <c r="O22" s="0" t="s">
        <v>34</v>
      </c>
    </row>
    <row r="24" customFormat="false" ht="12.85" hidden="false" customHeight="false" outlineLevel="0" collapsed="false">
      <c r="B24" s="0" t="s">
        <v>35</v>
      </c>
      <c r="C24" s="5" t="n">
        <v>55.555</v>
      </c>
      <c r="D24" s="0" t="s">
        <v>36</v>
      </c>
      <c r="F24" s="8" t="n">
        <f aca="false">1/PowerConsumption!C24</f>
        <v>0.0180001800018</v>
      </c>
      <c r="G24" s="0" t="s">
        <v>37</v>
      </c>
    </row>
    <row r="25" customFormat="false" ht="12.85" hidden="false" customHeight="false" outlineLevel="0" collapsed="false">
      <c r="C25" s="1" t="n">
        <v>1</v>
      </c>
      <c r="D25" s="0" t="s">
        <v>38</v>
      </c>
    </row>
    <row r="26" customFormat="false" ht="12.85" hidden="false" customHeight="false" outlineLevel="0" collapsed="false">
      <c r="C26" s="0" t="n">
        <v>13</v>
      </c>
      <c r="D26" s="0" t="s">
        <v>39</v>
      </c>
    </row>
    <row r="27" customFormat="false" ht="12.85" hidden="false" customHeight="false" outlineLevel="0" collapsed="false">
      <c r="C27" s="0" t="n">
        <v>0</v>
      </c>
      <c r="D27" s="0" t="s">
        <v>40</v>
      </c>
    </row>
    <row r="28" customFormat="false" ht="12.85" hidden="false" customHeight="false" outlineLevel="0" collapsed="false">
      <c r="B28" s="0" t="s">
        <v>41</v>
      </c>
      <c r="C28" s="1" t="n">
        <f aca="false">IF(PowerConsumption!C27=1,ROUNDUP(PowerConsumption!C25/16,0)*16,PowerConsumption!C25)+PowerConsumption!C26</f>
        <v>14</v>
      </c>
      <c r="D28" s="0" t="s">
        <v>42</v>
      </c>
      <c r="G28" s="0" t="n">
        <f aca="false">PowerConsumption!C24*263/8</f>
        <v>1826.370625</v>
      </c>
    </row>
    <row r="29" customFormat="false" ht="12.85" hidden="false" customHeight="false" outlineLevel="0" collapsed="false">
      <c r="C29" s="0" t="n">
        <f aca="false">PowerConsumption!C28*8</f>
        <v>112</v>
      </c>
      <c r="D29" s="0" t="s">
        <v>43</v>
      </c>
      <c r="E29" s="10" t="n">
        <f aca="false">PowerConsumption!C29/PowerConsumption!C24</f>
        <v>2.0160201602016</v>
      </c>
      <c r="F29" s="0" t="s">
        <v>44</v>
      </c>
    </row>
    <row r="30" customFormat="false" ht="12.85" hidden="false" customHeight="false" outlineLevel="0" collapsed="false">
      <c r="C30" s="0" t="n">
        <f aca="false">ROUNDUP((PowerConsumption!E18+PowerConsumption!E19)/PowerConsumption!E29,0)</f>
        <v>131</v>
      </c>
      <c r="D30" s="0" t="s">
        <v>45</v>
      </c>
      <c r="G30" s="5" t="n">
        <f aca="false">ROUNDUP(SUM(PowerConsumption!E18:E19)*PowerConsumption!C24/8,0)</f>
        <v>1825</v>
      </c>
      <c r="H30" s="0" t="s">
        <v>46</v>
      </c>
    </row>
    <row r="31" customFormat="false" ht="12.85" hidden="false" customHeight="false" outlineLevel="0" collapsed="false">
      <c r="G31" s="9" t="n">
        <f aca="false">C24*SUM(E18:E19)/8</f>
        <v>1824.4262</v>
      </c>
      <c r="H31" s="0" t="s">
        <v>47</v>
      </c>
    </row>
    <row r="33" customFormat="false" ht="12.85" hidden="false" customHeight="false" outlineLevel="0" collapsed="false">
      <c r="F33" s="0" t="s">
        <v>48</v>
      </c>
    </row>
    <row r="34" customFormat="false" ht="12.85" hidden="false" customHeight="false" outlineLevel="0" collapsed="false">
      <c r="B34" s="0" t="s">
        <v>49</v>
      </c>
      <c r="C34" s="0" t="n">
        <v>5</v>
      </c>
      <c r="D34" s="0" t="s">
        <v>50</v>
      </c>
      <c r="F34" s="11" t="str">
        <f aca="false">DEC2HEX(PowerConsumption!C34/16/(1/PowerConsumption!$C$24))</f>
        <v>11</v>
      </c>
      <c r="G34" s="12" t="s">
        <v>51</v>
      </c>
    </row>
    <row r="35" customFormat="false" ht="12.85" hidden="false" customHeight="false" outlineLevel="0" collapsed="false">
      <c r="B35" s="0" t="s">
        <v>52</v>
      </c>
      <c r="C35" s="0" t="n">
        <f aca="false">2*PowerConsumption!E29*1.5</f>
        <v>6.04806048060481</v>
      </c>
      <c r="D35" s="0" t="s">
        <v>53</v>
      </c>
      <c r="E35" s="9"/>
      <c r="F35" s="11" t="str">
        <f aca="false">DEC2HEX(PowerConsumption!C35/16/(1/PowerConsumption!$C$24))</f>
        <v>15</v>
      </c>
      <c r="G35" s="12" t="s">
        <v>51</v>
      </c>
      <c r="I35" s="13" t="n">
        <f aca="false">PowerConsumption!C29/PowerConsumption!C24</f>
        <v>2.0160201602016</v>
      </c>
      <c r="J35" s="0" t="s">
        <v>44</v>
      </c>
    </row>
    <row r="36" customFormat="false" ht="12.85" hidden="false" customHeight="false" outlineLevel="0" collapsed="false">
      <c r="E36" s="9"/>
    </row>
    <row r="38" customFormat="false" ht="12.85" hidden="false" customHeight="false" outlineLevel="0" collapsed="false">
      <c r="B38" s="0" t="s">
        <v>54</v>
      </c>
      <c r="C38" s="1" t="n">
        <v>20</v>
      </c>
      <c r="D38" s="0" t="s">
        <v>55</v>
      </c>
      <c r="E38" s="0" t="n">
        <f aca="false">PowerConsumption!C38/60/60/1000*1000</f>
        <v>0.00555555555555555</v>
      </c>
      <c r="F38" s="0" t="s">
        <v>7</v>
      </c>
    </row>
    <row r="39" customFormat="false" ht="12.85" hidden="false" customHeight="false" outlineLevel="0" collapsed="false">
      <c r="C39" s="1" t="n">
        <v>9.6</v>
      </c>
      <c r="D39" s="0" t="s">
        <v>36</v>
      </c>
    </row>
    <row r="40" customFormat="false" ht="12.85" hidden="false" customHeight="false" outlineLevel="0" collapsed="false">
      <c r="B40" s="0" t="s">
        <v>56</v>
      </c>
      <c r="C40" s="1" t="n">
        <f aca="false">PowerConsumption!C48*2</f>
        <v>48</v>
      </c>
    </row>
    <row r="41" customFormat="false" ht="12.85" hidden="false" customHeight="false" outlineLevel="0" collapsed="false">
      <c r="C41" s="1" t="n">
        <v>20</v>
      </c>
      <c r="D41" s="0" t="s">
        <v>38</v>
      </c>
      <c r="J41" s="0" t="s">
        <v>16</v>
      </c>
    </row>
    <row r="42" customFormat="false" ht="12.85" hidden="false" customHeight="false" outlineLevel="0" collapsed="false">
      <c r="C42" s="0" t="n">
        <f aca="false">PowerConsumption!C41*8</f>
        <v>160</v>
      </c>
      <c r="D42" s="0" t="s">
        <v>43</v>
      </c>
      <c r="E42" s="0" t="n">
        <f aca="false">ROUNDUP(PowerConsumption!C42/PowerConsumption!C39,0)</f>
        <v>17</v>
      </c>
      <c r="F42" s="0" t="s">
        <v>44</v>
      </c>
      <c r="H42" s="0" t="n">
        <f aca="false">PowerConsumption!E38*PowerConsumption!E42*PowerConsumption!C40/24</f>
        <v>0.188888888888889</v>
      </c>
      <c r="I42" s="0" t="s">
        <v>57</v>
      </c>
      <c r="J42" s="8" t="n">
        <f aca="false">(PowerConsumption!H42)/1000</f>
        <v>0.000188888888888889</v>
      </c>
      <c r="K42" s="0" t="s">
        <v>2</v>
      </c>
    </row>
    <row r="43" customFormat="false" ht="12.85" hidden="false" customHeight="false" outlineLevel="0" collapsed="false">
      <c r="J43" s="8"/>
    </row>
    <row r="45" customFormat="false" ht="12.85" hidden="false" customHeight="false" outlineLevel="0" collapsed="false">
      <c r="A45" s="0" t="s">
        <v>58</v>
      </c>
    </row>
    <row r="47" customFormat="false" ht="12.85" hidden="false" customHeight="false" outlineLevel="0" collapsed="false">
      <c r="B47" s="0" t="s">
        <v>4</v>
      </c>
      <c r="C47" s="0" t="n">
        <v>1.8</v>
      </c>
      <c r="D47" s="0" t="n">
        <v>5.5</v>
      </c>
    </row>
    <row r="48" customFormat="false" ht="12.85" hidden="false" customHeight="false" outlineLevel="0" collapsed="false">
      <c r="B48" s="0" t="s">
        <v>56</v>
      </c>
      <c r="C48" s="1" t="n">
        <v>24</v>
      </c>
    </row>
    <row r="49" customFormat="false" ht="12.85" hidden="false" customHeight="false" outlineLevel="0" collapsed="false">
      <c r="B49" s="0" t="s">
        <v>59</v>
      </c>
      <c r="C49" s="1" t="n">
        <v>1000</v>
      </c>
      <c r="D49" s="0" t="s">
        <v>20</v>
      </c>
      <c r="J49" s="0" t="s">
        <v>16</v>
      </c>
    </row>
    <row r="50" customFormat="false" ht="12.85" hidden="false" customHeight="false" outlineLevel="0" collapsed="false">
      <c r="A50" s="2" t="s">
        <v>10</v>
      </c>
      <c r="B50" s="0" t="s">
        <v>60</v>
      </c>
      <c r="C50" s="3" t="n">
        <v>0.4</v>
      </c>
      <c r="D50" s="0" t="s">
        <v>6</v>
      </c>
      <c r="E50" s="0" t="n">
        <f aca="false">PowerConsumption!C50/60/60/1000</f>
        <v>1.11111111111111E-007</v>
      </c>
      <c r="F50" s="0" t="s">
        <v>7</v>
      </c>
      <c r="H50" s="0" t="n">
        <f aca="false">PowerConsumption!E50*( (24*60*60*1000)-(PowerConsumption!C49*PowerConsumption!C48))/24</f>
        <v>0.399888888888889</v>
      </c>
      <c r="I50" s="0" t="s">
        <v>57</v>
      </c>
      <c r="J50" s="8" t="n">
        <f aca="false">(PowerConsumption!H50+PowerConsumption!H51)/1000</f>
        <v>0.00131655555555556</v>
      </c>
      <c r="K50" s="0" t="s">
        <v>2</v>
      </c>
    </row>
    <row r="51" customFormat="false" ht="12.85" hidden="false" customHeight="false" outlineLevel="0" collapsed="false">
      <c r="A51" s="2"/>
      <c r="B51" s="0" t="s">
        <v>61</v>
      </c>
      <c r="C51" s="3" t="n">
        <v>3.3</v>
      </c>
      <c r="D51" s="0" t="s">
        <v>2</v>
      </c>
      <c r="E51" s="0" t="n">
        <f aca="false">PowerConsumption!C51/60/60/1000*1000</f>
        <v>0.000916666666666667</v>
      </c>
      <c r="F51" s="0" t="s">
        <v>7</v>
      </c>
      <c r="H51" s="0" t="n">
        <f aca="false">PowerConsumption!E51*PowerConsumption!C49*PowerConsumption!C48/24</f>
        <v>0.916666666666667</v>
      </c>
      <c r="I51" s="0" t="s">
        <v>57</v>
      </c>
    </row>
    <row r="53" customFormat="false" ht="12.85" hidden="false" customHeight="false" outlineLevel="0" collapsed="false">
      <c r="B53" s="0" t="s">
        <v>62</v>
      </c>
    </row>
    <row r="54" customFormat="false" ht="12.85" hidden="false" customHeight="false" outlineLevel="0" collapsed="false">
      <c r="B54" s="0" t="s">
        <v>4</v>
      </c>
      <c r="C54" s="0" t="n">
        <v>3.3</v>
      </c>
      <c r="D54" s="0" t="s">
        <v>63</v>
      </c>
      <c r="J54" s="0" t="s">
        <v>16</v>
      </c>
    </row>
    <row r="55" customFormat="false" ht="12.85" hidden="false" customHeight="false" outlineLevel="0" collapsed="false">
      <c r="B55" s="0" t="s">
        <v>64</v>
      </c>
      <c r="C55" s="0" t="n">
        <v>10</v>
      </c>
      <c r="D55" s="0" t="s">
        <v>65</v>
      </c>
      <c r="E55" s="0" t="n">
        <f aca="false">PowerConsumption!C54/(PowerConsumption!C55*1000)*1000</f>
        <v>0.33</v>
      </c>
      <c r="F55" s="0" t="s">
        <v>66</v>
      </c>
      <c r="J55" s="8"/>
      <c r="K55" s="0" t="s">
        <v>2</v>
      </c>
    </row>
    <row r="56" customFormat="false" ht="12.85" hidden="false" customHeight="false" outlineLevel="0" collapsed="false">
      <c r="C56" s="0" t="n">
        <v>0.01</v>
      </c>
      <c r="D56" s="0" t="s">
        <v>63</v>
      </c>
    </row>
    <row r="57" customFormat="false" ht="12.85" hidden="false" customHeight="false" outlineLevel="0" collapsed="false">
      <c r="A57" s="0" t="s">
        <v>67</v>
      </c>
    </row>
    <row r="58" customFormat="false" ht="12.85" hidden="false" customHeight="false" outlineLevel="0" collapsed="false">
      <c r="B58" s="0" t="s">
        <v>68</v>
      </c>
      <c r="C58" s="0" t="n">
        <v>0</v>
      </c>
      <c r="D58" s="0" t="s">
        <v>22</v>
      </c>
      <c r="E58" s="0" t="s">
        <v>69</v>
      </c>
    </row>
    <row r="59" customFormat="false" ht="12.85" hidden="false" customHeight="false" outlineLevel="0" collapsed="false">
      <c r="B59" s="0" t="s">
        <v>70</v>
      </c>
      <c r="C59" s="0" t="n">
        <v>0</v>
      </c>
      <c r="D59" s="0" t="s">
        <v>22</v>
      </c>
      <c r="E59" s="0" t="s">
        <v>71</v>
      </c>
    </row>
    <row r="60" customFormat="false" ht="12.85" hidden="false" customHeight="false" outlineLevel="0" collapsed="false">
      <c r="L60" s="0" t="s">
        <v>72</v>
      </c>
    </row>
    <row r="61" customFormat="false" ht="12.85" hidden="false" customHeight="false" outlineLevel="0" collapsed="false">
      <c r="B61" s="0" t="s">
        <v>73</v>
      </c>
      <c r="C61" s="0" t="n">
        <v>985</v>
      </c>
      <c r="D61" s="0" t="s">
        <v>65</v>
      </c>
      <c r="F61" s="0" t="s">
        <v>73</v>
      </c>
      <c r="G61" s="0" t="n">
        <v>985</v>
      </c>
      <c r="H61" s="0" t="s">
        <v>65</v>
      </c>
      <c r="J61" s="0" t="s">
        <v>16</v>
      </c>
      <c r="L61" s="1" t="n">
        <v>1</v>
      </c>
    </row>
    <row r="62" customFormat="false" ht="12.85" hidden="false" customHeight="false" outlineLevel="0" collapsed="false">
      <c r="B62" s="0" t="s">
        <v>74</v>
      </c>
      <c r="C62" s="1" t="n">
        <v>3.3</v>
      </c>
      <c r="D62" s="0" t="s">
        <v>63</v>
      </c>
      <c r="F62" s="0" t="s">
        <v>74</v>
      </c>
      <c r="G62" s="1" t="n">
        <v>2.4</v>
      </c>
      <c r="H62" s="0" t="s">
        <v>63</v>
      </c>
      <c r="J62" s="8" t="n">
        <f aca="false">(PowerConsumption!C58+PowerConsumption!C59)/1000</f>
        <v>0</v>
      </c>
      <c r="K62" s="0" t="s">
        <v>2</v>
      </c>
    </row>
    <row r="64" customFormat="false" ht="12.85" hidden="false" customHeight="false" outlineLevel="0" collapsed="false">
      <c r="B64" s="0" t="s">
        <v>75</v>
      </c>
      <c r="C64" s="9" t="n">
        <f aca="false">PowerConsumption!C61/(PowerConsumption!C62/1.21-1)</f>
        <v>570.263157894737</v>
      </c>
      <c r="D64" s="0" t="s">
        <v>65</v>
      </c>
      <c r="F64" s="0" t="s">
        <v>75</v>
      </c>
      <c r="G64" s="9" t="n">
        <f aca="false">PowerConsumption!G61/(PowerConsumption!G62/1.21-1)</f>
        <v>1001.55462184874</v>
      </c>
      <c r="H64" s="0" t="s">
        <v>65</v>
      </c>
    </row>
    <row r="66" customFormat="false" ht="12.85" hidden="false" customHeight="false" outlineLevel="0" collapsed="false">
      <c r="A66" s="0" t="s">
        <v>76</v>
      </c>
    </row>
    <row r="67" customFormat="false" ht="12.85" hidden="false" customHeight="false" outlineLevel="0" collapsed="false">
      <c r="B67" s="0" t="s">
        <v>77</v>
      </c>
      <c r="C67" s="1" t="n">
        <v>25</v>
      </c>
      <c r="D67" s="0" t="s">
        <v>20</v>
      </c>
    </row>
    <row r="68" customFormat="false" ht="12.85" hidden="false" customHeight="false" outlineLevel="0" collapsed="false">
      <c r="B68" s="0" t="s">
        <v>56</v>
      </c>
      <c r="C68" s="1" t="n">
        <v>4</v>
      </c>
    </row>
    <row r="70" customFormat="false" ht="12.85" hidden="false" customHeight="false" outlineLevel="0" collapsed="false">
      <c r="B70" s="0" t="s">
        <v>78</v>
      </c>
      <c r="C70" s="14" t="n">
        <f aca="false">PowerConsumption!C62/33*1000</f>
        <v>100</v>
      </c>
      <c r="D70" s="0" t="s">
        <v>2</v>
      </c>
      <c r="F70" s="0" t="s">
        <v>79</v>
      </c>
      <c r="G70" s="14" t="n">
        <f aca="false">PowerConsumption!G62/33*1000</f>
        <v>72.7272727272727</v>
      </c>
      <c r="H70" s="0" t="s">
        <v>66</v>
      </c>
      <c r="J70" s="0" t="s">
        <v>16</v>
      </c>
    </row>
    <row r="71" customFormat="false" ht="12.85" hidden="false" customHeight="false" outlineLevel="0" collapsed="false">
      <c r="C71" s="0" t="n">
        <f aca="false">PowerConsumption!C70/60/60/1000</f>
        <v>2.77777777777778E-005</v>
      </c>
      <c r="D71" s="0" t="s">
        <v>80</v>
      </c>
      <c r="G71" s="15" t="n">
        <f aca="false">PowerConsumption!G70/60/60/1000</f>
        <v>2.02020202020202E-005</v>
      </c>
      <c r="H71" s="0" t="s">
        <v>80</v>
      </c>
      <c r="J71" s="8" t="n">
        <f aca="false">PowerConsumption!C72</f>
        <v>0.000115740740740741</v>
      </c>
      <c r="K71" s="0" t="s">
        <v>2</v>
      </c>
    </row>
    <row r="72" customFormat="false" ht="12.85" hidden="false" customHeight="false" outlineLevel="0" collapsed="false">
      <c r="B72" s="0" t="s">
        <v>81</v>
      </c>
      <c r="C72" s="0" t="n">
        <f aca="false">PowerConsumption!C71*PowerConsumption!$C$67*PowerConsumption!$C$68/24</f>
        <v>0.000115740740740741</v>
      </c>
      <c r="D72" s="0" t="s">
        <v>82</v>
      </c>
      <c r="G72" s="0" t="n">
        <f aca="false">PowerConsumption!G71*PowerConsumption!$C$67*PowerConsumption!$C$68/24</f>
        <v>8.41750841750842E-005</v>
      </c>
      <c r="H72" s="0" t="s">
        <v>82</v>
      </c>
    </row>
  </sheetData>
  <mergeCells count="2">
    <mergeCell ref="A11:A14"/>
    <mergeCell ref="A50:A51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7" activeCellId="1" sqref="K11:K12 D7"/>
    </sheetView>
  </sheetViews>
  <sheetFormatPr defaultRowHeight="12.85" zeroHeight="false" outlineLevelRow="0" outlineLevelCol="0"/>
  <cols>
    <col collapsed="false" customWidth="true" hidden="false" outlineLevel="0" max="1025" min="1" style="0" width="8.48"/>
  </cols>
  <sheetData>
    <row r="2" customFormat="false" ht="12.85" hidden="false" customHeight="false" outlineLevel="0" collapsed="false">
      <c r="B2" s="0" t="s">
        <v>83</v>
      </c>
      <c r="C2" s="0" t="s">
        <v>84</v>
      </c>
      <c r="E2" s="0" t="s">
        <v>85</v>
      </c>
      <c r="F2" s="0" t="n">
        <f aca="false">3.3/(Spannungsteiler!C4+Spannungsteiler!C6)</f>
        <v>9.96978851963746E-006</v>
      </c>
      <c r="G2" s="0" t="s">
        <v>86</v>
      </c>
      <c r="H2" s="0" t="n">
        <f aca="false">Spannungsteiler!F2*1000</f>
        <v>0.00996978851963746</v>
      </c>
    </row>
    <row r="3" customFormat="false" ht="12.85" hidden="false" customHeight="false" outlineLevel="0" collapsed="false">
      <c r="B3" s="0" t="s">
        <v>87</v>
      </c>
    </row>
    <row r="4" customFormat="false" ht="12.85" hidden="false" customHeight="false" outlineLevel="0" collapsed="false">
      <c r="B4" s="0" t="s">
        <v>88</v>
      </c>
      <c r="C4" s="0" t="n">
        <v>301000</v>
      </c>
      <c r="E4" s="16" t="n">
        <f aca="false">Spannungsteiler!C4*Spannungsteiler!$F$2</f>
        <v>3.00090634441088</v>
      </c>
      <c r="F4" s="0" t="s">
        <v>63</v>
      </c>
    </row>
    <row r="5" customFormat="false" ht="12.85" hidden="false" customHeight="false" outlineLevel="0" collapsed="false">
      <c r="B5" s="0" t="s">
        <v>87</v>
      </c>
    </row>
    <row r="6" customFormat="false" ht="12.85" hidden="false" customHeight="false" outlineLevel="0" collapsed="false">
      <c r="B6" s="0" t="s">
        <v>89</v>
      </c>
      <c r="C6" s="0" t="n">
        <v>30000</v>
      </c>
      <c r="E6" s="16" t="n">
        <f aca="false">Spannungsteiler!C6*Spannungsteiler!$F$2</f>
        <v>0.299093655589124</v>
      </c>
      <c r="F6" s="0" t="s">
        <v>63</v>
      </c>
    </row>
    <row r="7" customFormat="false" ht="12.85" hidden="false" customHeight="false" outlineLevel="0" collapsed="false">
      <c r="B7" s="0" t="s">
        <v>87</v>
      </c>
    </row>
    <row r="8" customFormat="false" ht="12.85" hidden="false" customHeight="false" outlineLevel="0" collapsed="false">
      <c r="B8" s="0" t="s">
        <v>90</v>
      </c>
    </row>
    <row r="9" customFormat="false" ht="12.85" hidden="false" customHeight="false" outlineLevel="0" collapsed="false">
      <c r="H9" s="0" t="s">
        <v>91</v>
      </c>
      <c r="I9" s="0" t="n">
        <f aca="false">Spannungsteiler!E15-Spannungsteiler!E6</f>
        <v>2.56922446696629</v>
      </c>
    </row>
    <row r="11" customFormat="false" ht="12.85" hidden="false" customHeight="false" outlineLevel="0" collapsed="false">
      <c r="B11" s="0" t="s">
        <v>83</v>
      </c>
      <c r="C11" s="0" t="s">
        <v>84</v>
      </c>
      <c r="E11" s="0" t="s">
        <v>85</v>
      </c>
      <c r="F11" s="0" t="n">
        <f aca="false">3.3/(Spannungsteiler!C13+Spannungsteiler!C15)</f>
        <v>1.43415906127771E-006</v>
      </c>
      <c r="G11" s="0" t="s">
        <v>86</v>
      </c>
      <c r="H11" s="0" t="n">
        <f aca="false">Spannungsteiler!F11*1000</f>
        <v>0.00143415906127771</v>
      </c>
    </row>
    <row r="12" customFormat="false" ht="12.85" hidden="false" customHeight="false" outlineLevel="0" collapsed="false">
      <c r="B12" s="0" t="s">
        <v>87</v>
      </c>
    </row>
    <row r="13" customFormat="false" ht="12.85" hidden="false" customHeight="false" outlineLevel="0" collapsed="false">
      <c r="B13" s="0" t="s">
        <v>88</v>
      </c>
      <c r="C13" s="0" t="n">
        <f aca="false">Spannungsteiler!C4</f>
        <v>301000</v>
      </c>
      <c r="E13" s="16" t="n">
        <f aca="false">Spannungsteiler!C13*Spannungsteiler!$F$11</f>
        <v>0.431681877444589</v>
      </c>
      <c r="F13" s="0" t="s">
        <v>63</v>
      </c>
    </row>
    <row r="14" customFormat="false" ht="12.85" hidden="false" customHeight="false" outlineLevel="0" collapsed="false">
      <c r="B14" s="0" t="s">
        <v>87</v>
      </c>
    </row>
    <row r="15" customFormat="false" ht="12.85" hidden="false" customHeight="false" outlineLevel="0" collapsed="false">
      <c r="B15" s="0" t="s">
        <v>89</v>
      </c>
      <c r="C15" s="0" t="n">
        <v>2000000</v>
      </c>
      <c r="E15" s="16" t="n">
        <f aca="false">Spannungsteiler!C15*Spannungsteiler!$F$11</f>
        <v>2.86831812255541</v>
      </c>
      <c r="F15" s="0" t="s">
        <v>63</v>
      </c>
    </row>
    <row r="16" customFormat="false" ht="12.85" hidden="false" customHeight="false" outlineLevel="0" collapsed="false">
      <c r="B16" s="0" t="s">
        <v>87</v>
      </c>
    </row>
    <row r="17" customFormat="false" ht="12.85" hidden="false" customHeight="false" outlineLevel="0" collapsed="false">
      <c r="B17" s="0" t="s">
        <v>90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O2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2" activeCellId="1" sqref="K11:K12 F12"/>
    </sheetView>
  </sheetViews>
  <sheetFormatPr defaultRowHeight="14.6" zeroHeight="false" outlineLevelRow="0" outlineLevelCol="0"/>
  <cols>
    <col collapsed="false" customWidth="true" hidden="false" outlineLevel="0" max="4" min="1" style="0" width="8.86"/>
    <col collapsed="false" customWidth="true" hidden="false" outlineLevel="0" max="12" min="5" style="0" width="1.7"/>
    <col collapsed="false" customWidth="true" hidden="false" outlineLevel="0" max="1025" min="13" style="0" width="8.86"/>
  </cols>
  <sheetData>
    <row r="3" customFormat="false" ht="16.25" hidden="false" customHeight="false" outlineLevel="0" collapsed="false">
      <c r="B3" s="17" t="s">
        <v>92</v>
      </c>
    </row>
    <row r="4" customFormat="false" ht="16.25" hidden="false" customHeight="false" outlineLevel="0" collapsed="false">
      <c r="B4" s="18" t="s">
        <v>93</v>
      </c>
    </row>
    <row r="5" customFormat="false" ht="14.6" hidden="false" customHeight="false" outlineLevel="0" collapsed="false">
      <c r="B5" s="18" t="s">
        <v>94</v>
      </c>
    </row>
    <row r="6" customFormat="false" ht="14.6" hidden="false" customHeight="false" outlineLevel="0" collapsed="false">
      <c r="B6" s="19"/>
    </row>
    <row r="7" customFormat="false" ht="16.25" hidden="false" customHeight="false" outlineLevel="0" collapsed="false">
      <c r="B7" s="20" t="s">
        <v>95</v>
      </c>
    </row>
    <row r="8" customFormat="false" ht="16.25" hidden="false" customHeight="false" outlineLevel="0" collapsed="false">
      <c r="B8" s="20" t="s">
        <v>96</v>
      </c>
    </row>
    <row r="9" customFormat="false" ht="16.25" hidden="false" customHeight="false" outlineLevel="0" collapsed="false">
      <c r="B9" s="20" t="s">
        <v>97</v>
      </c>
    </row>
    <row r="10" customFormat="false" ht="16.25" hidden="false" customHeight="false" outlineLevel="0" collapsed="false">
      <c r="B10" s="20" t="s">
        <v>98</v>
      </c>
    </row>
    <row r="12" customFormat="false" ht="14.6" hidden="false" customHeight="false" outlineLevel="0" collapsed="false">
      <c r="B12" s="0" t="s">
        <v>99</v>
      </c>
      <c r="C12" s="0" t="n">
        <v>375</v>
      </c>
      <c r="D12" s="0" t="s">
        <v>25</v>
      </c>
      <c r="E12" s="21" t="s">
        <v>100</v>
      </c>
    </row>
    <row r="14" customFormat="false" ht="14.6" hidden="false" customHeight="false" outlineLevel="0" collapsed="false">
      <c r="B14" s="0" t="n">
        <v>0</v>
      </c>
      <c r="E14" s="0" t="n">
        <v>1</v>
      </c>
      <c r="F14" s="0" t="n">
        <v>0</v>
      </c>
      <c r="G14" s="0" t="n">
        <v>0</v>
      </c>
      <c r="H14" s="0" t="n">
        <v>0</v>
      </c>
      <c r="I14" s="0" t="n">
        <v>1</v>
      </c>
      <c r="J14" s="0" t="n">
        <v>0</v>
      </c>
      <c r="K14" s="0" t="n">
        <v>0</v>
      </c>
      <c r="L14" s="0" t="n">
        <v>0</v>
      </c>
      <c r="N14" s="0" t="str">
        <f aca="false">CONCATENATE(HX2262!E14,HX2262!F14,HX2262!G14,HX2262!H14,HX2262!I14,HX2262!J14,HX2262!K14,HX2262!L14)</f>
        <v>10001000</v>
      </c>
      <c r="O14" s="0" t="str">
        <f aca="false">BIN2HEX(HX2262!N14)</f>
        <v>88</v>
      </c>
    </row>
    <row r="15" customFormat="false" ht="14.6" hidden="false" customHeight="false" outlineLevel="0" collapsed="false">
      <c r="B15" s="0" t="n">
        <v>1</v>
      </c>
      <c r="E15" s="0" t="n">
        <v>1</v>
      </c>
      <c r="F15" s="0" t="n">
        <v>1</v>
      </c>
      <c r="G15" s="0" t="n">
        <v>1</v>
      </c>
      <c r="H15" s="0" t="n">
        <v>0</v>
      </c>
      <c r="I15" s="0" t="n">
        <v>1</v>
      </c>
      <c r="J15" s="0" t="n">
        <v>1</v>
      </c>
      <c r="K15" s="0" t="n">
        <v>1</v>
      </c>
      <c r="L15" s="0" t="n">
        <v>0</v>
      </c>
      <c r="N15" s="0" t="str">
        <f aca="false">CONCATENATE(HX2262!E15,HX2262!F15,HX2262!G15,HX2262!H15,HX2262!I15,HX2262!J15,HX2262!K15,HX2262!L15)</f>
        <v>11101110</v>
      </c>
      <c r="O15" s="0" t="str">
        <f aca="false">BIN2HEX(HX2262!N15)</f>
        <v>EE</v>
      </c>
    </row>
    <row r="16" customFormat="false" ht="14.6" hidden="false" customHeight="false" outlineLevel="0" collapsed="false">
      <c r="B16" s="6" t="s">
        <v>101</v>
      </c>
      <c r="E16" s="0" t="n">
        <v>1</v>
      </c>
      <c r="F16" s="0" t="n">
        <v>0</v>
      </c>
      <c r="G16" s="0" t="n">
        <v>0</v>
      </c>
      <c r="H16" s="0" t="n">
        <v>0</v>
      </c>
      <c r="I16" s="0" t="n">
        <v>1</v>
      </c>
      <c r="J16" s="0" t="n">
        <v>1</v>
      </c>
      <c r="K16" s="0" t="n">
        <v>1</v>
      </c>
      <c r="L16" s="0" t="n">
        <v>0</v>
      </c>
      <c r="N16" s="0" t="str">
        <f aca="false">CONCATENATE(HX2262!E16,HX2262!F16,HX2262!G16,HX2262!H16,HX2262!I16,HX2262!J16,HX2262!K16,HX2262!L16)</f>
        <v>10001110</v>
      </c>
      <c r="O16" s="0" t="str">
        <f aca="false">BIN2HEX(HX2262!N16)</f>
        <v>8E</v>
      </c>
    </row>
    <row r="18" customFormat="false" ht="14.6" hidden="false" customHeight="false" outlineLevel="0" collapsed="false">
      <c r="B18" s="0" t="s">
        <v>102</v>
      </c>
      <c r="E18" s="0" t="n">
        <v>1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N18" s="0" t="str">
        <f aca="false">CONCATENATE(HX2262!E18,HX2262!F18,HX2262!G18,HX2262!H18,HX2262!I18,HX2262!J18,HX2262!K18,HX2262!L18)</f>
        <v>10000000</v>
      </c>
      <c r="O18" s="0" t="str">
        <f aca="false">BIN2HEX(HX2262!N18)</f>
        <v>80</v>
      </c>
    </row>
    <row r="19" customFormat="false" ht="14.6" hidden="false" customHeight="false" outlineLevel="0" collapsed="false"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N19" s="0" t="str">
        <f aca="false">CONCATENATE(HX2262!E19,HX2262!F19,HX2262!G19,HX2262!H19,HX2262!I19,HX2262!J19,HX2262!K19,HX2262!L19)</f>
        <v>00000000</v>
      </c>
      <c r="O19" s="0" t="str">
        <f aca="false">BIN2HEX(HX2262!N19)</f>
        <v>0</v>
      </c>
    </row>
    <row r="20" customFormat="false" ht="14.6" hidden="false" customHeight="false" outlineLevel="0" collapsed="false"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N20" s="0" t="str">
        <f aca="false">CONCATENATE(HX2262!E20,HX2262!F20,HX2262!G20,HX2262!H20,HX2262!I20,HX2262!J20,HX2262!K20,HX2262!L20)</f>
        <v>00000000</v>
      </c>
      <c r="O20" s="0" t="str">
        <f aca="false">BIN2HEX(HX2262!N20)</f>
        <v>0</v>
      </c>
    </row>
    <row r="21" customFormat="false" ht="14.6" hidden="false" customHeight="false" outlineLevel="0" collapsed="false"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N21" s="0" t="str">
        <f aca="false">CONCATENATE(HX2262!E21,HX2262!F21,HX2262!G21,HX2262!H21,HX2262!I21,HX2262!J21,HX2262!K21,HX2262!L21)</f>
        <v>00000000</v>
      </c>
      <c r="O21" s="0" t="str">
        <f aca="false">BIN2HEX(HX2262!N21)</f>
        <v>0</v>
      </c>
    </row>
    <row r="24" customFormat="false" ht="14.6" hidden="false" customHeight="false" outlineLevel="0" collapsed="false">
      <c r="B24" s="0" t="s">
        <v>103</v>
      </c>
      <c r="D24" s="0" t="n">
        <v>12</v>
      </c>
      <c r="E24" s="0" t="s">
        <v>104</v>
      </c>
    </row>
    <row r="25" customFormat="false" ht="14.6" hidden="false" customHeight="false" outlineLevel="0" collapsed="false">
      <c r="B25" s="0" t="s">
        <v>105</v>
      </c>
      <c r="D25" s="0" t="s">
        <v>106</v>
      </c>
    </row>
  </sheetData>
  <hyperlinks>
    <hyperlink ref="B3" r:id="rId1" location="SC5262_/_SC5272,_HX2262_/_HX2272,_PT2262_/_PT2272" display="SC5262 / SC5272, HX2262 / HX2272, PT2262 / PT2272"/>
    <hyperlink ref="B4" r:id="rId2" display="Pollin Funk-Steckdosen-Set 2605 - Protocol:1 / BitLength:24 - (Link)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8" activeCellId="1" sqref="K11:K12 A18"/>
    </sheetView>
  </sheetViews>
  <sheetFormatPr defaultRowHeight="12.85" zeroHeight="false" outlineLevelRow="0" outlineLevelCol="0"/>
  <cols>
    <col collapsed="false" customWidth="true" hidden="false" outlineLevel="0" max="1" min="1" style="0" width="8.48"/>
    <col collapsed="false" customWidth="true" hidden="false" outlineLevel="0" max="2" min="2" style="0" width="12.81"/>
    <col collapsed="false" customWidth="true" hidden="false" outlineLevel="0" max="1025" min="3" style="0" width="8.48"/>
  </cols>
  <sheetData>
    <row r="1" customFormat="false" ht="12.85" hidden="false" customHeight="false" outlineLevel="0" collapsed="false">
      <c r="A1" s="0" t="s">
        <v>107</v>
      </c>
    </row>
    <row r="2" customFormat="false" ht="12.85" hidden="false" customHeight="false" outlineLevel="0" collapsed="false">
      <c r="C2" s="0" t="s">
        <v>108</v>
      </c>
      <c r="D2" s="0" t="s">
        <v>109</v>
      </c>
    </row>
    <row r="3" customFormat="false" ht="12.85" hidden="false" customHeight="false" outlineLevel="0" collapsed="false">
      <c r="B3" s="0" t="s">
        <v>110</v>
      </c>
      <c r="C3" s="0" t="s">
        <v>111</v>
      </c>
      <c r="D3" s="0" t="n">
        <v>40</v>
      </c>
      <c r="E3" s="0" t="n">
        <v>6667</v>
      </c>
    </row>
    <row r="4" customFormat="false" ht="12.85" hidden="false" customHeight="false" outlineLevel="0" collapsed="false">
      <c r="C4" s="0" t="n">
        <f aca="false">HEX2DEC(BitRate!C3)</f>
        <v>10</v>
      </c>
      <c r="D4" s="0" t="n">
        <f aca="false">HEX2DEC(BitRate!D3)</f>
        <v>64</v>
      </c>
      <c r="F4" s="0" t="s">
        <v>112</v>
      </c>
    </row>
    <row r="6" customFormat="false" ht="12.85" hidden="false" customHeight="false" outlineLevel="0" collapsed="false">
      <c r="F6" s="0" t="n">
        <v>3.125</v>
      </c>
      <c r="G6" s="0" t="s">
        <v>113</v>
      </c>
      <c r="H6" s="0" t="str">
        <f aca="false">DEC2HEX(ROUND((BitRate!G8/1000)/BitRate!F6,0))</f>
        <v>2800</v>
      </c>
    </row>
    <row r="8" customFormat="false" ht="12.85" hidden="false" customHeight="false" outlineLevel="0" collapsed="false">
      <c r="F8" s="0" t="s">
        <v>114</v>
      </c>
      <c r="G8" s="0" t="n">
        <v>32000000</v>
      </c>
      <c r="H8" s="6" t="s">
        <v>115</v>
      </c>
      <c r="I8" s="0" t="n">
        <f aca="false">BitRate!G8/2^19</f>
        <v>61.03515625</v>
      </c>
      <c r="K8" s="0" t="n">
        <f aca="false">I8*75000</f>
        <v>4577636.71875</v>
      </c>
    </row>
    <row r="9" customFormat="false" ht="12.85" hidden="false" customHeight="false" outlineLevel="0" collapsed="false">
      <c r="F9" s="0" t="n">
        <f aca="false">BitRate!G8/BitRate!E3</f>
        <v>4799.7600119994</v>
      </c>
    </row>
    <row r="10" customFormat="false" ht="12.85" hidden="false" customHeight="false" outlineLevel="0" collapsed="false">
      <c r="A10" s="0" t="n">
        <f aca="false">1/0.000375</f>
        <v>2666.66666666667</v>
      </c>
      <c r="D10" s="0" t="s">
        <v>51</v>
      </c>
    </row>
    <row r="11" customFormat="false" ht="12.85" hidden="false" customHeight="false" outlineLevel="0" collapsed="false">
      <c r="A11" s="0" t="n">
        <v>9993</v>
      </c>
      <c r="B11" s="0" t="n">
        <f aca="false">ROUND(BitRate!G8/BitRate!A11,0)</f>
        <v>3202</v>
      </c>
      <c r="C11" s="0" t="str">
        <f aca="false">DEC2HEX(BitRate!B11)</f>
        <v>C82</v>
      </c>
      <c r="D11" s="0" t="s">
        <v>116</v>
      </c>
      <c r="E11" s="0" t="n">
        <f aca="false">HEX2DEC(BitRate!D11)</f>
        <v>3200</v>
      </c>
      <c r="F11" s="0" t="n">
        <f aca="false">BitRate!G8/BitRate!E11</f>
        <v>10000</v>
      </c>
      <c r="I11" s="0" t="n">
        <f aca="false">BitRate!I8*79</f>
        <v>4821.77734375</v>
      </c>
    </row>
    <row r="12" customFormat="false" ht="12.85" hidden="false" customHeight="false" outlineLevel="0" collapsed="false">
      <c r="B12" s="0" t="n">
        <f aca="false">(BitRate!G8 + (BitRate!A11/2)) / BitRate!A11</f>
        <v>3202.74156909837</v>
      </c>
    </row>
    <row r="14" customFormat="false" ht="12.85" hidden="false" customHeight="false" outlineLevel="0" collapsed="false">
      <c r="A14" s="0" t="s">
        <v>117</v>
      </c>
    </row>
    <row r="15" customFormat="false" ht="12.85" hidden="false" customHeight="false" outlineLevel="0" collapsed="false">
      <c r="B15" s="0" t="n">
        <v>19043</v>
      </c>
      <c r="C15" s="9" t="n">
        <f aca="false">B15/I8</f>
        <v>312.000512</v>
      </c>
      <c r="D15" s="22" t="str">
        <f aca="false">DEC2HEX(C15,4)</f>
        <v>0138</v>
      </c>
      <c r="F15" s="0" t="s">
        <v>118</v>
      </c>
    </row>
    <row r="16" customFormat="false" ht="12.85" hidden="false" customHeight="false" outlineLevel="0" collapsed="false">
      <c r="F16" s="0" t="s">
        <v>119</v>
      </c>
    </row>
    <row r="17" customFormat="false" ht="12.85" hidden="false" customHeight="false" outlineLevel="0" collapsed="false">
      <c r="A17" s="0" t="s">
        <v>120</v>
      </c>
      <c r="H17" s="0" t="n">
        <f aca="false">G18+0.1</f>
        <v>868.1</v>
      </c>
    </row>
    <row r="18" customFormat="false" ht="12.85" hidden="false" customHeight="false" outlineLevel="0" collapsed="false">
      <c r="A18" s="0" t="n">
        <v>868300000</v>
      </c>
      <c r="B18" s="0" t="n">
        <f aca="false">ROUND(((BitRate!A18*524288 + (BitRate!G8/2)) / BitRate!G8),0)</f>
        <v>14226228</v>
      </c>
      <c r="C18" s="0" t="n">
        <f aca="false">BitRate!B18*BitRate!G8/2^(19)</f>
        <v>868300048.828125</v>
      </c>
      <c r="E18" s="0" t="s">
        <v>121</v>
      </c>
      <c r="G18" s="0" t="n">
        <v>868</v>
      </c>
      <c r="J18" s="0" t="n">
        <f aca="false">H19+I19</f>
        <v>867.925</v>
      </c>
      <c r="K18" s="0" t="n">
        <f aca="false">G18-J18</f>
        <v>0.0750000000000455</v>
      </c>
    </row>
    <row r="19" customFormat="false" ht="12.85" hidden="false" customHeight="false" outlineLevel="0" collapsed="false">
      <c r="B19" s="0" t="n">
        <f aca="false">ROUND(BitRate!A18/BitRate!I8,0)</f>
        <v>14226227</v>
      </c>
      <c r="C19" s="0" t="str">
        <f aca="false">DEC2HEX(BitRate!B19)</f>
        <v>D91333</v>
      </c>
      <c r="H19" s="0" t="n">
        <f aca="false">G18-0.1</f>
        <v>867.9</v>
      </c>
      <c r="I19" s="0" t="n">
        <v>0.025</v>
      </c>
    </row>
    <row r="20" customFormat="false" ht="12.85" hidden="false" customHeight="false" outlineLevel="0" collapsed="false">
      <c r="B20" s="9"/>
    </row>
    <row r="23" customFormat="false" ht="12.85" hidden="false" customHeight="false" outlineLevel="0" collapsed="false">
      <c r="A23" s="0" t="s">
        <v>122</v>
      </c>
      <c r="C23" s="0" t="n">
        <v>24</v>
      </c>
      <c r="D23" s="0" t="n">
        <v>1</v>
      </c>
    </row>
    <row r="24" customFormat="false" ht="12.85" hidden="false" customHeight="false" outlineLevel="0" collapsed="false">
      <c r="B24" s="0" t="n">
        <f aca="false">ROUND((BitRate!G8/(BitRate!C23*2^(BitRate!D23+2)))/1000,1)</f>
        <v>166.7</v>
      </c>
      <c r="C24" s="0" t="s">
        <v>123</v>
      </c>
      <c r="E24" s="0" t="s">
        <v>124</v>
      </c>
      <c r="G24" s="0" t="s">
        <v>125</v>
      </c>
      <c r="H24" s="0" t="n">
        <f aca="false">BitRate!A11/2000</f>
        <v>4.9965</v>
      </c>
      <c r="I24" s="0" t="s">
        <v>123</v>
      </c>
    </row>
    <row r="27" customFormat="false" ht="12.85" hidden="false" customHeight="false" outlineLevel="0" collapsed="false">
      <c r="A27" s="0" t="s">
        <v>126</v>
      </c>
    </row>
    <row r="28" customFormat="false" ht="12.85" hidden="false" customHeight="false" outlineLevel="0" collapsed="false">
      <c r="B28" s="1" t="n">
        <v>5.5</v>
      </c>
      <c r="C28" s="0" t="s">
        <v>127</v>
      </c>
    </row>
    <row r="29" customFormat="false" ht="12.85" hidden="false" customHeight="false" outlineLevel="0" collapsed="false">
      <c r="B29" s="1" t="n">
        <v>1</v>
      </c>
      <c r="C29" s="0" t="s">
        <v>38</v>
      </c>
      <c r="D29" s="0" t="s">
        <v>128</v>
      </c>
    </row>
    <row r="30" customFormat="false" ht="12.85" hidden="false" customHeight="false" outlineLevel="0" collapsed="false">
      <c r="B30" s="1" t="n">
        <v>12</v>
      </c>
      <c r="C30" s="0" t="s">
        <v>129</v>
      </c>
    </row>
    <row r="31" customFormat="false" ht="12.85" hidden="false" customHeight="false" outlineLevel="0" collapsed="false">
      <c r="B31" s="0" t="n">
        <f aca="false">(BitRate!B29+BitRate!B30)*8</f>
        <v>104</v>
      </c>
      <c r="C31" s="0" t="s">
        <v>43</v>
      </c>
    </row>
    <row r="32" customFormat="false" ht="12.85" hidden="false" customHeight="false" outlineLevel="0" collapsed="false">
      <c r="B32" s="9" t="n">
        <f aca="false">BitRate!B31/BitRate!B28</f>
        <v>18.9090909090909</v>
      </c>
      <c r="C32" s="0" t="s">
        <v>130</v>
      </c>
    </row>
    <row r="33" customFormat="false" ht="12.85" hidden="false" customHeight="false" outlineLevel="0" collapsed="false">
      <c r="B33" s="0" t="n">
        <v>263</v>
      </c>
      <c r="C33" s="0" t="s">
        <v>131</v>
      </c>
      <c r="F33" s="9" t="n">
        <f aca="false">BitRate!B33/BitRate!B32</f>
        <v>13.9086538461538</v>
      </c>
    </row>
    <row r="34" customFormat="false" ht="12.85" hidden="false" customHeight="false" outlineLevel="0" collapsed="false">
      <c r="F34" s="9" t="n">
        <f aca="false">BitRate!B28*BitRate!B33/8</f>
        <v>180.8125</v>
      </c>
      <c r="G34" s="0" t="s">
        <v>132</v>
      </c>
    </row>
    <row r="35" customFormat="false" ht="12.85" hidden="false" customHeight="false" outlineLevel="0" collapsed="false">
      <c r="A35" s="0" t="s">
        <v>133</v>
      </c>
    </row>
    <row r="36" customFormat="false" ht="12.85" hidden="false" customHeight="false" outlineLevel="0" collapsed="false">
      <c r="B36" s="0" t="n">
        <v>320</v>
      </c>
      <c r="C36" s="0" t="s">
        <v>134</v>
      </c>
    </row>
    <row r="37" customFormat="false" ht="12.85" hidden="false" customHeight="false" outlineLevel="0" collapsed="false">
      <c r="B37" s="0" t="n">
        <f aca="false">BitRate!B36*10^(-6)</f>
        <v>0.00032</v>
      </c>
      <c r="C37" s="0" t="n">
        <f aca="false">ROUND(1/BitRate!B37/1000,3)</f>
        <v>3.125</v>
      </c>
      <c r="D37" s="0" t="s">
        <v>135</v>
      </c>
    </row>
    <row r="41" customFormat="false" ht="12.85" hidden="false" customHeight="false" outlineLevel="0" collapsed="false">
      <c r="B41" s="0" t="s">
        <v>136</v>
      </c>
      <c r="C41" s="0" t="str">
        <f aca="false">HEX2BIN(BitRate!B41,8)</f>
        <v>01101010</v>
      </c>
      <c r="D41" s="0" t="n">
        <v>1111110</v>
      </c>
      <c r="E41" s="0" t="str">
        <f aca="false">BIN2HEX(BitRate!D41)</f>
        <v>7E</v>
      </c>
    </row>
    <row r="42" customFormat="false" ht="12.85" hidden="false" customHeight="false" outlineLevel="0" collapsed="false">
      <c r="B42" s="0" t="s">
        <v>137</v>
      </c>
      <c r="C42" s="0" t="str">
        <f aca="false">HEX2BIN(BitRate!B42,8)</f>
        <v>10101001</v>
      </c>
    </row>
    <row r="47" customFormat="false" ht="12.85" hidden="false" customHeight="false" outlineLevel="0" collapsed="false">
      <c r="B47" s="0" t="s">
        <v>138</v>
      </c>
    </row>
    <row r="48" customFormat="false" ht="12.85" hidden="false" customHeight="false" outlineLevel="0" collapsed="false">
      <c r="B48" s="0" t="str">
        <f aca="false">SUBSTITUTE(BitRate!B47," ","")</f>
        <v>E38CE3338CCE33338E3338CCCCCCCCCCCCCCCCCCCE38CCE3338C6AFEDDF</v>
      </c>
    </row>
    <row r="49" customFormat="false" ht="12.85" hidden="false" customHeight="false" outlineLevel="0" collapsed="false">
      <c r="B49" s="0" t="str">
        <f aca="false">BitRate!E132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110111111101111111011111110111111101111111011111110111111101111111011111110111111101111111011111110111111101111111011111</v>
      </c>
    </row>
    <row r="50" customFormat="false" ht="12.85" hidden="false" customHeight="false" outlineLevel="0" collapsed="false">
      <c r="B50" s="0" t="n">
        <v>11010010</v>
      </c>
      <c r="C50" s="0" t="s">
        <v>139</v>
      </c>
      <c r="D50" s="0" t="s">
        <v>140</v>
      </c>
      <c r="E50" s="0" t="n">
        <v>0</v>
      </c>
      <c r="F50" s="20" t="n">
        <v>110</v>
      </c>
    </row>
    <row r="51" customFormat="false" ht="12.85" hidden="false" customHeight="false" outlineLevel="0" collapsed="false">
      <c r="B51" s="0" t="str">
        <f aca="false">BIN2HEX(BitRate!B50)</f>
        <v>D2</v>
      </c>
      <c r="C51" s="0" t="str">
        <f aca="false">BIN2HEX(BitRate!C50)</f>
        <v>8C</v>
      </c>
      <c r="D51" s="0" t="str">
        <f aca="false">BIN2HEX(BitRate!D50)</f>
        <v>40</v>
      </c>
      <c r="E51" s="0" t="n">
        <v>0</v>
      </c>
      <c r="F51" s="0" t="str">
        <f aca="false">BIN2HEX(BitRate!F50)</f>
        <v>6</v>
      </c>
    </row>
    <row r="53" customFormat="false" ht="12.85" hidden="false" customHeight="false" outlineLevel="0" collapsed="false">
      <c r="A53" s="0" t="s">
        <v>141</v>
      </c>
      <c r="B53" s="0" t="s">
        <v>142</v>
      </c>
    </row>
    <row r="54" customFormat="false" ht="12.85" hidden="false" customHeight="false" outlineLevel="0" collapsed="false">
      <c r="B54" s="0" t="s">
        <v>143</v>
      </c>
      <c r="C54" s="0" t="s">
        <v>144</v>
      </c>
      <c r="D54" s="0" t="s">
        <v>140</v>
      </c>
      <c r="E54" s="0" t="s">
        <v>145</v>
      </c>
      <c r="F54" s="0" t="s">
        <v>146</v>
      </c>
      <c r="G54" s="0" t="s">
        <v>147</v>
      </c>
    </row>
    <row r="55" customFormat="false" ht="12.85" hidden="false" customHeight="false" outlineLevel="0" collapsed="false">
      <c r="B55" s="6" t="str">
        <f aca="false">BIN2HEX(BitRate!B54)</f>
        <v>D2</v>
      </c>
      <c r="C55" s="6" t="str">
        <f aca="false">BIN2HEX(BitRate!C54)</f>
        <v>46</v>
      </c>
      <c r="D55" s="6" t="str">
        <f aca="false">BIN2HEX(BitRate!D54)</f>
        <v>40</v>
      </c>
      <c r="E55" s="6" t="str">
        <f aca="false">BIN2HEX(BitRate!E54)</f>
        <v>0</v>
      </c>
      <c r="F55" s="6" t="str">
        <f aca="false">BIN2HEX(BitRate!F54)</f>
        <v>C</v>
      </c>
      <c r="G55" s="6" t="str">
        <f aca="false">BIN2HEX(BitRate!G54)</f>
        <v>24</v>
      </c>
    </row>
    <row r="56" customFormat="false" ht="12.85" hidden="false" customHeight="false" outlineLevel="0" collapsed="false">
      <c r="B56" s="6" t="n">
        <f aca="false">HEX2DEC(BitRate!B55)</f>
        <v>210</v>
      </c>
      <c r="C56" s="6" t="n">
        <f aca="false">HEX2DEC(BitRate!C55)</f>
        <v>70</v>
      </c>
      <c r="D56" s="6" t="n">
        <f aca="false">HEX2DEC(BitRate!D55)</f>
        <v>64</v>
      </c>
      <c r="E56" s="6" t="n">
        <f aca="false">HEX2DEC(BitRate!E55)</f>
        <v>0</v>
      </c>
      <c r="F56" s="6" t="n">
        <f aca="false">HEX2DEC(BitRate!F55)</f>
        <v>12</v>
      </c>
      <c r="G56" s="6"/>
      <c r="I56" s="0" t="n">
        <f aca="false">BitRate!B56+BitRate!C56+BitRate!D56+BitRate!E56+6-255</f>
        <v>95</v>
      </c>
    </row>
    <row r="58" customFormat="false" ht="12.85" hidden="false" customHeight="false" outlineLevel="0" collapsed="false">
      <c r="A58" s="0" t="s">
        <v>148</v>
      </c>
      <c r="B58" s="0" t="s">
        <v>149</v>
      </c>
    </row>
    <row r="59" customFormat="false" ht="12.85" hidden="false" customHeight="false" outlineLevel="0" collapsed="false">
      <c r="B59" s="0" t="s">
        <v>143</v>
      </c>
      <c r="C59" s="0" t="s">
        <v>144</v>
      </c>
      <c r="D59" s="0" t="s">
        <v>140</v>
      </c>
      <c r="E59" s="0" t="s">
        <v>150</v>
      </c>
      <c r="F59" s="0" t="s">
        <v>151</v>
      </c>
      <c r="G59" s="0" t="s">
        <v>152</v>
      </c>
    </row>
    <row r="60" customFormat="false" ht="12.85" hidden="false" customHeight="false" outlineLevel="0" collapsed="false">
      <c r="B60" s="6" t="str">
        <f aca="false">BIN2HEX(BitRate!B59)</f>
        <v>D2</v>
      </c>
      <c r="C60" s="6" t="str">
        <f aca="false">BIN2HEX(BitRate!C59)</f>
        <v>46</v>
      </c>
      <c r="D60" s="6" t="str">
        <f aca="false">BIN2HEX(BitRate!D59)</f>
        <v>40</v>
      </c>
      <c r="E60" s="6" t="str">
        <f aca="false">BIN2HEX(BitRate!E59)</f>
        <v>2</v>
      </c>
      <c r="F60" s="6" t="str">
        <f aca="false">BIN2HEX(BitRate!F59)</f>
        <v>27</v>
      </c>
      <c r="G60" s="6" t="str">
        <f aca="false">BIN2HEX(BitRate!G59)</f>
        <v>16</v>
      </c>
    </row>
    <row r="61" customFormat="false" ht="12.85" hidden="false" customHeight="false" outlineLevel="0" collapsed="false">
      <c r="B61" s="6" t="n">
        <f aca="false">HEX2DEC(BitRate!B60)</f>
        <v>210</v>
      </c>
      <c r="C61" s="6" t="n">
        <f aca="false">HEX2DEC(BitRate!C60)</f>
        <v>70</v>
      </c>
      <c r="D61" s="6" t="n">
        <f aca="false">HEX2DEC(BitRate!D60)</f>
        <v>64</v>
      </c>
      <c r="E61" s="6" t="n">
        <f aca="false">HEX2DEC(BitRate!E60)</f>
        <v>2</v>
      </c>
      <c r="F61" s="6" t="n">
        <f aca="false">HEX2DEC(BitRate!F60)</f>
        <v>39</v>
      </c>
      <c r="G61" s="6" t="n">
        <f aca="false">HEX2DEC(BitRate!G60)</f>
        <v>22</v>
      </c>
    </row>
    <row r="63" customFormat="false" ht="12.85" hidden="false" customHeight="false" outlineLevel="0" collapsed="false">
      <c r="A63" s="0" t="s">
        <v>153</v>
      </c>
      <c r="B63" s="0" t="s">
        <v>154</v>
      </c>
    </row>
    <row r="64" customFormat="false" ht="12.85" hidden="false" customHeight="false" outlineLevel="0" collapsed="false">
      <c r="B64" s="0" t="s">
        <v>143</v>
      </c>
      <c r="C64" s="0" t="s">
        <v>144</v>
      </c>
      <c r="D64" s="0" t="s">
        <v>140</v>
      </c>
      <c r="E64" s="0" t="s">
        <v>155</v>
      </c>
      <c r="F64" s="0" t="s">
        <v>156</v>
      </c>
      <c r="G64" s="0" t="s">
        <v>157</v>
      </c>
    </row>
    <row r="65" customFormat="false" ht="12.85" hidden="false" customHeight="false" outlineLevel="0" collapsed="false">
      <c r="B65" s="6" t="str">
        <f aca="false">BIN2HEX(BitRate!B64)</f>
        <v>D2</v>
      </c>
      <c r="C65" s="6" t="str">
        <f aca="false">BIN2HEX(BitRate!C64)</f>
        <v>46</v>
      </c>
      <c r="D65" s="6" t="str">
        <f aca="false">BIN2HEX(BitRate!D64)</f>
        <v>40</v>
      </c>
      <c r="E65" s="6" t="str">
        <f aca="false">BIN2HEX(BitRate!E64)</f>
        <v>60</v>
      </c>
      <c r="F65" s="6" t="str">
        <f aca="false">BIN2HEX(BitRate!F64)</f>
        <v>6</v>
      </c>
      <c r="G65" s="6" t="str">
        <f aca="false">BIN2HEX(BitRate!G64)</f>
        <v>14</v>
      </c>
    </row>
    <row r="66" customFormat="false" ht="12.85" hidden="false" customHeight="false" outlineLevel="0" collapsed="false">
      <c r="B66" s="6" t="n">
        <f aca="false">HEX2DEC(BitRate!B65)</f>
        <v>210</v>
      </c>
      <c r="C66" s="6" t="n">
        <f aca="false">HEX2DEC(BitRate!C65)</f>
        <v>70</v>
      </c>
      <c r="D66" s="6" t="n">
        <f aca="false">HEX2DEC(BitRate!D65)</f>
        <v>64</v>
      </c>
      <c r="E66" s="6" t="n">
        <f aca="false">HEX2DEC(BitRate!E65)</f>
        <v>96</v>
      </c>
      <c r="F66" s="6" t="n">
        <f aca="false">HEX2DEC(BitRate!F65)</f>
        <v>6</v>
      </c>
      <c r="G66" s="6" t="n">
        <f aca="false">HEX2DEC(BitRate!G65)</f>
        <v>20</v>
      </c>
    </row>
    <row r="68" customFormat="false" ht="12.85" hidden="false" customHeight="false" outlineLevel="0" collapsed="false">
      <c r="B68" s="0" t="s">
        <v>158</v>
      </c>
      <c r="C68" s="0" t="s">
        <v>159</v>
      </c>
      <c r="D68" s="0" t="str">
        <f aca="false">HEX2BIN(BitRate!C68)</f>
        <v>1111110</v>
      </c>
    </row>
    <row r="69" customFormat="false" ht="12.85" hidden="false" customHeight="false" outlineLevel="0" collapsed="false">
      <c r="C69" s="0" t="s">
        <v>160</v>
      </c>
      <c r="D69" s="0" t="str">
        <f aca="false">HEX2BIN(BitRate!C69)</f>
        <v>10001100</v>
      </c>
    </row>
    <row r="70" customFormat="false" ht="12.85" hidden="false" customHeight="false" outlineLevel="0" collapsed="false">
      <c r="B70" s="0" t="s">
        <v>161</v>
      </c>
      <c r="C70" s="0" t="s">
        <v>162</v>
      </c>
    </row>
    <row r="73" customFormat="false" ht="12.85" hidden="false" customHeight="false" outlineLevel="0" collapsed="false">
      <c r="B73" s="0" t="n">
        <v>1</v>
      </c>
      <c r="C73" s="0" t="str">
        <f aca="false">RIGHT(LEFT(BitRate!$B$48,VALUE(BitRate!$B73)*2),2)</f>
        <v>E3</v>
      </c>
      <c r="D73" s="0" t="str">
        <f aca="false">HEX2BIN(BitRate!C73,8)</f>
        <v>11100011</v>
      </c>
      <c r="E73" s="0" t="str">
        <f aca="false">CONCATENATE(BitRate!E72,BitRate!D73)</f>
        <v>11100011</v>
      </c>
    </row>
    <row r="74" customFormat="false" ht="12.85" hidden="false" customHeight="false" outlineLevel="0" collapsed="false">
      <c r="B74" s="0" t="n">
        <v>2</v>
      </c>
      <c r="C74" s="0" t="str">
        <f aca="false">RIGHT(LEFT(BitRate!$B$48,VALUE(BitRate!$B74)*2),2)</f>
        <v>8C</v>
      </c>
      <c r="D74" s="0" t="str">
        <f aca="false">HEX2BIN(BitRate!C74,8)</f>
        <v>10001100</v>
      </c>
      <c r="E74" s="0" t="str">
        <f aca="false">CONCATENATE(BitRate!E73,BitRate!D74)</f>
        <v>1110001110001100</v>
      </c>
    </row>
    <row r="75" customFormat="false" ht="12.85" hidden="false" customHeight="false" outlineLevel="0" collapsed="false">
      <c r="B75" s="0" t="n">
        <v>3</v>
      </c>
      <c r="C75" s="0" t="str">
        <f aca="false">RIGHT(LEFT(BitRate!$B$48,VALUE(BitRate!$B75)*2),2)</f>
        <v>E3</v>
      </c>
      <c r="D75" s="0" t="str">
        <f aca="false">HEX2BIN(BitRate!C75,8)</f>
        <v>11100011</v>
      </c>
      <c r="E75" s="0" t="str">
        <f aca="false">CONCATENATE(BitRate!E74,BitRate!D75)</f>
        <v>111000111000110011100011</v>
      </c>
    </row>
    <row r="76" customFormat="false" ht="12.85" hidden="false" customHeight="false" outlineLevel="0" collapsed="false">
      <c r="B76" s="0" t="n">
        <v>4</v>
      </c>
      <c r="C76" s="0" t="str">
        <f aca="false">RIGHT(LEFT(BitRate!$B$48,VALUE(BitRate!$B76)*2),2)</f>
        <v>33</v>
      </c>
      <c r="D76" s="0" t="str">
        <f aca="false">HEX2BIN(BitRate!C76,8)</f>
        <v>00110011</v>
      </c>
      <c r="E76" s="0" t="str">
        <f aca="false">CONCATENATE(BitRate!E75,BitRate!D76)</f>
        <v>11100011100011001110001100110011</v>
      </c>
    </row>
    <row r="77" customFormat="false" ht="12.85" hidden="false" customHeight="false" outlineLevel="0" collapsed="false">
      <c r="B77" s="0" t="n">
        <v>5</v>
      </c>
      <c r="C77" s="0" t="str">
        <f aca="false">RIGHT(LEFT(BitRate!$B$48,VALUE(BitRate!$B77)*2),2)</f>
        <v>8C</v>
      </c>
      <c r="D77" s="0" t="str">
        <f aca="false">HEX2BIN(BitRate!C77,8)</f>
        <v>10001100</v>
      </c>
      <c r="E77" s="0" t="str">
        <f aca="false">CONCATENATE(BitRate!E76,BitRate!D77)</f>
        <v>1110001110001100111000110011001110001100</v>
      </c>
    </row>
    <row r="78" customFormat="false" ht="12.85" hidden="false" customHeight="false" outlineLevel="0" collapsed="false">
      <c r="B78" s="0" t="n">
        <v>6</v>
      </c>
      <c r="C78" s="0" t="str">
        <f aca="false">RIGHT(LEFT(BitRate!$B$48,VALUE(BitRate!$B78)*2),2)</f>
        <v>CE</v>
      </c>
      <c r="D78" s="0" t="str">
        <f aca="false">HEX2BIN(BitRate!C78,8)</f>
        <v>11001110</v>
      </c>
      <c r="E78" s="0" t="str">
        <f aca="false">CONCATENATE(BitRate!E77,BitRate!D78)</f>
        <v>111000111000110011100011001100111000110011001110</v>
      </c>
    </row>
    <row r="79" customFormat="false" ht="12.85" hidden="false" customHeight="false" outlineLevel="0" collapsed="false">
      <c r="B79" s="0" t="n">
        <v>7</v>
      </c>
      <c r="C79" s="0" t="str">
        <f aca="false">RIGHT(LEFT(BitRate!$B$48,VALUE(BitRate!$B79)*2),2)</f>
        <v>33</v>
      </c>
      <c r="D79" s="0" t="str">
        <f aca="false">HEX2BIN(BitRate!C79,8)</f>
        <v>00110011</v>
      </c>
      <c r="E79" s="0" t="str">
        <f aca="false">CONCATENATE(BitRate!E78,BitRate!D79)</f>
        <v>11100011100011001110001100110011100011001100111000110011</v>
      </c>
    </row>
    <row r="80" customFormat="false" ht="12.85" hidden="false" customHeight="false" outlineLevel="0" collapsed="false">
      <c r="B80" s="0" t="n">
        <v>8</v>
      </c>
      <c r="C80" s="0" t="str">
        <f aca="false">RIGHT(LEFT(BitRate!$B$48,VALUE(BitRate!$B80)*2),2)</f>
        <v>33</v>
      </c>
      <c r="D80" s="0" t="str">
        <f aca="false">HEX2BIN(BitRate!C80,8)</f>
        <v>00110011</v>
      </c>
      <c r="E80" s="0" t="str">
        <f aca="false">CONCATENATE(BitRate!E79,BitRate!D80)</f>
        <v>1110001110001100111000110011001110001100110011100011001100110011</v>
      </c>
    </row>
    <row r="81" customFormat="false" ht="12.85" hidden="false" customHeight="false" outlineLevel="0" collapsed="false">
      <c r="B81" s="0" t="n">
        <v>9</v>
      </c>
      <c r="C81" s="0" t="str">
        <f aca="false">RIGHT(LEFT(BitRate!$B$48,VALUE(BitRate!$B81)*2),2)</f>
        <v>8E</v>
      </c>
      <c r="D81" s="0" t="str">
        <f aca="false">HEX2BIN(BitRate!C81,8)</f>
        <v>10001110</v>
      </c>
      <c r="E81" s="0" t="str">
        <f aca="false">CONCATENATE(BitRate!E80,BitRate!D81)</f>
        <v>111000111000110011100011001100111000110011001110001100110011001110001110</v>
      </c>
    </row>
    <row r="82" customFormat="false" ht="12.85" hidden="false" customHeight="false" outlineLevel="0" collapsed="false">
      <c r="B82" s="0" t="n">
        <v>10</v>
      </c>
      <c r="C82" s="0" t="str">
        <f aca="false">RIGHT(LEFT(BitRate!$B$48,VALUE(BitRate!$B82)*2),2)</f>
        <v>33</v>
      </c>
      <c r="D82" s="0" t="str">
        <f aca="false">HEX2BIN(BitRate!C82,8)</f>
        <v>00110011</v>
      </c>
      <c r="E82" s="0" t="str">
        <f aca="false">CONCATENATE(BitRate!E81,BitRate!D82)</f>
        <v>11100011100011001110001100110011100011001100111000110011001100111000111000110011</v>
      </c>
    </row>
    <row r="83" customFormat="false" ht="12.85" hidden="false" customHeight="false" outlineLevel="0" collapsed="false">
      <c r="B83" s="0" t="n">
        <v>11</v>
      </c>
      <c r="C83" s="0" t="str">
        <f aca="false">RIGHT(LEFT(BitRate!$B$48,VALUE(BitRate!$B83)*2),2)</f>
        <v>38</v>
      </c>
      <c r="D83" s="0" t="str">
        <f aca="false">HEX2BIN(BitRate!C83,8)</f>
        <v>00111000</v>
      </c>
      <c r="E83" s="0" t="str">
        <f aca="false">CONCATENATE(BitRate!E82,BitRate!D83)</f>
        <v>1110001110001100111000110011001110001100110011100011001100110011100011100011001100111000</v>
      </c>
    </row>
    <row r="84" customFormat="false" ht="12.85" hidden="false" customHeight="false" outlineLevel="0" collapsed="false">
      <c r="B84" s="0" t="n">
        <v>12</v>
      </c>
      <c r="C84" s="0" t="str">
        <f aca="false">RIGHT(LEFT(BitRate!$B$48,VALUE(BitRate!$B84)*2),2)</f>
        <v>CC</v>
      </c>
      <c r="D84" s="0" t="str">
        <f aca="false">HEX2BIN(BitRate!C84,8)</f>
        <v>11001100</v>
      </c>
      <c r="E84" s="0" t="str">
        <f aca="false">CONCATENATE(BitRate!E83,BitRate!D84)</f>
        <v>111000111000110011100011001100111000110011001110001100110011001110001110001100110011100011001100</v>
      </c>
    </row>
    <row r="85" customFormat="false" ht="12.85" hidden="false" customHeight="false" outlineLevel="0" collapsed="false">
      <c r="B85" s="0" t="n">
        <v>13</v>
      </c>
      <c r="C85" s="0" t="str">
        <f aca="false">RIGHT(LEFT(BitRate!$B$48,VALUE(BitRate!$B85)*2),2)</f>
        <v>CC</v>
      </c>
      <c r="D85" s="0" t="str">
        <f aca="false">HEX2BIN(BitRate!C85,8)</f>
        <v>11001100</v>
      </c>
      <c r="E85" s="0" t="str">
        <f aca="false">CONCATENATE(BitRate!E84,BitRate!D85)</f>
        <v>11100011100011001110001100110011100011001100111000110011001100111000111000110011001110001100110011001100</v>
      </c>
    </row>
    <row r="86" customFormat="false" ht="12.85" hidden="false" customHeight="false" outlineLevel="0" collapsed="false">
      <c r="B86" s="0" t="n">
        <v>14</v>
      </c>
      <c r="C86" s="0" t="str">
        <f aca="false">RIGHT(LEFT(BitRate!$B$48,VALUE(BitRate!$B86)*2),2)</f>
        <v>CC</v>
      </c>
      <c r="D86" s="0" t="str">
        <f aca="false">HEX2BIN(BitRate!C86,8)</f>
        <v>11001100</v>
      </c>
      <c r="E86" s="0" t="str">
        <f aca="false">CONCATENATE(BitRate!E85,BitRate!D86)</f>
        <v>1110001110001100111000110011001110001100110011100011001100110011100011100011001100111000110011001100110011001100</v>
      </c>
    </row>
    <row r="87" customFormat="false" ht="12.85" hidden="false" customHeight="false" outlineLevel="0" collapsed="false">
      <c r="B87" s="0" t="n">
        <v>15</v>
      </c>
      <c r="C87" s="0" t="str">
        <f aca="false">RIGHT(LEFT(BitRate!$B$48,VALUE(BitRate!$B87)*2),2)</f>
        <v>CC</v>
      </c>
      <c r="D87" s="0" t="str">
        <f aca="false">HEX2BIN(BitRate!C87,8)</f>
        <v>11001100</v>
      </c>
      <c r="E87" s="0" t="str">
        <f aca="false">CONCATENATE(BitRate!E86,BitRate!D87)</f>
        <v>111000111000110011100011001100111000110011001110001100110011001110001110001100110011100011001100110011001100110011001100</v>
      </c>
    </row>
    <row r="88" customFormat="false" ht="12.85" hidden="false" customHeight="false" outlineLevel="0" collapsed="false">
      <c r="B88" s="0" t="n">
        <v>16</v>
      </c>
      <c r="C88" s="0" t="str">
        <f aca="false">RIGHT(LEFT(BitRate!$B$48,VALUE(BitRate!$B88)*2),2)</f>
        <v>CC</v>
      </c>
      <c r="D88" s="0" t="str">
        <f aca="false">HEX2BIN(BitRate!C88,8)</f>
        <v>11001100</v>
      </c>
      <c r="E88" s="0" t="str">
        <f aca="false">CONCATENATE(BitRate!E87,BitRate!D88)</f>
        <v>11100011100011001110001100110011100011001100111000110011001100111000111000110011001110001100110011001100110011001100110011001100</v>
      </c>
    </row>
    <row r="89" customFormat="false" ht="12.85" hidden="false" customHeight="false" outlineLevel="0" collapsed="false">
      <c r="B89" s="0" t="n">
        <v>17</v>
      </c>
      <c r="C89" s="0" t="str">
        <f aca="false">RIGHT(LEFT(BitRate!$B$48,VALUE(BitRate!$B89)*2),2)</f>
        <v>CC</v>
      </c>
      <c r="D89" s="0" t="str">
        <f aca="false">HEX2BIN(BitRate!C89,8)</f>
        <v>11001100</v>
      </c>
      <c r="E89" s="0" t="str">
        <f aca="false">CONCATENATE(BitRate!E88,BitRate!D89)</f>
        <v>1110001110001100111000110011001110001100110011100011001100110011100011100011001100111000110011001100110011001100110011001100110011001100</v>
      </c>
    </row>
    <row r="90" customFormat="false" ht="12.85" hidden="false" customHeight="false" outlineLevel="0" collapsed="false">
      <c r="B90" s="0" t="n">
        <v>18</v>
      </c>
      <c r="C90" s="0" t="str">
        <f aca="false">RIGHT(LEFT(BitRate!$B$48,VALUE(BitRate!$B90)*2),2)</f>
        <v>CC</v>
      </c>
      <c r="D90" s="0" t="str">
        <f aca="false">HEX2BIN(BitRate!C90,8)</f>
        <v>11001100</v>
      </c>
      <c r="E90" s="0" t="str">
        <f aca="false">CONCATENATE(BitRate!E89,BitRate!D90)</f>
        <v>111000111000110011100011001100111000110011001110001100110011001110001110001100110011100011001100110011001100110011001100110011001100110011001100</v>
      </c>
    </row>
    <row r="91" customFormat="false" ht="12.85" hidden="false" customHeight="false" outlineLevel="0" collapsed="false">
      <c r="B91" s="0" t="n">
        <v>19</v>
      </c>
      <c r="C91" s="0" t="str">
        <f aca="false">RIGHT(LEFT(BitRate!$B$48,VALUE(BitRate!$B91)*2),2)</f>
        <v>CC</v>
      </c>
      <c r="D91" s="0" t="str">
        <f aca="false">HEX2BIN(BitRate!C91,8)</f>
        <v>11001100</v>
      </c>
      <c r="E91" s="0" t="str">
        <f aca="false">CONCATENATE(BitRate!E90,BitRate!D91)</f>
        <v>11100011100011001110001100110011100011001100111000110011001100111000111000110011001110001100110011001100110011001100110011001100110011001100110011001100</v>
      </c>
    </row>
    <row r="92" customFormat="false" ht="12.85" hidden="false" customHeight="false" outlineLevel="0" collapsed="false">
      <c r="B92" s="0" t="n">
        <v>20</v>
      </c>
      <c r="C92" s="0" t="str">
        <f aca="false">RIGHT(LEFT(BitRate!$B$48,VALUE(BitRate!$B92)*2),2)</f>
        <v>CC</v>
      </c>
      <c r="D92" s="0" t="str">
        <f aca="false">HEX2BIN(BitRate!C92,8)</f>
        <v>11001100</v>
      </c>
      <c r="E92" s="0" t="str">
        <f aca="false">CONCATENATE(BitRate!E91,BitRate!D92)</f>
        <v>1110001110001100111000110011001110001100110011100011001100110011100011100011001100111000110011001100110011001100110011001100110011001100110011001100110011001100</v>
      </c>
    </row>
    <row r="93" customFormat="false" ht="12.85" hidden="false" customHeight="false" outlineLevel="0" collapsed="false">
      <c r="B93" s="0" t="n">
        <v>21</v>
      </c>
      <c r="C93" s="0" t="str">
        <f aca="false">RIGHT(LEFT(BitRate!$B$48,VALUE(BitRate!$B93)*2),2)</f>
        <v>CE</v>
      </c>
      <c r="D93" s="0" t="str">
        <f aca="false">HEX2BIN(BitRate!C93,8)</f>
        <v>11001110</v>
      </c>
      <c r="E93" s="0" t="str">
        <f aca="false">CONCATENATE(BitRate!E92,BitRate!D93)</f>
        <v>111000111000110011100011001100111000110011001110001100110011001110001110001100110011100011001100110011001100110011001100110011001100110011001100110011001100110011001110</v>
      </c>
    </row>
    <row r="94" customFormat="false" ht="12.85" hidden="false" customHeight="false" outlineLevel="0" collapsed="false">
      <c r="B94" s="0" t="n">
        <v>22</v>
      </c>
      <c r="C94" s="0" t="str">
        <f aca="false">RIGHT(LEFT(BitRate!$B$48,VALUE(BitRate!$B94)*2),2)</f>
        <v>38</v>
      </c>
      <c r="D94" s="0" t="str">
        <f aca="false">HEX2BIN(BitRate!C94,8)</f>
        <v>00111000</v>
      </c>
      <c r="E94" s="0" t="str">
        <f aca="false">CONCATENATE(BitRate!E93,BitRate!D94)</f>
        <v>11100011100011001110001100110011100011001100111000110011001100111000111000110011001110001100110011001100110011001100110011001100110011001100110011001100110011001100111000111000</v>
      </c>
    </row>
    <row r="95" customFormat="false" ht="12.85" hidden="false" customHeight="false" outlineLevel="0" collapsed="false">
      <c r="B95" s="0" t="n">
        <v>23</v>
      </c>
      <c r="C95" s="0" t="str">
        <f aca="false">RIGHT(LEFT(BitRate!$B$48,VALUE(BitRate!$B95)*2),2)</f>
        <v>CC</v>
      </c>
      <c r="D95" s="0" t="str">
        <f aca="false">HEX2BIN(BitRate!C95,8)</f>
        <v>11001100</v>
      </c>
      <c r="E95" s="0" t="str">
        <f aca="false">CONCATENATE(BitRate!E94,BitRate!D95)</f>
        <v>1110001110001100111000110011001110001100110011100011001100110011100011100011001100111000110011001100110011001100110011001100110011001100110011001100110011001100110011100011100011001100</v>
      </c>
    </row>
    <row r="96" customFormat="false" ht="12.85" hidden="false" customHeight="false" outlineLevel="0" collapsed="false">
      <c r="B96" s="0" t="n">
        <v>24</v>
      </c>
      <c r="C96" s="0" t="str">
        <f aca="false">RIGHT(LEFT(BitRate!$B$48,VALUE(BitRate!$B96)*2),2)</f>
        <v>E3</v>
      </c>
      <c r="D96" s="0" t="str">
        <f aca="false">HEX2BIN(BitRate!C96,8)</f>
        <v>11100011</v>
      </c>
      <c r="E96" s="0" t="str">
        <f aca="false">CONCATENATE(BitRate!E95,BitRate!D96)</f>
        <v>111000111000110011100011001100111000110011001110001100110011001110001110001100110011100011001100110011001100110011001100110011001100110011001100110011001100110011001110001110001100110011100011</v>
      </c>
    </row>
    <row r="97" customFormat="false" ht="12.85" hidden="false" customHeight="false" outlineLevel="0" collapsed="false">
      <c r="B97" s="0" t="n">
        <v>25</v>
      </c>
      <c r="C97" s="0" t="str">
        <f aca="false">RIGHT(LEFT(BitRate!$B$48,VALUE(BitRate!$B97)*2),2)</f>
        <v>33</v>
      </c>
      <c r="D97" s="0" t="str">
        <f aca="false">HEX2BIN(BitRate!C97,8)</f>
        <v>00110011</v>
      </c>
      <c r="E97" s="0" t="str">
        <f aca="false">CONCATENATE(BitRate!E96,BitRate!D97)</f>
        <v>11100011100011001110001100110011100011001100111000110011001100111000111000110011001110001100110011001100110011001100110011001100110011001100110011001100110011001100111000111000110011001110001100110011</v>
      </c>
    </row>
    <row r="98" customFormat="false" ht="12.85" hidden="false" customHeight="false" outlineLevel="0" collapsed="false">
      <c r="B98" s="0" t="n">
        <v>26</v>
      </c>
      <c r="C98" s="0" t="str">
        <f aca="false">RIGHT(LEFT(BitRate!$B$48,VALUE(BitRate!$B98)*2),2)</f>
        <v>8C</v>
      </c>
      <c r="D98" s="0" t="str">
        <f aca="false">HEX2BIN(BitRate!C98,8)</f>
        <v>10001100</v>
      </c>
      <c r="E98" s="0" t="str">
        <f aca="false">CONCATENATE(BitRate!E97,BitRate!D98)</f>
        <v>1110001110001100111000110011001110001100110011100011001100110011100011100011001100111000110011001100110011001100110011001100110011001100110011001100110011001100110011100011100011001100111000110011001110001100</v>
      </c>
    </row>
    <row r="99" customFormat="false" ht="12.85" hidden="false" customHeight="false" outlineLevel="0" collapsed="false">
      <c r="B99" s="0" t="n">
        <v>27</v>
      </c>
      <c r="C99" s="0" t="str">
        <f aca="false">RIGHT(LEFT(BitRate!$B$48,VALUE(BitRate!$B99)*2),2)</f>
        <v>6A</v>
      </c>
      <c r="D99" s="0" t="str">
        <f aca="false">HEX2BIN(BitRate!C99,8)</f>
        <v>01101010</v>
      </c>
      <c r="E99" s="0" t="str">
        <f aca="false">CONCATENATE(BitRate!E98,BitRate!D99)</f>
        <v>111000111000110011100011001100111000110011001110001100110011001110001110001100110011100011001100110011001100110011001100110011001100110011001100110011001100110011001110001110001100110011100011001100111000110001101010</v>
      </c>
    </row>
    <row r="100" customFormat="false" ht="12.85" hidden="false" customHeight="false" outlineLevel="0" collapsed="false">
      <c r="B100" s="0" t="n">
        <v>28</v>
      </c>
      <c r="C100" s="0" t="str">
        <f aca="false">RIGHT(LEFT(BitRate!$B$48,VALUE(BitRate!$B100)*2),2)</f>
        <v>FE</v>
      </c>
      <c r="D100" s="0" t="str">
        <f aca="false">HEX2BIN(BitRate!C100,8)</f>
        <v>11111110</v>
      </c>
      <c r="E100" s="0" t="str">
        <f aca="false">CONCATENATE(BitRate!E99,BitRate!D100)</f>
        <v>11100011100011001110001100110011100011001100111000110011001100111000111000110011001110001100110011001100110011001100110011001100110011001100110011001100110011001100111000111000110011001110001100110011100011000110101011111110</v>
      </c>
    </row>
    <row r="101" customFormat="false" ht="12.85" hidden="false" customHeight="false" outlineLevel="0" collapsed="false">
      <c r="B101" s="0" t="n">
        <v>29</v>
      </c>
      <c r="C101" s="0" t="str">
        <f aca="false">RIGHT(LEFT(BitRate!$B$48,VALUE(BitRate!$B101)*2),2)</f>
        <v>DD</v>
      </c>
      <c r="D101" s="0" t="str">
        <f aca="false">HEX2BIN(BitRate!C101,8)</f>
        <v>11011101</v>
      </c>
      <c r="E101" s="0" t="str">
        <f aca="false">CONCATENATE(BitRate!E100,BitRate!D101)</f>
        <v>1110001110001100111000110011001110001100110011100011001100110011100011100011001100111000110011001100110011001100110011001100110011001100110011001100110011001100110011100011100011001100111000110011001110001100011010101111111011011101</v>
      </c>
    </row>
    <row r="102" customFormat="false" ht="12.85" hidden="false" customHeight="false" outlineLevel="0" collapsed="false">
      <c r="B102" s="0" t="n">
        <v>30</v>
      </c>
      <c r="C102" s="0" t="str">
        <f aca="false">RIGHT(LEFT(BitRate!$B$48,VALUE(BitRate!$B102)*2),2)</f>
        <v>DF</v>
      </c>
      <c r="D102" s="0" t="str">
        <f aca="false">HEX2BIN(BitRate!C102,8)</f>
        <v>11011111</v>
      </c>
      <c r="E102" s="0" t="str">
        <f aca="false">CONCATENATE(BitRate!E101,BitRate!D102)</f>
        <v>111000111000110011100011001100111000110011001110001100110011001110001110001100110011100011001100110011001100110011001100110011001100110011001100110011001100110011001110001110001100110011100011001100111000110001101010111111101101110111011111</v>
      </c>
    </row>
    <row r="103" customFormat="false" ht="12.85" hidden="false" customHeight="false" outlineLevel="0" collapsed="false">
      <c r="B103" s="0" t="n">
        <v>31</v>
      </c>
      <c r="C103" s="0" t="str">
        <f aca="false">RIGHT(LEFT(BitRate!$B$48,VALUE(BitRate!$B103)*2),2)</f>
        <v>DF</v>
      </c>
      <c r="D103" s="0" t="str">
        <f aca="false">HEX2BIN(BitRate!C103,8)</f>
        <v>11011111</v>
      </c>
      <c r="E103" s="0" t="str">
        <f aca="false">CONCATENATE(BitRate!E102,BitRate!D103)</f>
        <v>11100011100011001110001100110011100011001100111000110011001100111000111000110011001110001100110011001100110011001100110011001100110011001100110011001100110011001100111000111000110011001110001100110011100011000110101011111110110111011101111111011111</v>
      </c>
    </row>
    <row r="104" customFormat="false" ht="12.85" hidden="false" customHeight="false" outlineLevel="0" collapsed="false">
      <c r="B104" s="0" t="n">
        <v>32</v>
      </c>
      <c r="C104" s="0" t="str">
        <f aca="false">RIGHT(LEFT(BitRate!$B$48,VALUE(BitRate!$B104)*2),2)</f>
        <v>DF</v>
      </c>
      <c r="D104" s="0" t="str">
        <f aca="false">HEX2BIN(BitRate!C104,8)</f>
        <v>11011111</v>
      </c>
      <c r="E104" s="0" t="str">
        <f aca="false">CONCATENATE(BitRate!E103,BitRate!D104)</f>
        <v>1110001110001100111000110011001110001100110011100011001100110011100011100011001100111000110011001100110011001100110011001100110011001100110011001100110011001100110011100011100011001100111000110011001110001100011010101111111011011101110111111101111111011111</v>
      </c>
    </row>
    <row r="105" customFormat="false" ht="12.85" hidden="false" customHeight="false" outlineLevel="0" collapsed="false">
      <c r="B105" s="0" t="n">
        <v>33</v>
      </c>
      <c r="C105" s="0" t="str">
        <f aca="false">RIGHT(LEFT(BitRate!$B$48,VALUE(BitRate!$B105)*2),2)</f>
        <v>DF</v>
      </c>
      <c r="D105" s="0" t="str">
        <f aca="false">HEX2BIN(BitRate!C105,8)</f>
        <v>11011111</v>
      </c>
      <c r="E105" s="0" t="str">
        <f aca="false">CONCATENATE(BitRate!E104,BitRate!D105)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</v>
      </c>
    </row>
    <row r="106" customFormat="false" ht="12.85" hidden="false" customHeight="false" outlineLevel="0" collapsed="false">
      <c r="B106" s="0" t="n">
        <v>34</v>
      </c>
      <c r="C106" s="0" t="str">
        <f aca="false">RIGHT(LEFT(BitRate!$B$48,VALUE(BitRate!$B106)*2),2)</f>
        <v>DF</v>
      </c>
      <c r="D106" s="0" t="str">
        <f aca="false">HEX2BIN(BitRate!C106,8)</f>
        <v>11011111</v>
      </c>
      <c r="E106" s="0" t="str">
        <f aca="false">CONCATENATE(BitRate!E105,BitRate!D106)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</v>
      </c>
    </row>
    <row r="107" customFormat="false" ht="12.85" hidden="false" customHeight="false" outlineLevel="0" collapsed="false">
      <c r="B107" s="0" t="n">
        <v>35</v>
      </c>
      <c r="C107" s="0" t="str">
        <f aca="false">RIGHT(LEFT(BitRate!$B$48,VALUE(BitRate!$B107)*2),2)</f>
        <v>DF</v>
      </c>
      <c r="D107" s="0" t="str">
        <f aca="false">HEX2BIN(BitRate!C107,8)</f>
        <v>11011111</v>
      </c>
      <c r="E107" s="0" t="str">
        <f aca="false">CONCATENATE(BitRate!E106,BitRate!D107)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</v>
      </c>
    </row>
    <row r="108" customFormat="false" ht="12.85" hidden="false" customHeight="false" outlineLevel="0" collapsed="false">
      <c r="B108" s="0" t="n">
        <v>36</v>
      </c>
      <c r="C108" s="0" t="str">
        <f aca="false">RIGHT(LEFT(BitRate!$B$48,VALUE(BitRate!$B108)*2),2)</f>
        <v>DF</v>
      </c>
      <c r="D108" s="0" t="str">
        <f aca="false">HEX2BIN(BitRate!C108,8)</f>
        <v>11011111</v>
      </c>
      <c r="E108" s="0" t="str">
        <f aca="false">CONCATENATE(BitRate!E107,BitRate!D108)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</v>
      </c>
    </row>
    <row r="109" customFormat="false" ht="12.85" hidden="false" customHeight="false" outlineLevel="0" collapsed="false">
      <c r="B109" s="0" t="n">
        <v>37</v>
      </c>
      <c r="C109" s="0" t="str">
        <f aca="false">RIGHT(LEFT(BitRate!$B$48,VALUE(BitRate!$B109)*2),2)</f>
        <v>DF</v>
      </c>
      <c r="D109" s="0" t="str">
        <f aca="false">HEX2BIN(BitRate!C109,8)</f>
        <v>11011111</v>
      </c>
      <c r="E109" s="0" t="str">
        <f aca="false">CONCATENATE(BitRate!E108,BitRate!D109)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</v>
      </c>
    </row>
    <row r="110" customFormat="false" ht="12.85" hidden="false" customHeight="false" outlineLevel="0" collapsed="false">
      <c r="B110" s="0" t="n">
        <v>38</v>
      </c>
      <c r="C110" s="0" t="str">
        <f aca="false">RIGHT(LEFT(BitRate!$B$48,VALUE(BitRate!$B110)*2),2)</f>
        <v>DF</v>
      </c>
      <c r="D110" s="0" t="str">
        <f aca="false">HEX2BIN(BitRate!C110,8)</f>
        <v>11011111</v>
      </c>
      <c r="E110" s="0" t="str">
        <f aca="false">CONCATENATE(BitRate!E109,BitRate!D110)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</v>
      </c>
    </row>
    <row r="111" customFormat="false" ht="12.85" hidden="false" customHeight="false" outlineLevel="0" collapsed="false">
      <c r="B111" s="0" t="n">
        <v>39</v>
      </c>
      <c r="C111" s="0" t="str">
        <f aca="false">RIGHT(LEFT(BitRate!$B$48,VALUE(BitRate!$B111)*2),2)</f>
        <v>DF</v>
      </c>
      <c r="D111" s="0" t="str">
        <f aca="false">HEX2BIN(BitRate!C111,8)</f>
        <v>11011111</v>
      </c>
      <c r="E111" s="0" t="str">
        <f aca="false">CONCATENATE(BitRate!E110,BitRate!D111)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</v>
      </c>
    </row>
    <row r="112" customFormat="false" ht="12.85" hidden="false" customHeight="false" outlineLevel="0" collapsed="false">
      <c r="B112" s="0" t="n">
        <v>40</v>
      </c>
      <c r="C112" s="0" t="str">
        <f aca="false">RIGHT(LEFT(BitRate!$B$48,VALUE(BitRate!$B112)*2),2)</f>
        <v>DF</v>
      </c>
      <c r="D112" s="0" t="str">
        <f aca="false">HEX2BIN(BitRate!C112,8)</f>
        <v>11011111</v>
      </c>
      <c r="E112" s="0" t="str">
        <f aca="false">CONCATENATE(BitRate!E111,BitRate!D112)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</v>
      </c>
    </row>
    <row r="113" customFormat="false" ht="12.85" hidden="false" customHeight="false" outlineLevel="0" collapsed="false">
      <c r="B113" s="0" t="n">
        <v>41</v>
      </c>
      <c r="C113" s="0" t="str">
        <f aca="false">RIGHT(LEFT(BitRate!$B$48,VALUE(BitRate!$B113)*2),2)</f>
        <v>DF</v>
      </c>
      <c r="D113" s="0" t="str">
        <f aca="false">HEX2BIN(BitRate!C113,8)</f>
        <v>11011111</v>
      </c>
      <c r="E113" s="0" t="str">
        <f aca="false">CONCATENATE(BitRate!E112,BitRate!D113)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</v>
      </c>
    </row>
    <row r="114" customFormat="false" ht="12.85" hidden="false" customHeight="false" outlineLevel="0" collapsed="false">
      <c r="B114" s="0" t="n">
        <v>42</v>
      </c>
      <c r="C114" s="0" t="str">
        <f aca="false">RIGHT(LEFT(BitRate!$B$48,VALUE(BitRate!$B114)*2),2)</f>
        <v>DF</v>
      </c>
      <c r="D114" s="0" t="str">
        <f aca="false">HEX2BIN(BitRate!C114,8)</f>
        <v>11011111</v>
      </c>
      <c r="E114" s="0" t="str">
        <f aca="false">CONCATENATE(BitRate!E113,BitRate!D114)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</v>
      </c>
    </row>
    <row r="115" customFormat="false" ht="12.85" hidden="false" customHeight="false" outlineLevel="0" collapsed="false">
      <c r="B115" s="0" t="n">
        <v>43</v>
      </c>
      <c r="C115" s="0" t="str">
        <f aca="false">RIGHT(LEFT(BitRate!$B$48,VALUE(BitRate!$B115)*2),2)</f>
        <v>DF</v>
      </c>
      <c r="D115" s="0" t="str">
        <f aca="false">HEX2BIN(BitRate!C115,8)</f>
        <v>11011111</v>
      </c>
      <c r="E115" s="0" t="str">
        <f aca="false">CONCATENATE(BitRate!E114,BitRate!D115)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</v>
      </c>
    </row>
    <row r="116" customFormat="false" ht="12.85" hidden="false" customHeight="false" outlineLevel="0" collapsed="false">
      <c r="B116" s="0" t="n">
        <v>44</v>
      </c>
      <c r="C116" s="0" t="str">
        <f aca="false">RIGHT(LEFT(BitRate!$B$48,VALUE(BitRate!$B116)*2),2)</f>
        <v>DF</v>
      </c>
      <c r="D116" s="0" t="str">
        <f aca="false">HEX2BIN(BitRate!C116,8)</f>
        <v>11011111</v>
      </c>
      <c r="E116" s="0" t="str">
        <f aca="false">CONCATENATE(BitRate!E115,BitRate!D116)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</v>
      </c>
    </row>
    <row r="117" customFormat="false" ht="12.85" hidden="false" customHeight="false" outlineLevel="0" collapsed="false">
      <c r="B117" s="0" t="n">
        <v>45</v>
      </c>
      <c r="C117" s="0" t="str">
        <f aca="false">RIGHT(LEFT(BitRate!$B$48,VALUE(BitRate!$B117)*2),2)</f>
        <v>DF</v>
      </c>
      <c r="D117" s="0" t="str">
        <f aca="false">HEX2BIN(BitRate!C117,8)</f>
        <v>11011111</v>
      </c>
      <c r="E117" s="0" t="str">
        <f aca="false">CONCATENATE(BitRate!E116,BitRate!D117)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</v>
      </c>
    </row>
    <row r="118" customFormat="false" ht="12.85" hidden="false" customHeight="false" outlineLevel="0" collapsed="false">
      <c r="B118" s="0" t="n">
        <v>46</v>
      </c>
      <c r="C118" s="0" t="str">
        <f aca="false">RIGHT(LEFT(BitRate!$B$48,VALUE(BitRate!$B118)*2),2)</f>
        <v>DF</v>
      </c>
      <c r="D118" s="0" t="str">
        <f aca="false">HEX2BIN(BitRate!C118,8)</f>
        <v>11011111</v>
      </c>
      <c r="E118" s="0" t="str">
        <f aca="false">CONCATENATE(BitRate!E117,BitRate!D118)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11011111</v>
      </c>
    </row>
    <row r="119" customFormat="false" ht="12.85" hidden="false" customHeight="false" outlineLevel="0" collapsed="false">
      <c r="B119" s="0" t="n">
        <v>47</v>
      </c>
      <c r="C119" s="0" t="str">
        <f aca="false">RIGHT(LEFT(BitRate!$B$48,VALUE(BitRate!$B119)*2),2)</f>
        <v>DF</v>
      </c>
      <c r="D119" s="0" t="str">
        <f aca="false">HEX2BIN(BitRate!C119,8)</f>
        <v>11011111</v>
      </c>
      <c r="E119" s="0" t="str">
        <f aca="false">CONCATENATE(BitRate!E118,BitRate!D119)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1101111111011111</v>
      </c>
    </row>
    <row r="120" customFormat="false" ht="12.85" hidden="false" customHeight="false" outlineLevel="0" collapsed="false">
      <c r="B120" s="0" t="n">
        <v>48</v>
      </c>
      <c r="C120" s="0" t="str">
        <f aca="false">RIGHT(LEFT(BitRate!$B$48,VALUE(BitRate!$B120)*2),2)</f>
        <v>DF</v>
      </c>
      <c r="D120" s="0" t="str">
        <f aca="false">HEX2BIN(BitRate!C120,8)</f>
        <v>11011111</v>
      </c>
      <c r="E120" s="0" t="str">
        <f aca="false">CONCATENATE(BitRate!E119,BitRate!D120)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110111111101111111011111</v>
      </c>
    </row>
    <row r="121" customFormat="false" ht="12.85" hidden="false" customHeight="false" outlineLevel="0" collapsed="false">
      <c r="B121" s="0" t="n">
        <v>49</v>
      </c>
      <c r="C121" s="0" t="str">
        <f aca="false">RIGHT(LEFT(BitRate!$B$48,VALUE(BitRate!$B121)*2),2)</f>
        <v>DF</v>
      </c>
      <c r="D121" s="0" t="str">
        <f aca="false">HEX2BIN(BitRate!C121,8)</f>
        <v>11011111</v>
      </c>
      <c r="E121" s="0" t="str">
        <f aca="false">CONCATENATE(BitRate!E120,BitRate!D121)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11011111110111111101111111011111</v>
      </c>
    </row>
    <row r="122" customFormat="false" ht="12.85" hidden="false" customHeight="false" outlineLevel="0" collapsed="false">
      <c r="B122" s="0" t="n">
        <v>50</v>
      </c>
      <c r="C122" s="0" t="str">
        <f aca="false">RIGHT(LEFT(BitRate!$B$48,VALUE(BitRate!$B122)*2),2)</f>
        <v>DF</v>
      </c>
      <c r="D122" s="0" t="str">
        <f aca="false">HEX2BIN(BitRate!C122,8)</f>
        <v>11011111</v>
      </c>
      <c r="E122" s="0" t="str">
        <f aca="false">CONCATENATE(BitRate!E121,BitRate!D122)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1101111111011111110111111101111111011111</v>
      </c>
    </row>
    <row r="123" customFormat="false" ht="12.85" hidden="false" customHeight="false" outlineLevel="0" collapsed="false">
      <c r="B123" s="0" t="n">
        <v>51</v>
      </c>
      <c r="C123" s="0" t="str">
        <f aca="false">RIGHT(LEFT(BitRate!$B$48,VALUE(BitRate!$B123)*2),2)</f>
        <v>DF</v>
      </c>
      <c r="D123" s="0" t="str">
        <f aca="false">HEX2BIN(BitRate!C123,8)</f>
        <v>11011111</v>
      </c>
      <c r="E123" s="0" t="str">
        <f aca="false">CONCATENATE(BitRate!E122,BitRate!D123)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110111111101111111011111110111111101111111011111</v>
      </c>
    </row>
    <row r="124" customFormat="false" ht="12.85" hidden="false" customHeight="false" outlineLevel="0" collapsed="false">
      <c r="B124" s="0" t="n">
        <v>52</v>
      </c>
      <c r="C124" s="0" t="str">
        <f aca="false">RIGHT(LEFT(BitRate!$B$48,VALUE(BitRate!$B124)*2),2)</f>
        <v>DF</v>
      </c>
      <c r="D124" s="0" t="str">
        <f aca="false">HEX2BIN(BitRate!C124,8)</f>
        <v>11011111</v>
      </c>
      <c r="E124" s="0" t="str">
        <f aca="false">CONCATENATE(BitRate!E123,BitRate!D124)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11011111110111111101111111011111110111111101111111011111</v>
      </c>
    </row>
    <row r="125" customFormat="false" ht="12.85" hidden="false" customHeight="false" outlineLevel="0" collapsed="false">
      <c r="B125" s="0" t="n">
        <v>53</v>
      </c>
      <c r="C125" s="0" t="str">
        <f aca="false">RIGHT(LEFT(BitRate!$B$48,VALUE(BitRate!$B125)*2),2)</f>
        <v>DF</v>
      </c>
      <c r="D125" s="0" t="str">
        <f aca="false">HEX2BIN(BitRate!C125,8)</f>
        <v>11011111</v>
      </c>
      <c r="E125" s="0" t="str">
        <f aca="false">CONCATENATE(BitRate!E124,BitRate!D125)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1101111111011111110111111101111111011111110111111101111111011111</v>
      </c>
    </row>
    <row r="126" customFormat="false" ht="12.85" hidden="false" customHeight="false" outlineLevel="0" collapsed="false">
      <c r="B126" s="0" t="n">
        <v>54</v>
      </c>
      <c r="C126" s="0" t="str">
        <f aca="false">RIGHT(LEFT(BitRate!$B$48,VALUE(BitRate!$B126)*2),2)</f>
        <v>DF</v>
      </c>
      <c r="D126" s="0" t="str">
        <f aca="false">HEX2BIN(BitRate!C126,8)</f>
        <v>11011111</v>
      </c>
      <c r="E126" s="0" t="str">
        <f aca="false">CONCATENATE(BitRate!E125,BitRate!D126)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110111111101111111011111110111111101111111011111110111111101111111011111</v>
      </c>
    </row>
    <row r="127" customFormat="false" ht="12.85" hidden="false" customHeight="false" outlineLevel="0" collapsed="false">
      <c r="B127" s="0" t="n">
        <v>55</v>
      </c>
      <c r="C127" s="0" t="str">
        <f aca="false">RIGHT(LEFT(BitRate!$B$48,VALUE(BitRate!$B127)*2),2)</f>
        <v>DF</v>
      </c>
      <c r="D127" s="0" t="str">
        <f aca="false">HEX2BIN(BitRate!C127,8)</f>
        <v>11011111</v>
      </c>
      <c r="E127" s="0" t="str">
        <f aca="false">CONCATENATE(BitRate!E126,BitRate!D127)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11011111110111111101111111011111110111111101111111011111110111111101111111011111</v>
      </c>
    </row>
    <row r="128" customFormat="false" ht="12.85" hidden="false" customHeight="false" outlineLevel="0" collapsed="false">
      <c r="B128" s="0" t="n">
        <v>56</v>
      </c>
      <c r="C128" s="0" t="str">
        <f aca="false">RIGHT(LEFT(BitRate!$B$48,VALUE(BitRate!$B128)*2),2)</f>
        <v>DF</v>
      </c>
      <c r="D128" s="0" t="str">
        <f aca="false">HEX2BIN(BitRate!C128,8)</f>
        <v>11011111</v>
      </c>
      <c r="E128" s="0" t="str">
        <f aca="false">CONCATENATE(BitRate!E127,BitRate!D128)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1101111111011111110111111101111111011111110111111101111111011111110111111101111111011111</v>
      </c>
    </row>
    <row r="129" customFormat="false" ht="12.85" hidden="false" customHeight="false" outlineLevel="0" collapsed="false">
      <c r="B129" s="0" t="n">
        <v>57</v>
      </c>
      <c r="C129" s="0" t="str">
        <f aca="false">RIGHT(LEFT(BitRate!$B$48,VALUE(BitRate!$B129)*2),2)</f>
        <v>DF</v>
      </c>
      <c r="D129" s="0" t="str">
        <f aca="false">HEX2BIN(BitRate!C129,8)</f>
        <v>11011111</v>
      </c>
      <c r="E129" s="0" t="str">
        <f aca="false">CONCATENATE(BitRate!E128,BitRate!D129)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110111111101111111011111110111111101111111011111110111111101111111011111110111111101111111011111</v>
      </c>
    </row>
    <row r="130" customFormat="false" ht="12.85" hidden="false" customHeight="false" outlineLevel="0" collapsed="false">
      <c r="B130" s="0" t="n">
        <v>58</v>
      </c>
      <c r="C130" s="0" t="str">
        <f aca="false">RIGHT(LEFT(BitRate!$B$48,VALUE(BitRate!$B130)*2),2)</f>
        <v>DF</v>
      </c>
      <c r="D130" s="0" t="str">
        <f aca="false">HEX2BIN(BitRate!C130,8)</f>
        <v>11011111</v>
      </c>
      <c r="E130" s="0" t="str">
        <f aca="false">CONCATENATE(BitRate!E129,BitRate!D130)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11011111110111111101111111011111110111111101111111011111110111111101111111011111110111111101111111011111</v>
      </c>
    </row>
    <row r="131" customFormat="false" ht="12.85" hidden="false" customHeight="false" outlineLevel="0" collapsed="false">
      <c r="B131" s="0" t="n">
        <v>59</v>
      </c>
      <c r="C131" s="0" t="str">
        <f aca="false">RIGHT(LEFT(BitRate!$B$48,VALUE(BitRate!$B131)*2),2)</f>
        <v>DF</v>
      </c>
      <c r="D131" s="0" t="str">
        <f aca="false">HEX2BIN(BitRate!C131,8)</f>
        <v>11011111</v>
      </c>
      <c r="E131" s="0" t="str">
        <f aca="false">CONCATENATE(BitRate!E130,BitRate!D131)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1101111111011111110111111101111111011111110111111101111111011111110111111101111111011111110111111101111111011111</v>
      </c>
    </row>
    <row r="132" customFormat="false" ht="12.85" hidden="false" customHeight="false" outlineLevel="0" collapsed="false">
      <c r="B132" s="0" t="n">
        <v>60</v>
      </c>
      <c r="C132" s="0" t="str">
        <f aca="false">RIGHT(LEFT(BitRate!$B$48,VALUE(BitRate!$B132)*2),2)</f>
        <v>DF</v>
      </c>
      <c r="D132" s="0" t="str">
        <f aca="false">HEX2BIN(BitRate!C132,8)</f>
        <v>11011111</v>
      </c>
      <c r="E132" s="0" t="str">
        <f aca="false">CONCATENATE(BitRate!E131,BitRate!D132)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110111111101111111011111110111111101111111011111110111111101111111011111110111111101111111011111110111111101111111011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G2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1" sqref="K11:K12 B13"/>
    </sheetView>
  </sheetViews>
  <sheetFormatPr defaultRowHeight="14.6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11.42"/>
    <col collapsed="false" customWidth="true" hidden="false" outlineLevel="0" max="1025" min="3" style="0" width="8.86"/>
  </cols>
  <sheetData>
    <row r="3" customFormat="false" ht="14.6" hidden="false" customHeight="false" outlineLevel="0" collapsed="false">
      <c r="D3" s="0" t="s">
        <v>85</v>
      </c>
      <c r="E3" s="0" t="n">
        <v>100</v>
      </c>
      <c r="F3" s="0" t="s">
        <v>66</v>
      </c>
    </row>
    <row r="4" customFormat="false" ht="14.6" hidden="false" customHeight="false" outlineLevel="0" collapsed="false">
      <c r="D4" s="0" t="s">
        <v>163</v>
      </c>
      <c r="E4" s="0" t="n">
        <v>16000000</v>
      </c>
      <c r="F4" s="0" t="s">
        <v>164</v>
      </c>
    </row>
    <row r="6" customFormat="false" ht="14.6" hidden="false" customHeight="false" outlineLevel="0" collapsed="false">
      <c r="D6" s="0" t="s">
        <v>165</v>
      </c>
      <c r="E6" s="0" t="n">
        <v>0.3</v>
      </c>
      <c r="F6" s="0" t="s">
        <v>63</v>
      </c>
    </row>
    <row r="7" customFormat="false" ht="14.6" hidden="false" customHeight="false" outlineLevel="0" collapsed="false">
      <c r="D7" s="0" t="s">
        <v>166</v>
      </c>
      <c r="E7" s="0" t="n">
        <f aca="false">1/Kondensator!E4/2*1000</f>
        <v>3.125E-005</v>
      </c>
      <c r="F7" s="0" t="s">
        <v>20</v>
      </c>
      <c r="G7" s="0" t="s">
        <v>167</v>
      </c>
    </row>
    <row r="9" customFormat="false" ht="14.6" hidden="false" customHeight="false" outlineLevel="0" collapsed="false">
      <c r="E9" s="0" t="n">
        <f aca="false">Kondensator!E3/1000*(Kondensator!E7/1000)/Kondensator!E6</f>
        <v>1.04166666666667E-008</v>
      </c>
      <c r="F9" s="0" t="s">
        <v>101</v>
      </c>
    </row>
    <row r="10" customFormat="false" ht="14.6" hidden="false" customHeight="false" outlineLevel="0" collapsed="false">
      <c r="E10" s="0" t="n">
        <f aca="false">Kondensator!E9*1000000</f>
        <v>0.0104166666666667</v>
      </c>
      <c r="F10" s="0" t="s">
        <v>168</v>
      </c>
    </row>
    <row r="11" customFormat="false" ht="14.6" hidden="false" customHeight="false" outlineLevel="0" collapsed="false">
      <c r="E11" s="0" t="n">
        <f aca="false">Kondensator!E10*1000</f>
        <v>10.4166666666667</v>
      </c>
      <c r="F11" s="0" t="s">
        <v>169</v>
      </c>
    </row>
    <row r="13" customFormat="false" ht="12.85" hidden="false" customHeight="false" outlineLevel="0" collapsed="false"/>
    <row r="16" customFormat="false" ht="14.6" hidden="false" customHeight="false" outlineLevel="0" collapsed="false">
      <c r="C16" s="23" t="s">
        <v>76</v>
      </c>
    </row>
    <row r="17" customFormat="false" ht="14.6" hidden="false" customHeight="false" outlineLevel="0" collapsed="false">
      <c r="C17" s="20"/>
      <c r="D17" s="0" t="s">
        <v>170</v>
      </c>
      <c r="E17" s="0" t="n">
        <v>3.3</v>
      </c>
      <c r="F17" s="0" t="s">
        <v>63</v>
      </c>
    </row>
    <row r="18" customFormat="false" ht="14.6" hidden="false" customHeight="false" outlineLevel="0" collapsed="false">
      <c r="C18" s="20"/>
      <c r="D18" s="0" t="s">
        <v>88</v>
      </c>
      <c r="E18" s="0" t="n">
        <v>33</v>
      </c>
      <c r="F18" s="0" t="s">
        <v>171</v>
      </c>
    </row>
    <row r="19" customFormat="false" ht="14.6" hidden="false" customHeight="false" outlineLevel="0" collapsed="false">
      <c r="D19" s="0" t="s">
        <v>85</v>
      </c>
      <c r="E19" s="0" t="n">
        <f aca="false">Kondensator!E17/Kondensator!E18*1000</f>
        <v>100</v>
      </c>
      <c r="F19" s="0" t="s">
        <v>66</v>
      </c>
    </row>
    <row r="20" customFormat="false" ht="14.6" hidden="false" customHeight="false" outlineLevel="0" collapsed="false">
      <c r="D20" s="0" t="s">
        <v>163</v>
      </c>
      <c r="E20" s="0" t="n">
        <v>38000</v>
      </c>
      <c r="F20" s="0" t="s">
        <v>164</v>
      </c>
    </row>
    <row r="22" customFormat="false" ht="14.6" hidden="false" customHeight="false" outlineLevel="0" collapsed="false">
      <c r="D22" s="0" t="s">
        <v>165</v>
      </c>
      <c r="E22" s="0" t="n">
        <v>0.3</v>
      </c>
      <c r="F22" s="0" t="s">
        <v>63</v>
      </c>
    </row>
    <row r="23" customFormat="false" ht="14.6" hidden="false" customHeight="false" outlineLevel="0" collapsed="false">
      <c r="D23" s="0" t="s">
        <v>166</v>
      </c>
      <c r="E23" s="0" t="n">
        <f aca="false">1/Kondensator!E20/2*1000</f>
        <v>0.0131578947368421</v>
      </c>
      <c r="F23" s="0" t="s">
        <v>20</v>
      </c>
      <c r="G23" s="0" t="s">
        <v>172</v>
      </c>
    </row>
    <row r="25" customFormat="false" ht="14.6" hidden="false" customHeight="false" outlineLevel="0" collapsed="false">
      <c r="E25" s="0" t="n">
        <f aca="false">Kondensator!E19/1000*(Kondensator!E23/1000)/Kondensator!E22</f>
        <v>4.3859649122807E-006</v>
      </c>
      <c r="F25" s="0" t="s">
        <v>101</v>
      </c>
    </row>
    <row r="26" customFormat="false" ht="14.6" hidden="false" customHeight="false" outlineLevel="0" collapsed="false">
      <c r="E26" s="0" t="n">
        <f aca="false">Kondensator!E25*1000000</f>
        <v>4.3859649122807</v>
      </c>
      <c r="F26" s="0" t="s">
        <v>168</v>
      </c>
    </row>
    <row r="27" customFormat="false" ht="14.6" hidden="false" customHeight="false" outlineLevel="0" collapsed="false">
      <c r="E27" s="0" t="n">
        <f aca="false">Kondensator!E26*1000</f>
        <v>4385.9649122807</v>
      </c>
      <c r="F27" s="0" t="s">
        <v>169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K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1" activeCellId="0" sqref="K11:K1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8.12"/>
    <col collapsed="false" customWidth="false" hidden="false" outlineLevel="0" max="1025" min="3" style="0" width="11.52"/>
  </cols>
  <sheetData>
    <row r="3" customFormat="false" ht="12.8" hidden="false" customHeight="false" outlineLevel="0" collapsed="false">
      <c r="B3" s="0" t="s">
        <v>173</v>
      </c>
      <c r="C3" s="0" t="n">
        <v>0.6</v>
      </c>
      <c r="D3" s="0" t="s">
        <v>174</v>
      </c>
      <c r="E3" s="0" t="s">
        <v>175</v>
      </c>
    </row>
    <row r="4" customFormat="false" ht="12.8" hidden="false" customHeight="false" outlineLevel="0" collapsed="false">
      <c r="B4" s="0" t="s">
        <v>176</v>
      </c>
      <c r="C4" s="0" t="n">
        <v>14.5</v>
      </c>
      <c r="D4" s="0" t="s">
        <v>174</v>
      </c>
      <c r="E4" s="0" t="s">
        <v>177</v>
      </c>
    </row>
    <row r="5" customFormat="false" ht="12.8" hidden="false" customHeight="false" outlineLevel="0" collapsed="false">
      <c r="B5" s="0" t="s">
        <v>178</v>
      </c>
      <c r="C5" s="16" t="n">
        <f aca="false">C4/2/C3</f>
        <v>12.0833333333333</v>
      </c>
      <c r="D5" s="0" t="s">
        <v>179</v>
      </c>
      <c r="E5" s="0" t="s">
        <v>180</v>
      </c>
    </row>
    <row r="7" customFormat="false" ht="12.8" hidden="false" customHeight="false" outlineLevel="0" collapsed="false">
      <c r="B7" s="0" t="s">
        <v>181</v>
      </c>
      <c r="C7" s="0" t="n">
        <v>17</v>
      </c>
      <c r="D7" s="0" t="s">
        <v>182</v>
      </c>
      <c r="E7" s="0" t="s">
        <v>183</v>
      </c>
    </row>
    <row r="11" customFormat="false" ht="12.8" hidden="false" customHeight="false" outlineLevel="0" collapsed="false">
      <c r="B11" s="0" t="s">
        <v>184</v>
      </c>
      <c r="C11" s="1" t="n">
        <v>21</v>
      </c>
      <c r="D11" s="0" t="s">
        <v>185</v>
      </c>
      <c r="E11" s="0" t="s">
        <v>186</v>
      </c>
      <c r="F11" s="24" t="n">
        <v>100</v>
      </c>
      <c r="G11" s="0" t="s">
        <v>174</v>
      </c>
      <c r="I11" s="0" t="s">
        <v>186</v>
      </c>
      <c r="J11" s="0" t="n">
        <v>200</v>
      </c>
      <c r="K11" s="0" t="s">
        <v>174</v>
      </c>
    </row>
    <row r="12" customFormat="false" ht="12.8" hidden="false" customHeight="false" outlineLevel="0" collapsed="false">
      <c r="I12" s="0" t="s">
        <v>187</v>
      </c>
      <c r="J12" s="0" t="n">
        <v>20.4</v>
      </c>
      <c r="K12" s="0" t="s">
        <v>185</v>
      </c>
    </row>
    <row r="13" customFormat="false" ht="12.8" hidden="false" customHeight="false" outlineLevel="0" collapsed="false">
      <c r="B13" s="0" t="s">
        <v>188</v>
      </c>
      <c r="C13" s="16" t="n">
        <f aca="false">2*PI()*C5</f>
        <v>75.9218224617533</v>
      </c>
      <c r="D13" s="0" t="s">
        <v>189</v>
      </c>
      <c r="F13" s="16" t="n">
        <f aca="false">C13</f>
        <v>75.9218224617533</v>
      </c>
      <c r="G13" s="0" t="s">
        <v>189</v>
      </c>
    </row>
    <row r="14" customFormat="false" ht="12.8" hidden="false" customHeight="false" outlineLevel="0" collapsed="false">
      <c r="B14" s="0" t="s">
        <v>190</v>
      </c>
      <c r="C14" s="16" t="n">
        <f aca="false">C7*2*PI()*C11/60</f>
        <v>37.3849525777185</v>
      </c>
      <c r="D14" s="0" t="s">
        <v>191</v>
      </c>
      <c r="F14" s="16" t="n">
        <f aca="false">F13-F15</f>
        <v>15.3435423316539</v>
      </c>
      <c r="G14" s="0" t="s">
        <v>191</v>
      </c>
    </row>
    <row r="15" customFormat="false" ht="12.8" hidden="false" customHeight="false" outlineLevel="0" collapsed="false">
      <c r="B15" s="0" t="s">
        <v>192</v>
      </c>
      <c r="C15" s="16" t="n">
        <f aca="false">C13-C14</f>
        <v>38.5368698840348</v>
      </c>
      <c r="D15" s="0" t="s">
        <v>189</v>
      </c>
      <c r="F15" s="16" t="n">
        <f aca="false">SQRT((F11*2/C17-(F13*F13))*-1)</f>
        <v>60.5782801300994</v>
      </c>
      <c r="G15" s="0" t="s">
        <v>189</v>
      </c>
    </row>
    <row r="17" customFormat="false" ht="12.8" hidden="false" customHeight="false" outlineLevel="0" collapsed="false">
      <c r="B17" s="0" t="s">
        <v>193</v>
      </c>
      <c r="C17" s="16" t="n">
        <f aca="false">C3/2/PI()</f>
        <v>0.0954929658551372</v>
      </c>
    </row>
    <row r="18" customFormat="false" ht="12.8" hidden="false" customHeight="false" outlineLevel="0" collapsed="false">
      <c r="B18" s="0" t="s">
        <v>186</v>
      </c>
      <c r="C18" s="25" t="n">
        <f aca="false">C17/2*(C13*C13 - C15*C15)</f>
        <v>204.308765837232</v>
      </c>
      <c r="D18" s="0" t="s">
        <v>174</v>
      </c>
      <c r="E18" s="0" t="s">
        <v>187</v>
      </c>
      <c r="F18" s="26" t="n">
        <f aca="false">F14*60/(C7*2*PI())</f>
        <v>8.61882567043223</v>
      </c>
      <c r="G18" s="0" t="s">
        <v>185</v>
      </c>
      <c r="I18" s="0" t="s">
        <v>194</v>
      </c>
      <c r="J18" s="0" t="n">
        <f aca="false">60*F14/J12/2/PI()</f>
        <v>7.18235472536019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52409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2015-01-13T08:25:56Z</dcterms:created>
  <dc:creator>Ulli Mittermaier</dc:creator>
  <dc:description/>
  <dc:language>de-DE</dc:language>
  <cp:lastModifiedBy/>
  <dcterms:modified xsi:type="dcterms:W3CDTF">2017-11-18T12:07:31Z</dcterms:modified>
  <cp:revision>79</cp:revision>
  <dc:subject/>
  <dc:title/>
</cp:coreProperties>
</file>