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varulrikdaaebjorndal/Desktop/Data analysis/"/>
    </mc:Choice>
  </mc:AlternateContent>
  <xr:revisionPtr revIDLastSave="0" documentId="13_ncr:1_{1B551027-82E4-D94C-88F6-B8AABC55A19A}" xr6:coauthVersionLast="47" xr6:coauthVersionMax="47" xr10:uidLastSave="{00000000-0000-0000-0000-000000000000}"/>
  <bookViews>
    <workbookView xWindow="0" yWindow="500" windowWidth="28800" windowHeight="17500" activeTab="3" xr2:uid="{E504C713-9C6A-6B4C-A437-89D1906E06EE}"/>
  </bookViews>
  <sheets>
    <sheet name="Trading Information Dashboard" sheetId="5" r:id="rId1"/>
    <sheet name="Dashboard calculations" sheetId="7" r:id="rId2"/>
    <sheet name="Pivot tables" sheetId="8" r:id="rId3"/>
    <sheet name="Dataset" sheetId="2" r:id="rId4"/>
    <sheet name="Background Information" sheetId="4" r:id="rId5"/>
  </sheets>
  <calcPr calcId="191029" iterateDelta="1E-4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E7" i="2"/>
  <c r="E4" i="2"/>
  <c r="L18" i="2"/>
  <c r="M38" i="2" l="1"/>
  <c r="M100" i="2"/>
  <c r="N38" i="2"/>
  <c r="N100" i="2"/>
  <c r="L28" i="2"/>
  <c r="N28" i="2"/>
  <c r="I77" i="2"/>
  <c r="N77" i="2" s="1"/>
  <c r="I12" i="2"/>
  <c r="N12" i="2" s="1"/>
  <c r="I44" i="2"/>
  <c r="N44" i="2" s="1"/>
  <c r="I102" i="2"/>
  <c r="N102" i="2" s="1"/>
  <c r="K88" i="2"/>
  <c r="I88" i="2"/>
  <c r="I99" i="2"/>
  <c r="N99" i="2" s="1"/>
  <c r="I59" i="2"/>
  <c r="N59" i="2" s="1"/>
  <c r="I17" i="2"/>
  <c r="N17" i="2" s="1"/>
  <c r="I109" i="2"/>
  <c r="N109" i="2" s="1"/>
  <c r="I108" i="2"/>
  <c r="N108" i="2" s="1"/>
  <c r="I107" i="2"/>
  <c r="N107" i="2" s="1"/>
  <c r="N112" i="2"/>
  <c r="M112" i="2" s="1"/>
  <c r="N24" i="2"/>
  <c r="N64" i="2"/>
  <c r="N73" i="2"/>
  <c r="N75" i="2"/>
  <c r="N84" i="2"/>
  <c r="N90" i="2"/>
  <c r="N93" i="2"/>
  <c r="N110" i="2"/>
  <c r="N101" i="2"/>
  <c r="N97" i="2"/>
  <c r="N81" i="2"/>
  <c r="N98" i="2"/>
  <c r="N67" i="2"/>
  <c r="N94" i="2"/>
  <c r="N85" i="2"/>
  <c r="N21" i="2"/>
  <c r="N74" i="2"/>
  <c r="N33" i="2"/>
  <c r="N15" i="2"/>
  <c r="N47" i="2"/>
  <c r="N49" i="2"/>
  <c r="N46" i="2"/>
  <c r="N18" i="2"/>
  <c r="N53" i="2"/>
  <c r="N76" i="2"/>
  <c r="N54" i="2"/>
  <c r="N63" i="2"/>
  <c r="N92" i="2"/>
  <c r="N105" i="2"/>
  <c r="N22" i="2"/>
  <c r="N82" i="2"/>
  <c r="N80" i="2"/>
  <c r="N30" i="2"/>
  <c r="N27" i="2"/>
  <c r="N51" i="2"/>
  <c r="N25" i="2"/>
  <c r="N13" i="2"/>
  <c r="N50" i="2"/>
  <c r="N52" i="2"/>
  <c r="N57" i="2"/>
  <c r="N86" i="2"/>
  <c r="N89" i="2"/>
  <c r="N106" i="2"/>
  <c r="N111" i="2"/>
  <c r="N43" i="2"/>
  <c r="N16" i="2"/>
  <c r="N48" i="2"/>
  <c r="N55" i="2"/>
  <c r="N42" i="2"/>
  <c r="N70" i="2"/>
  <c r="N72" i="2"/>
  <c r="N26" i="2"/>
  <c r="N20" i="2"/>
  <c r="N23" i="2"/>
  <c r="N37" i="2"/>
  <c r="N39" i="2"/>
  <c r="N40" i="2"/>
  <c r="N60" i="2"/>
  <c r="N61" i="2"/>
  <c r="N66" i="2"/>
  <c r="N68" i="2"/>
  <c r="N71" i="2"/>
  <c r="N58" i="2"/>
  <c r="N78" i="2"/>
  <c r="N32" i="2"/>
  <c r="N34" i="2"/>
  <c r="N14" i="2"/>
  <c r="N31" i="2"/>
  <c r="N35" i="2"/>
  <c r="N41" i="2"/>
  <c r="N56" i="2"/>
  <c r="N79" i="2"/>
  <c r="N96" i="2"/>
  <c r="N83" i="2"/>
  <c r="N103" i="2"/>
  <c r="N45" i="2"/>
  <c r="N65" i="2"/>
  <c r="N91" i="2"/>
  <c r="N36" i="2"/>
  <c r="N62" i="2"/>
  <c r="N69" i="2"/>
  <c r="N87" i="2"/>
  <c r="N29" i="2"/>
  <c r="I104" i="2"/>
  <c r="N104" i="2" s="1"/>
  <c r="I19" i="2"/>
  <c r="N19" i="2" s="1"/>
  <c r="I10" i="2"/>
  <c r="I11" i="2"/>
  <c r="I95" i="2"/>
  <c r="N95" i="2" s="1"/>
  <c r="E5" i="2"/>
  <c r="M28" i="2" l="1"/>
  <c r="N88" i="2"/>
  <c r="N10" i="2"/>
  <c r="N11" i="2"/>
  <c r="C4" i="7" l="1"/>
  <c r="C8" i="7"/>
  <c r="C13" i="7"/>
  <c r="C11" i="7"/>
  <c r="C5" i="7"/>
  <c r="C10" i="7"/>
  <c r="C9" i="7"/>
  <c r="C6" i="7"/>
  <c r="C7" i="7"/>
  <c r="C12" i="7"/>
  <c r="H11" i="7"/>
  <c r="H10" i="7"/>
  <c r="H12" i="7"/>
  <c r="H13" i="7"/>
  <c r="H4" i="7"/>
  <c r="H5" i="7"/>
  <c r="H8" i="7"/>
  <c r="H7" i="7"/>
  <c r="H6" i="7"/>
  <c r="M4" i="7"/>
  <c r="L4" i="7"/>
  <c r="H14" i="7" l="1"/>
  <c r="C14" i="7"/>
  <c r="M5" i="7"/>
  <c r="L5" i="7"/>
  <c r="L10" i="2"/>
  <c r="L110" i="2"/>
  <c r="M110" i="2" s="1"/>
  <c r="L111" i="2"/>
  <c r="M111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L99" i="2"/>
  <c r="M99" i="2" s="1"/>
  <c r="L97" i="2"/>
  <c r="M97" i="2" s="1"/>
  <c r="L98" i="2"/>
  <c r="M98" i="2" s="1"/>
  <c r="L96" i="2"/>
  <c r="M96" i="2" s="1"/>
  <c r="L95" i="2"/>
  <c r="M95" i="2" s="1"/>
  <c r="L94" i="2"/>
  <c r="M94" i="2" s="1"/>
  <c r="L93" i="2"/>
  <c r="M93" i="2" s="1"/>
  <c r="L90" i="2"/>
  <c r="M90" i="2" s="1"/>
  <c r="L92" i="2"/>
  <c r="M92" i="2" s="1"/>
  <c r="L89" i="2"/>
  <c r="M89" i="2" s="1"/>
  <c r="L91" i="2"/>
  <c r="M91" i="2" s="1"/>
  <c r="L88" i="2"/>
  <c r="M88" i="2" s="1"/>
  <c r="L87" i="2"/>
  <c r="M87" i="2" s="1"/>
  <c r="L86" i="2"/>
  <c r="M86" i="2" s="1"/>
  <c r="L85" i="2"/>
  <c r="M85" i="2" s="1"/>
  <c r="L84" i="2"/>
  <c r="M84" i="2" s="1"/>
  <c r="L82" i="2"/>
  <c r="M82" i="2" s="1"/>
  <c r="L83" i="2"/>
  <c r="M83" i="2" s="1"/>
  <c r="L81" i="2"/>
  <c r="M81" i="2" s="1"/>
  <c r="L80" i="2"/>
  <c r="M80" i="2" s="1"/>
  <c r="L77" i="2"/>
  <c r="M77" i="2" s="1"/>
  <c r="L78" i="2"/>
  <c r="M78" i="2" s="1"/>
  <c r="L79" i="2"/>
  <c r="M79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59" i="2"/>
  <c r="M59" i="2" s="1"/>
  <c r="L60" i="2"/>
  <c r="M60" i="2" s="1"/>
  <c r="L57" i="2"/>
  <c r="M57" i="2" s="1"/>
  <c r="L58" i="2"/>
  <c r="M58" i="2" s="1"/>
  <c r="L56" i="2"/>
  <c r="M56" i="2" s="1"/>
  <c r="L54" i="2"/>
  <c r="M54" i="2" s="1"/>
  <c r="L55" i="2"/>
  <c r="M55" i="2" s="1"/>
  <c r="L53" i="2"/>
  <c r="M53" i="2" s="1"/>
  <c r="L52" i="2"/>
  <c r="M52" i="2" s="1"/>
  <c r="L49" i="2"/>
  <c r="M49" i="2" s="1"/>
  <c r="L51" i="2"/>
  <c r="M51" i="2" s="1"/>
  <c r="L50" i="2"/>
  <c r="M50" i="2" s="1"/>
  <c r="L48" i="2"/>
  <c r="M48" i="2" s="1"/>
  <c r="L44" i="2"/>
  <c r="M44" i="2" s="1"/>
  <c r="L47" i="2"/>
  <c r="M47" i="2" s="1"/>
  <c r="L46" i="2"/>
  <c r="M46" i="2" s="1"/>
  <c r="L43" i="2"/>
  <c r="M43" i="2" s="1"/>
  <c r="L42" i="2"/>
  <c r="M42" i="2" s="1"/>
  <c r="L41" i="2"/>
  <c r="M41" i="2" s="1"/>
  <c r="L45" i="2"/>
  <c r="M45" i="2" s="1"/>
  <c r="L40" i="2"/>
  <c r="M40" i="2" s="1"/>
  <c r="L39" i="2"/>
  <c r="M39" i="2" s="1"/>
  <c r="L38" i="2"/>
  <c r="L37" i="2"/>
  <c r="M37" i="2" s="1"/>
  <c r="L35" i="2"/>
  <c r="M35" i="2" s="1"/>
  <c r="L36" i="2"/>
  <c r="M36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7" i="2"/>
  <c r="M27" i="2" s="1"/>
  <c r="L26" i="2"/>
  <c r="M26" i="2" s="1"/>
  <c r="L24" i="2"/>
  <c r="M24" i="2" s="1"/>
  <c r="L25" i="2"/>
  <c r="M25" i="2" s="1"/>
  <c r="L23" i="2"/>
  <c r="M23" i="2" s="1"/>
  <c r="L22" i="2"/>
  <c r="M22" i="2" s="1"/>
  <c r="L21" i="2"/>
  <c r="M21" i="2" s="1"/>
  <c r="L19" i="2"/>
  <c r="M19" i="2" s="1"/>
  <c r="L20" i="2"/>
  <c r="M20" i="2" s="1"/>
  <c r="L17" i="2"/>
  <c r="M17" i="2" s="1"/>
  <c r="M18" i="2"/>
  <c r="L15" i="2"/>
  <c r="M15" i="2" s="1"/>
  <c r="L16" i="2"/>
  <c r="M16" i="2" s="1"/>
  <c r="L12" i="2"/>
  <c r="M12" i="2" s="1"/>
  <c r="L13" i="2"/>
  <c r="M13" i="2" s="1"/>
  <c r="L14" i="2"/>
  <c r="M14" i="2" s="1"/>
  <c r="L11" i="2"/>
  <c r="M11" i="2" l="1"/>
  <c r="M10" i="2"/>
  <c r="E113" i="2"/>
  <c r="I13" i="7" l="1"/>
  <c r="I5" i="7"/>
  <c r="E9" i="7"/>
  <c r="J11" i="7"/>
  <c r="E12" i="7"/>
  <c r="E11" i="7"/>
  <c r="E13" i="7"/>
  <c r="I12" i="7"/>
  <c r="I4" i="7"/>
  <c r="E8" i="7"/>
  <c r="J10" i="7"/>
  <c r="I9" i="7"/>
  <c r="J7" i="7"/>
  <c r="I7" i="7"/>
  <c r="J5" i="7"/>
  <c r="I11" i="7"/>
  <c r="E7" i="7"/>
  <c r="J9" i="7"/>
  <c r="J8" i="7"/>
  <c r="E5" i="7"/>
  <c r="E4" i="7"/>
  <c r="J13" i="7"/>
  <c r="I10" i="7"/>
  <c r="I6" i="7"/>
  <c r="E10" i="7"/>
  <c r="J12" i="7"/>
  <c r="E6" i="7"/>
  <c r="I8" i="7"/>
  <c r="J6" i="7"/>
  <c r="J4" i="7"/>
  <c r="O10" i="2"/>
  <c r="P10" i="2" s="1"/>
  <c r="O29" i="2"/>
  <c r="P29" i="2" s="1"/>
  <c r="O48" i="2"/>
  <c r="P48" i="2" s="1"/>
  <c r="O11" i="2"/>
  <c r="P11" i="2" s="1"/>
  <c r="O63" i="2"/>
  <c r="P63" i="2" s="1"/>
  <c r="O102" i="2"/>
  <c r="P102" i="2" s="1"/>
  <c r="O44" i="2"/>
  <c r="P44" i="2" s="1"/>
  <c r="O106" i="2"/>
  <c r="P106" i="2" s="1"/>
  <c r="O42" i="2"/>
  <c r="P42" i="2" s="1"/>
  <c r="O77" i="2"/>
  <c r="P77" i="2" s="1"/>
  <c r="O51" i="2"/>
  <c r="P51" i="2" s="1"/>
  <c r="O65" i="2"/>
  <c r="P65" i="2" s="1"/>
  <c r="O78" i="2"/>
  <c r="P78" i="2" s="1"/>
  <c r="O45" i="2"/>
  <c r="P45" i="2" s="1"/>
  <c r="O83" i="2"/>
  <c r="P83" i="2" s="1"/>
  <c r="O72" i="2"/>
  <c r="P72" i="2" s="1"/>
  <c r="O55" i="2"/>
  <c r="P55" i="2" s="1"/>
  <c r="O30" i="2"/>
  <c r="P30" i="2" s="1"/>
  <c r="O20" i="2"/>
  <c r="P20" i="2" s="1"/>
  <c r="O98" i="2"/>
  <c r="P98" i="2" s="1"/>
  <c r="O34" i="2"/>
  <c r="P34" i="2" s="1"/>
  <c r="O53" i="2"/>
  <c r="P53" i="2" s="1"/>
  <c r="O35" i="2"/>
  <c r="P35" i="2" s="1"/>
  <c r="O57" i="2"/>
  <c r="P57" i="2" s="1"/>
  <c r="O70" i="2"/>
  <c r="P70" i="2" s="1"/>
  <c r="O21" i="2"/>
  <c r="P21" i="2" s="1"/>
  <c r="O59" i="2"/>
  <c r="P59" i="2" s="1"/>
  <c r="O64" i="2"/>
  <c r="P64" i="2" s="1"/>
  <c r="O47" i="2"/>
  <c r="P47" i="2" s="1"/>
  <c r="O13" i="2"/>
  <c r="P13" i="2" s="1"/>
  <c r="O37" i="2"/>
  <c r="P37" i="2" s="1"/>
  <c r="O62" i="2"/>
  <c r="P62" i="2" s="1"/>
  <c r="O56" i="2"/>
  <c r="P56" i="2" s="1"/>
  <c r="O39" i="2"/>
  <c r="P39" i="2" s="1"/>
  <c r="O82" i="2"/>
  <c r="P82" i="2" s="1"/>
  <c r="O105" i="2"/>
  <c r="P105" i="2" s="1"/>
  <c r="O54" i="2"/>
  <c r="P54" i="2" s="1"/>
  <c r="O92" i="2"/>
  <c r="P92" i="2" s="1"/>
  <c r="O74" i="2"/>
  <c r="P74" i="2" s="1"/>
  <c r="O110" i="2"/>
  <c r="P110" i="2" s="1"/>
  <c r="O97" i="2"/>
  <c r="P97" i="2" s="1"/>
  <c r="O33" i="2"/>
  <c r="P33" i="2" s="1"/>
  <c r="O38" i="2"/>
  <c r="P38" i="2" s="1"/>
  <c r="O76" i="2"/>
  <c r="P76" i="2" s="1"/>
  <c r="O104" i="2"/>
  <c r="P104" i="2" s="1"/>
  <c r="O40" i="2"/>
  <c r="P40" i="2" s="1"/>
  <c r="O87" i="2"/>
  <c r="P87" i="2" s="1"/>
  <c r="O23" i="2"/>
  <c r="P23" i="2" s="1"/>
  <c r="O108" i="2"/>
  <c r="P108" i="2" s="1"/>
  <c r="O43" i="2"/>
  <c r="P43" i="2" s="1"/>
  <c r="O66" i="2"/>
  <c r="P66" i="2" s="1"/>
  <c r="O86" i="2"/>
  <c r="P86" i="2" s="1"/>
  <c r="O28" i="2"/>
  <c r="P28" i="2" s="1"/>
  <c r="O89" i="2"/>
  <c r="P89" i="2" s="1"/>
  <c r="O25" i="2"/>
  <c r="P25" i="2" s="1"/>
  <c r="O101" i="2"/>
  <c r="P101" i="2" s="1"/>
  <c r="O52" i="2"/>
  <c r="P52" i="2" s="1"/>
  <c r="O96" i="2"/>
  <c r="P96" i="2" s="1"/>
  <c r="O32" i="2"/>
  <c r="P32" i="2" s="1"/>
  <c r="O111" i="2"/>
  <c r="P111" i="2" s="1"/>
  <c r="O90" i="2"/>
  <c r="P90" i="2" s="1"/>
  <c r="O15" i="2"/>
  <c r="P15" i="2" s="1"/>
  <c r="O12" i="2"/>
  <c r="P12" i="2" s="1"/>
  <c r="O103" i="2"/>
  <c r="P103" i="2" s="1"/>
  <c r="O91" i="2"/>
  <c r="P91" i="2" s="1"/>
  <c r="O18" i="2"/>
  <c r="P18" i="2" s="1"/>
  <c r="O41" i="2"/>
  <c r="P41" i="2" s="1"/>
  <c r="O112" i="2"/>
  <c r="P112" i="2" s="1"/>
  <c r="O95" i="2"/>
  <c r="P95" i="2" s="1"/>
  <c r="O31" i="2"/>
  <c r="P31" i="2" s="1"/>
  <c r="O67" i="2"/>
  <c r="P67" i="2" s="1"/>
  <c r="O68" i="2"/>
  <c r="P68" i="2" s="1"/>
  <c r="O79" i="2"/>
  <c r="P79" i="2" s="1"/>
  <c r="O22" i="2"/>
  <c r="P22" i="2" s="1"/>
  <c r="O84" i="2"/>
  <c r="P84" i="2" s="1"/>
  <c r="O19" i="2"/>
  <c r="P19" i="2" s="1"/>
  <c r="O58" i="2"/>
  <c r="P58" i="2" s="1"/>
  <c r="O46" i="2"/>
  <c r="P46" i="2" s="1"/>
  <c r="O99" i="2"/>
  <c r="P99" i="2" s="1"/>
  <c r="O81" i="2"/>
  <c r="P81" i="2" s="1"/>
  <c r="O17" i="2"/>
  <c r="P17" i="2" s="1"/>
  <c r="O85" i="2"/>
  <c r="P85" i="2" s="1"/>
  <c r="O36" i="2"/>
  <c r="P36" i="2" s="1"/>
  <c r="O88" i="2"/>
  <c r="P88" i="2" s="1"/>
  <c r="O24" i="2"/>
  <c r="P24" i="2" s="1"/>
  <c r="O93" i="2"/>
  <c r="P93" i="2" s="1"/>
  <c r="O26" i="2"/>
  <c r="P26" i="2" s="1"/>
  <c r="O49" i="2"/>
  <c r="P49" i="2" s="1"/>
  <c r="O27" i="2"/>
  <c r="P27" i="2" s="1"/>
  <c r="O61" i="2"/>
  <c r="P61" i="2" s="1"/>
  <c r="O100" i="2"/>
  <c r="P100" i="2" s="1"/>
  <c r="O71" i="2"/>
  <c r="P71" i="2" s="1"/>
  <c r="O109" i="2"/>
  <c r="P109" i="2" s="1"/>
  <c r="O60" i="2"/>
  <c r="P60" i="2" s="1"/>
  <c r="O14" i="2"/>
  <c r="P14" i="2" s="1"/>
  <c r="O50" i="2"/>
  <c r="P50" i="2" s="1"/>
  <c r="O75" i="2"/>
  <c r="P75" i="2" s="1"/>
  <c r="O73" i="2"/>
  <c r="P73" i="2" s="1"/>
  <c r="O94" i="2"/>
  <c r="P94" i="2" s="1"/>
  <c r="O69" i="2"/>
  <c r="P69" i="2" s="1"/>
  <c r="O107" i="2"/>
  <c r="P107" i="2" s="1"/>
  <c r="O80" i="2"/>
  <c r="P80" i="2" s="1"/>
  <c r="O16" i="2"/>
  <c r="P16" i="2" s="1"/>
  <c r="G5" i="2"/>
  <c r="D9" i="7"/>
  <c r="D7" i="7"/>
  <c r="D8" i="7"/>
  <c r="D13" i="7"/>
  <c r="D10" i="7"/>
  <c r="D6" i="7"/>
  <c r="D12" i="7"/>
  <c r="D5" i="7"/>
  <c r="D4" i="7"/>
  <c r="C3" i="2"/>
  <c r="L9" i="7" s="1"/>
  <c r="N113" i="2"/>
  <c r="M113" i="2"/>
  <c r="G4" i="2"/>
  <c r="C4" i="2"/>
  <c r="M9" i="7" s="1"/>
  <c r="G3" i="2"/>
  <c r="J14" i="7" l="1"/>
  <c r="E14" i="7"/>
  <c r="E6" i="2"/>
  <c r="M10" i="7"/>
  <c r="L10" i="7"/>
  <c r="C5" i="2"/>
  <c r="C6" i="2"/>
</calcChain>
</file>

<file path=xl/sharedStrings.xml><?xml version="1.0" encoding="utf-8"?>
<sst xmlns="http://schemas.openxmlformats.org/spreadsheetml/2006/main" count="576" uniqueCount="121">
  <si>
    <t>Exit price</t>
  </si>
  <si>
    <t>Entry commission</t>
  </si>
  <si>
    <t>Strategy</t>
  </si>
  <si>
    <t>Long/Short</t>
  </si>
  <si>
    <t>Date opened</t>
  </si>
  <si>
    <t>Date closed</t>
  </si>
  <si>
    <t>Total</t>
  </si>
  <si>
    <t>RSI</t>
  </si>
  <si>
    <t>Double bottom</t>
  </si>
  <si>
    <t>Fib levels</t>
  </si>
  <si>
    <t>Golden cross</t>
  </si>
  <si>
    <t>Short term trend reversal</t>
  </si>
  <si>
    <t>Long term trend reversal</t>
  </si>
  <si>
    <t>EMA/SMA</t>
  </si>
  <si>
    <t>News</t>
  </si>
  <si>
    <t>Symbol</t>
  </si>
  <si>
    <t>Exit commission</t>
  </si>
  <si>
    <t>Long</t>
  </si>
  <si>
    <t>Short</t>
  </si>
  <si>
    <t>Stock</t>
  </si>
  <si>
    <t>ETF</t>
  </si>
  <si>
    <t>CFD</t>
  </si>
  <si>
    <t>Bond</t>
  </si>
  <si>
    <t>Put option</t>
  </si>
  <si>
    <t>Call option</t>
  </si>
  <si>
    <t>Asset classes I trade</t>
  </si>
  <si>
    <t>IPO</t>
  </si>
  <si>
    <t>Share issues</t>
  </si>
  <si>
    <t>Asset class</t>
  </si>
  <si>
    <t>Cryptocurrency</t>
  </si>
  <si>
    <t>Futures</t>
  </si>
  <si>
    <t>Warrant</t>
  </si>
  <si>
    <t>Wins</t>
  </si>
  <si>
    <t>Losses</t>
  </si>
  <si>
    <t>ROI</t>
  </si>
  <si>
    <t>Total P/L</t>
  </si>
  <si>
    <t>Initial capital 2021</t>
  </si>
  <si>
    <t>EoY Capital 2021</t>
  </si>
  <si>
    <t>AFK</t>
  </si>
  <si>
    <t>RECSI</t>
  </si>
  <si>
    <t>AKRBP</t>
  </si>
  <si>
    <t>DNO</t>
  </si>
  <si>
    <t>PEXIP</t>
  </si>
  <si>
    <t>AGLX</t>
  </si>
  <si>
    <t>BCS</t>
  </si>
  <si>
    <t>BWLPG</t>
  </si>
  <si>
    <t>ARGEO</t>
  </si>
  <si>
    <t>MGN</t>
  </si>
  <si>
    <t>DSRT</t>
  </si>
  <si>
    <t>SAGA</t>
  </si>
  <si>
    <t>ELK</t>
  </si>
  <si>
    <t>EQNR</t>
  </si>
  <si>
    <t>AOW</t>
  </si>
  <si>
    <t>NEL</t>
  </si>
  <si>
    <t>FRO</t>
  </si>
  <si>
    <t>GOD</t>
  </si>
  <si>
    <t>KYOTO</t>
  </si>
  <si>
    <t>CIRCA</t>
  </si>
  <si>
    <t>SCATC</t>
  </si>
  <si>
    <t>XXL</t>
  </si>
  <si>
    <t>KIT</t>
  </si>
  <si>
    <t>MPCC</t>
  </si>
  <si>
    <t>MPCES</t>
  </si>
  <si>
    <t>HEX</t>
  </si>
  <si>
    <t>ACH</t>
  </si>
  <si>
    <t>PSKY</t>
  </si>
  <si>
    <t>IFISH</t>
  </si>
  <si>
    <t>AZT</t>
  </si>
  <si>
    <t>PROXI</t>
  </si>
  <si>
    <t>FLYR</t>
  </si>
  <si>
    <t>INDCT</t>
  </si>
  <si>
    <t>ASA</t>
  </si>
  <si>
    <t>PSE</t>
  </si>
  <si>
    <t>KING</t>
  </si>
  <si>
    <t>PMG</t>
  </si>
  <si>
    <t>NOD</t>
  </si>
  <si>
    <t>OTEC</t>
  </si>
  <si>
    <t>KAHOT</t>
  </si>
  <si>
    <t>PGS</t>
  </si>
  <si>
    <t>NCOD</t>
  </si>
  <si>
    <t>VOW</t>
  </si>
  <si>
    <t>RANA</t>
  </si>
  <si>
    <t>NUMND</t>
  </si>
  <si>
    <t>AKH</t>
  </si>
  <si>
    <t>PHLY</t>
  </si>
  <si>
    <t>BEAR OBX X3</t>
  </si>
  <si>
    <t>ENSU</t>
  </si>
  <si>
    <t>PNOR</t>
  </si>
  <si>
    <t>PLT</t>
  </si>
  <si>
    <t>KAL</t>
  </si>
  <si>
    <t>Derivative</t>
  </si>
  <si>
    <t>W/L Ratio</t>
  </si>
  <si>
    <t>Capital</t>
  </si>
  <si>
    <t xml:space="preserve">Total return </t>
  </si>
  <si>
    <t>Win/loss ratio</t>
  </si>
  <si>
    <t>Most profitable</t>
  </si>
  <si>
    <t>Column Labels</t>
  </si>
  <si>
    <t>Grand Total</t>
  </si>
  <si>
    <t>Row Labels</t>
  </si>
  <si>
    <t>Brief overview</t>
  </si>
  <si>
    <t>Entry price</t>
  </si>
  <si>
    <t>PL</t>
  </si>
  <si>
    <t>Position size</t>
  </si>
  <si>
    <t># Trades</t>
  </si>
  <si>
    <t>Sum of PL</t>
  </si>
  <si>
    <t>Count</t>
  </si>
  <si>
    <t>Sum of Sum commissions</t>
  </si>
  <si>
    <t>Wins/Loss</t>
  </si>
  <si>
    <t>Directions I trade</t>
  </si>
  <si>
    <t>Strategies I trade with</t>
  </si>
  <si>
    <t>,</t>
  </si>
  <si>
    <t>Commision</t>
  </si>
  <si>
    <t>Total Return</t>
  </si>
  <si>
    <t>PL% on trade</t>
  </si>
  <si>
    <t>Total Return%</t>
  </si>
  <si>
    <t>Sum</t>
  </si>
  <si>
    <t>Avg. P/L</t>
  </si>
  <si>
    <t>Average return per win</t>
  </si>
  <si>
    <t>Average return per loss</t>
  </si>
  <si>
    <t>Average P/L per all</t>
  </si>
  <si>
    <t>THIS IS A FICTITIOUS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</si>
</sst>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0E9D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2" fillId="0" borderId="0" xfId="1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/>
    <xf numFmtId="0" fontId="0" fillId="0" borderId="3" xfId="0" applyBorder="1" applyAlignment="1">
      <alignment horizontal="center"/>
    </xf>
    <xf numFmtId="44" fontId="2" fillId="0" borderId="1" xfId="1" applyFont="1" applyBorder="1"/>
    <xf numFmtId="165" fontId="2" fillId="0" borderId="0" xfId="2" applyNumberFormat="1" applyFont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2" fontId="2" fillId="5" borderId="9" xfId="2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4" fontId="2" fillId="2" borderId="0" xfId="1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2" fontId="2" fillId="0" borderId="2" xfId="2" applyNumberFormat="1" applyFont="1" applyFill="1" applyBorder="1" applyAlignment="1">
      <alignment horizontal="center" vertical="center" wrapText="1"/>
    </xf>
    <xf numFmtId="2" fontId="2" fillId="0" borderId="6" xfId="2" applyNumberFormat="1" applyFont="1" applyFill="1" applyBorder="1" applyAlignment="1">
      <alignment horizontal="center" vertical="center" wrapText="1"/>
    </xf>
    <xf numFmtId="44" fontId="3" fillId="2" borderId="10" xfId="1" applyFont="1" applyFill="1" applyBorder="1" applyAlignment="1">
      <alignment horizontal="center" vertical="center" wrapText="1"/>
    </xf>
    <xf numFmtId="44" fontId="0" fillId="0" borderId="9" xfId="0" applyNumberFormat="1" applyBorder="1"/>
    <xf numFmtId="165" fontId="3" fillId="2" borderId="10" xfId="2" applyNumberFormat="1" applyFont="1" applyFill="1" applyBorder="1" applyAlignment="1">
      <alignment horizontal="center" vertical="center" wrapText="1"/>
    </xf>
    <xf numFmtId="165" fontId="1" fillId="0" borderId="9" xfId="0" applyNumberFormat="1" applyFont="1" applyBorder="1"/>
    <xf numFmtId="165" fontId="2" fillId="6" borderId="1" xfId="2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44" fontId="2" fillId="0" borderId="0" xfId="1" applyFont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 vertical="center" wrapText="1"/>
    </xf>
    <xf numFmtId="164" fontId="2" fillId="8" borderId="1" xfId="1" applyNumberFormat="1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4" fontId="2" fillId="0" borderId="0" xfId="1" applyFont="1" applyBorder="1" applyAlignment="1">
      <alignment vertical="center" wrapText="1"/>
    </xf>
    <xf numFmtId="44" fontId="9" fillId="9" borderId="1" xfId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NOK&quot;\ * #,##0.00_-;\-&quot;NOK&quot;\ * #,##0.00_-;_-&quot;NOK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NOK&quot;\ * #,##0.00_-;\-&quot;NOK&quot;\ * #,##0.0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u val="none"/>
        <color rgb="FF00B05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</dxfs>
  <tableStyles count="0" defaultTableStyle="TableStyleMedium2" defaultPivotStyle="PivotStyleLight16"/>
  <colors>
    <mruColors>
      <color rgb="FFF0E9D8"/>
      <color rgb="FFDD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rPr>
              <a:t>P/L over time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Dataset!$G$10:$G$119</c:f>
              <c:numCache>
                <c:formatCode>m/d/yy</c:formatCode>
                <c:ptCount val="110"/>
                <c:pt idx="0">
                  <c:v>44236</c:v>
                </c:pt>
                <c:pt idx="1">
                  <c:v>44236</c:v>
                </c:pt>
                <c:pt idx="2">
                  <c:v>44238</c:v>
                </c:pt>
                <c:pt idx="3">
                  <c:v>44238</c:v>
                </c:pt>
                <c:pt idx="4">
                  <c:v>44238</c:v>
                </c:pt>
                <c:pt idx="5">
                  <c:v>44239</c:v>
                </c:pt>
                <c:pt idx="6">
                  <c:v>44239</c:v>
                </c:pt>
                <c:pt idx="7">
                  <c:v>44242</c:v>
                </c:pt>
                <c:pt idx="8">
                  <c:v>44242</c:v>
                </c:pt>
                <c:pt idx="9">
                  <c:v>44243</c:v>
                </c:pt>
                <c:pt idx="10">
                  <c:v>44243</c:v>
                </c:pt>
                <c:pt idx="11">
                  <c:v>44244</c:v>
                </c:pt>
                <c:pt idx="12">
                  <c:v>44258</c:v>
                </c:pt>
                <c:pt idx="13">
                  <c:v>44259</c:v>
                </c:pt>
                <c:pt idx="14">
                  <c:v>44264</c:v>
                </c:pt>
                <c:pt idx="15">
                  <c:v>44264</c:v>
                </c:pt>
                <c:pt idx="16">
                  <c:v>44267</c:v>
                </c:pt>
                <c:pt idx="17">
                  <c:v>44267</c:v>
                </c:pt>
                <c:pt idx="18">
                  <c:v>44267</c:v>
                </c:pt>
                <c:pt idx="19">
                  <c:v>44270</c:v>
                </c:pt>
                <c:pt idx="20">
                  <c:v>44277</c:v>
                </c:pt>
                <c:pt idx="21">
                  <c:v>44279</c:v>
                </c:pt>
                <c:pt idx="22">
                  <c:v>44279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44281</c:v>
                </c:pt>
                <c:pt idx="27">
                  <c:v>44281</c:v>
                </c:pt>
                <c:pt idx="28">
                  <c:v>44285</c:v>
                </c:pt>
                <c:pt idx="29">
                  <c:v>44285</c:v>
                </c:pt>
                <c:pt idx="30">
                  <c:v>44293</c:v>
                </c:pt>
                <c:pt idx="31">
                  <c:v>44294</c:v>
                </c:pt>
                <c:pt idx="32">
                  <c:v>44294</c:v>
                </c:pt>
                <c:pt idx="33">
                  <c:v>44294</c:v>
                </c:pt>
                <c:pt idx="34">
                  <c:v>44294</c:v>
                </c:pt>
                <c:pt idx="35">
                  <c:v>44294</c:v>
                </c:pt>
                <c:pt idx="36">
                  <c:v>44294</c:v>
                </c:pt>
                <c:pt idx="37">
                  <c:v>44294</c:v>
                </c:pt>
                <c:pt idx="38">
                  <c:v>44295</c:v>
                </c:pt>
                <c:pt idx="39">
                  <c:v>44295</c:v>
                </c:pt>
                <c:pt idx="40">
                  <c:v>44295</c:v>
                </c:pt>
                <c:pt idx="41">
                  <c:v>44295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44300</c:v>
                </c:pt>
                <c:pt idx="46">
                  <c:v>44301</c:v>
                </c:pt>
                <c:pt idx="47">
                  <c:v>44301</c:v>
                </c:pt>
                <c:pt idx="48">
                  <c:v>44301</c:v>
                </c:pt>
                <c:pt idx="49">
                  <c:v>44305</c:v>
                </c:pt>
                <c:pt idx="50">
                  <c:v>44305</c:v>
                </c:pt>
                <c:pt idx="51">
                  <c:v>44308</c:v>
                </c:pt>
                <c:pt idx="52">
                  <c:v>44313</c:v>
                </c:pt>
                <c:pt idx="53">
                  <c:v>44314</c:v>
                </c:pt>
                <c:pt idx="54">
                  <c:v>44314</c:v>
                </c:pt>
                <c:pt idx="55">
                  <c:v>44320</c:v>
                </c:pt>
                <c:pt idx="56">
                  <c:v>44349</c:v>
                </c:pt>
                <c:pt idx="57">
                  <c:v>44375</c:v>
                </c:pt>
                <c:pt idx="58">
                  <c:v>44377</c:v>
                </c:pt>
                <c:pt idx="59">
                  <c:v>44378</c:v>
                </c:pt>
                <c:pt idx="60">
                  <c:v>44379</c:v>
                </c:pt>
                <c:pt idx="61">
                  <c:v>44382</c:v>
                </c:pt>
                <c:pt idx="62">
                  <c:v>44389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44439</c:v>
                </c:pt>
                <c:pt idx="67">
                  <c:v>44445</c:v>
                </c:pt>
                <c:pt idx="68">
                  <c:v>44445</c:v>
                </c:pt>
                <c:pt idx="69">
                  <c:v>44445</c:v>
                </c:pt>
                <c:pt idx="70">
                  <c:v>44446</c:v>
                </c:pt>
                <c:pt idx="71">
                  <c:v>44452</c:v>
                </c:pt>
                <c:pt idx="72">
                  <c:v>44454</c:v>
                </c:pt>
                <c:pt idx="73">
                  <c:v>44454</c:v>
                </c:pt>
                <c:pt idx="74">
                  <c:v>44455</c:v>
                </c:pt>
                <c:pt idx="75">
                  <c:v>44456</c:v>
                </c:pt>
                <c:pt idx="76">
                  <c:v>44459</c:v>
                </c:pt>
                <c:pt idx="77">
                  <c:v>44460</c:v>
                </c:pt>
                <c:pt idx="78">
                  <c:v>44461</c:v>
                </c:pt>
                <c:pt idx="79">
                  <c:v>44462</c:v>
                </c:pt>
                <c:pt idx="80">
                  <c:v>44462</c:v>
                </c:pt>
                <c:pt idx="81">
                  <c:v>44462</c:v>
                </c:pt>
                <c:pt idx="82">
                  <c:v>44462</c:v>
                </c:pt>
                <c:pt idx="83">
                  <c:v>44463</c:v>
                </c:pt>
                <c:pt idx="84">
                  <c:v>44478</c:v>
                </c:pt>
                <c:pt idx="85">
                  <c:v>44483</c:v>
                </c:pt>
                <c:pt idx="86">
                  <c:v>44501</c:v>
                </c:pt>
                <c:pt idx="87">
                  <c:v>44501</c:v>
                </c:pt>
                <c:pt idx="88">
                  <c:v>44501</c:v>
                </c:pt>
                <c:pt idx="89">
                  <c:v>44501</c:v>
                </c:pt>
                <c:pt idx="90">
                  <c:v>44502</c:v>
                </c:pt>
                <c:pt idx="91">
                  <c:v>44510</c:v>
                </c:pt>
                <c:pt idx="92">
                  <c:v>44510</c:v>
                </c:pt>
                <c:pt idx="93">
                  <c:v>44512</c:v>
                </c:pt>
                <c:pt idx="94">
                  <c:v>44515</c:v>
                </c:pt>
                <c:pt idx="95">
                  <c:v>44517</c:v>
                </c:pt>
                <c:pt idx="96">
                  <c:v>44518</c:v>
                </c:pt>
                <c:pt idx="97">
                  <c:v>44528</c:v>
                </c:pt>
                <c:pt idx="98">
                  <c:v>44526</c:v>
                </c:pt>
                <c:pt idx="99">
                  <c:v>44535</c:v>
                </c:pt>
                <c:pt idx="100">
                  <c:v>44536</c:v>
                </c:pt>
                <c:pt idx="101">
                  <c:v>44539</c:v>
                </c:pt>
                <c:pt idx="102">
                  <c:v>44536</c:v>
                </c:pt>
              </c:numCache>
            </c:numRef>
          </c:cat>
          <c:val>
            <c:numRef>
              <c:f>Dataset!$P$10:$P$112</c:f>
              <c:numCache>
                <c:formatCode>0.0%</c:formatCode>
                <c:ptCount val="103"/>
                <c:pt idx="0">
                  <c:v>2.6989203409448891E-3</c:v>
                </c:pt>
                <c:pt idx="1">
                  <c:v>7.6958285223676119E-4</c:v>
                </c:pt>
                <c:pt idx="2">
                  <c:v>4.3566283067822094E-3</c:v>
                </c:pt>
                <c:pt idx="3">
                  <c:v>4.8560203067822168E-3</c:v>
                </c:pt>
                <c:pt idx="4">
                  <c:v>-1.2115892736696037E-2</c:v>
                </c:pt>
                <c:pt idx="5">
                  <c:v>-1.0729364603703708E-2</c:v>
                </c:pt>
                <c:pt idx="6">
                  <c:v>-1.0758766178506858E-2</c:v>
                </c:pt>
                <c:pt idx="7">
                  <c:v>-6.0640304467859752E-3</c:v>
                </c:pt>
                <c:pt idx="8">
                  <c:v>-5.2869861346437463E-3</c:v>
                </c:pt>
                <c:pt idx="9">
                  <c:v>-2.7934704464695643E-4</c:v>
                </c:pt>
                <c:pt idx="10">
                  <c:v>2.1984454982507309E-3</c:v>
                </c:pt>
                <c:pt idx="11">
                  <c:v>1.0301656507425044E-2</c:v>
                </c:pt>
                <c:pt idx="12">
                  <c:v>3.3058314577232967E-3</c:v>
                </c:pt>
                <c:pt idx="13">
                  <c:v>7.9885308442263527E-3</c:v>
                </c:pt>
                <c:pt idx="14">
                  <c:v>9.3873206531435195E-3</c:v>
                </c:pt>
                <c:pt idx="15">
                  <c:v>1.0184290350113213E-2</c:v>
                </c:pt>
                <c:pt idx="16">
                  <c:v>1.4644426651543823E-2</c:v>
                </c:pt>
                <c:pt idx="17">
                  <c:v>1.5183709670411735E-2</c:v>
                </c:pt>
                <c:pt idx="18">
                  <c:v>1.5440896356439702E-3</c:v>
                </c:pt>
                <c:pt idx="19">
                  <c:v>0.1336018734933731</c:v>
                </c:pt>
                <c:pt idx="20">
                  <c:v>0.12941474446111503</c:v>
                </c:pt>
                <c:pt idx="21">
                  <c:v>0.12901506025058873</c:v>
                </c:pt>
                <c:pt idx="22">
                  <c:v>0.12074922782255165</c:v>
                </c:pt>
                <c:pt idx="23">
                  <c:v>0.10428829324311242</c:v>
                </c:pt>
                <c:pt idx="24">
                  <c:v>0.10443734086216004</c:v>
                </c:pt>
                <c:pt idx="25">
                  <c:v>0.10610135133336418</c:v>
                </c:pt>
                <c:pt idx="26">
                  <c:v>0.10575176754365993</c:v>
                </c:pt>
                <c:pt idx="27">
                  <c:v>9.9784107969191849E-2</c:v>
                </c:pt>
                <c:pt idx="28">
                  <c:v>0.11358410796919184</c:v>
                </c:pt>
                <c:pt idx="29">
                  <c:v>0.11505458336417235</c:v>
                </c:pt>
                <c:pt idx="30">
                  <c:v>0.11583548828438511</c:v>
                </c:pt>
                <c:pt idx="31">
                  <c:v>0.16830364470896614</c:v>
                </c:pt>
                <c:pt idx="32">
                  <c:v>0.21574347804229946</c:v>
                </c:pt>
                <c:pt idx="33">
                  <c:v>0.22389401976997153</c:v>
                </c:pt>
                <c:pt idx="34">
                  <c:v>0.23078216088259026</c:v>
                </c:pt>
                <c:pt idx="35">
                  <c:v>0.23337251495492189</c:v>
                </c:pt>
                <c:pt idx="36">
                  <c:v>0.23516626837957946</c:v>
                </c:pt>
                <c:pt idx="37">
                  <c:v>0.23157177562595624</c:v>
                </c:pt>
                <c:pt idx="38">
                  <c:v>0.23353392990942123</c:v>
                </c:pt>
                <c:pt idx="39">
                  <c:v>0.23316258304812792</c:v>
                </c:pt>
                <c:pt idx="40">
                  <c:v>0.23118799444053298</c:v>
                </c:pt>
                <c:pt idx="41">
                  <c:v>0.22853244832402808</c:v>
                </c:pt>
                <c:pt idx="42">
                  <c:v>0.22753735154983454</c:v>
                </c:pt>
                <c:pt idx="43">
                  <c:v>0.22634069956745567</c:v>
                </c:pt>
                <c:pt idx="44">
                  <c:v>0.2292926978448028</c:v>
                </c:pt>
                <c:pt idx="45">
                  <c:v>0.22912356344844742</c:v>
                </c:pt>
                <c:pt idx="46">
                  <c:v>0.32684516680040282</c:v>
                </c:pt>
                <c:pt idx="47">
                  <c:v>0.32761110562625378</c:v>
                </c:pt>
                <c:pt idx="48">
                  <c:v>0.32521914795429618</c:v>
                </c:pt>
                <c:pt idx="49">
                  <c:v>0.32615751315983338</c:v>
                </c:pt>
                <c:pt idx="50">
                  <c:v>0.32683608693662447</c:v>
                </c:pt>
                <c:pt idx="51">
                  <c:v>0.32133492414592674</c:v>
                </c:pt>
                <c:pt idx="52">
                  <c:v>0.33076416340678588</c:v>
                </c:pt>
                <c:pt idx="53">
                  <c:v>0.33039207186683284</c:v>
                </c:pt>
                <c:pt idx="54">
                  <c:v>0.32531399494375596</c:v>
                </c:pt>
                <c:pt idx="55">
                  <c:v>0.32068008300653988</c:v>
                </c:pt>
                <c:pt idx="56">
                  <c:v>0.34161069170219205</c:v>
                </c:pt>
                <c:pt idx="57">
                  <c:v>0.33535759739438131</c:v>
                </c:pt>
                <c:pt idx="58">
                  <c:v>0.35420867368865927</c:v>
                </c:pt>
                <c:pt idx="59">
                  <c:v>0.35553722172359375</c:v>
                </c:pt>
                <c:pt idx="60">
                  <c:v>0.35015485058957319</c:v>
                </c:pt>
                <c:pt idx="61">
                  <c:v>0.36230319191267962</c:v>
                </c:pt>
                <c:pt idx="62">
                  <c:v>0.36030991757639647</c:v>
                </c:pt>
                <c:pt idx="63">
                  <c:v>0.38486464150277688</c:v>
                </c:pt>
                <c:pt idx="64">
                  <c:v>0.38343018861753825</c:v>
                </c:pt>
                <c:pt idx="65">
                  <c:v>0.38753519497077837</c:v>
                </c:pt>
                <c:pt idx="66">
                  <c:v>0.38843174739013325</c:v>
                </c:pt>
                <c:pt idx="67">
                  <c:v>0.40351132019184205</c:v>
                </c:pt>
                <c:pt idx="68">
                  <c:v>0.40351132019184205</c:v>
                </c:pt>
                <c:pt idx="69">
                  <c:v>0.39941577766984787</c:v>
                </c:pt>
                <c:pt idx="70">
                  <c:v>0.40281540124872445</c:v>
                </c:pt>
                <c:pt idx="71">
                  <c:v>0.40381033458205778</c:v>
                </c:pt>
                <c:pt idx="72">
                  <c:v>0.40245408458205778</c:v>
                </c:pt>
                <c:pt idx="73">
                  <c:v>0.40070855517029302</c:v>
                </c:pt>
                <c:pt idx="74">
                  <c:v>0.40058890031107419</c:v>
                </c:pt>
                <c:pt idx="75">
                  <c:v>0.48419729316821708</c:v>
                </c:pt>
                <c:pt idx="76">
                  <c:v>0.49323435638374724</c:v>
                </c:pt>
                <c:pt idx="77">
                  <c:v>0.49198912785536952</c:v>
                </c:pt>
                <c:pt idx="78">
                  <c:v>0.49149136393869303</c:v>
                </c:pt>
                <c:pt idx="79">
                  <c:v>0.49167079308240863</c:v>
                </c:pt>
                <c:pt idx="80">
                  <c:v>0.4917622338476772</c:v>
                </c:pt>
                <c:pt idx="81">
                  <c:v>0.49068318547337114</c:v>
                </c:pt>
                <c:pt idx="82">
                  <c:v>0.48768018448799616</c:v>
                </c:pt>
                <c:pt idx="83">
                  <c:v>0.48558369835853771</c:v>
                </c:pt>
                <c:pt idx="84">
                  <c:v>0.48639100756388781</c:v>
                </c:pt>
                <c:pt idx="85">
                  <c:v>0.51274934643431969</c:v>
                </c:pt>
                <c:pt idx="86">
                  <c:v>0.6816654856748261</c:v>
                </c:pt>
                <c:pt idx="87">
                  <c:v>0.68202502921836961</c:v>
                </c:pt>
                <c:pt idx="88">
                  <c:v>0.68217476995068704</c:v>
                </c:pt>
                <c:pt idx="89">
                  <c:v>0.67176222954139364</c:v>
                </c:pt>
                <c:pt idx="90">
                  <c:v>0.70535072954139366</c:v>
                </c:pt>
                <c:pt idx="91">
                  <c:v>0.7067306359048563</c:v>
                </c:pt>
                <c:pt idx="92">
                  <c:v>0.69850692387822289</c:v>
                </c:pt>
                <c:pt idx="93">
                  <c:v>0.69522085721155624</c:v>
                </c:pt>
                <c:pt idx="94">
                  <c:v>0.69900585669074111</c:v>
                </c:pt>
                <c:pt idx="95">
                  <c:v>0.69786459669074097</c:v>
                </c:pt>
                <c:pt idx="96">
                  <c:v>0.70023534963191747</c:v>
                </c:pt>
                <c:pt idx="97">
                  <c:v>0.70853077224889183</c:v>
                </c:pt>
                <c:pt idx="98">
                  <c:v>0.70303427015684161</c:v>
                </c:pt>
                <c:pt idx="99">
                  <c:v>0.72113711182780604</c:v>
                </c:pt>
                <c:pt idx="100">
                  <c:v>0.71876548723687583</c:v>
                </c:pt>
                <c:pt idx="101">
                  <c:v>0.71530290063179491</c:v>
                </c:pt>
                <c:pt idx="102">
                  <c:v>0.72607561339775228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564D-BCD5-6D257B5E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31375"/>
        <c:axId val="730472799"/>
      </c:areaChart>
      <c:dateAx>
        <c:axId val="73003137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472799"/>
        <c:crosses val="autoZero"/>
        <c:auto val="1"/>
        <c:lblOffset val="100"/>
        <c:baseTimeUnit val="days"/>
      </c:dateAx>
      <c:valAx>
        <c:axId val="730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Wins vs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8.8128897775337514E-2"/>
          <c:y val="0.15649747770494854"/>
          <c:w val="0.6792976655256272"/>
          <c:h val="0.785523975410915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0-4540-90C9-5FA6CB322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0-4540-90C9-5FA6CB322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calculations'!$L$8:$M$8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calculations'!$L$10:$M$10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0-4540-90C9-5FA6CB322D3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7D-604D-89B1-CF3DF8B65C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7D-604D-89B1-CF3DF8B65C14}"/>
              </c:ext>
            </c:extLst>
          </c:dPt>
          <c:cat>
            <c:strRef>
              <c:f>'Dashboard calculations'!$L$8:$M$8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calculations'!$L$10:$M$10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0-4540-90C9-5FA6CB32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Commision expenses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tables'!$F$2:$F$3</c:f>
              <c:strCache>
                <c:ptCount val="1"/>
                <c:pt idx="0">
                  <c:v>Long term trend reversal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tables'!$F$4</c:f>
              <c:numCache>
                <c:formatCode>_-"NOK"\ * #\ ##0_-;\-"NOK"\ * #\ ##0_-;_-"NOK"\ * "-"??_-;_-@_-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6-CD4C-8955-BC529D7B0C25}"/>
            </c:ext>
          </c:extLst>
        </c:ser>
        <c:ser>
          <c:idx val="1"/>
          <c:order val="1"/>
          <c:tx>
            <c:strRef>
              <c:f>'Pivot tables'!$G$2:$G$3</c:f>
              <c:strCache>
                <c:ptCount val="1"/>
                <c:pt idx="0">
                  <c:v>Fib levels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tables'!$G$4</c:f>
              <c:numCache>
                <c:formatCode>_-"NOK"\ * #\ ##0_-;\-"NOK"\ * #\ ##0_-;_-"NOK"\ * "-"??_-;_-@_-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6-CD4C-8955-BC529D7B0C25}"/>
            </c:ext>
          </c:extLst>
        </c:ser>
        <c:ser>
          <c:idx val="2"/>
          <c:order val="2"/>
          <c:tx>
            <c:strRef>
              <c:f>'Pivot tables'!$H$2:$H$3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tables'!$H$4</c:f>
              <c:numCache>
                <c:formatCode>_-"NOK"\ * #\ ##0_-;\-"NOK"\ * #\ ##0_-;_-"NOK"\ * "-"??_-;_-@_-</c:formatCode>
                <c:ptCount val="1"/>
                <c:pt idx="0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6-CD4C-8955-BC529D7B0C25}"/>
            </c:ext>
          </c:extLst>
        </c:ser>
        <c:ser>
          <c:idx val="3"/>
          <c:order val="3"/>
          <c:tx>
            <c:strRef>
              <c:f>'Pivot tables'!$I$2:$I$3</c:f>
              <c:strCache>
                <c:ptCount val="1"/>
                <c:pt idx="0">
                  <c:v>Double bottom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tables'!$I$4</c:f>
              <c:numCache>
                <c:formatCode>_-"NOK"\ * #\ ##0_-;\-"NOK"\ * #\ ##0_-;_-"NOK"\ * "-"??_-;_-@_-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6-CD4C-8955-BC529D7B0C25}"/>
            </c:ext>
          </c:extLst>
        </c:ser>
        <c:ser>
          <c:idx val="4"/>
          <c:order val="4"/>
          <c:tx>
            <c:strRef>
              <c:f>'Pivot tables'!$J$2:$J$3</c:f>
              <c:strCache>
                <c:ptCount val="1"/>
                <c:pt idx="0">
                  <c:v>Short term trend reversal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tables'!$J$4</c:f>
              <c:numCache>
                <c:formatCode>_-"NOK"\ * #\ ##0_-;\-"NOK"\ * #\ ##0_-;_-"NOK"\ * "-"??_-;_-@_-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6-CD4C-8955-BC529D7B0C25}"/>
            </c:ext>
          </c:extLst>
        </c:ser>
        <c:ser>
          <c:idx val="5"/>
          <c:order val="5"/>
          <c:tx>
            <c:strRef>
              <c:f>'Pivot tables'!$K$2:$K$3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tables'!$K$4</c:f>
              <c:numCache>
                <c:formatCode>_-"NOK"\ * #\ ##0_-;\-"NOK"\ * #\ ##0_-;_-"NOK"\ * "-"??_-;_-@_-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6-CD4C-8955-BC529D7B0C25}"/>
            </c:ext>
          </c:extLst>
        </c:ser>
        <c:ser>
          <c:idx val="6"/>
          <c:order val="6"/>
          <c:tx>
            <c:strRef>
              <c:f>'Pivot tables'!$L$2:$L$3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tables'!$L$4</c:f>
              <c:numCache>
                <c:formatCode>_-"NOK"\ * #\ ##0_-;\-"NOK"\ * #\ ##0_-;_-"NOK"\ * "-"??_-;_-@_-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6-CD4C-8955-BC529D7B0C25}"/>
            </c:ext>
          </c:extLst>
        </c:ser>
        <c:ser>
          <c:idx val="7"/>
          <c:order val="7"/>
          <c:tx>
            <c:strRef>
              <c:f>'Pivot tables'!$M$2:$M$3</c:f>
              <c:strCache>
                <c:ptCount val="1"/>
                <c:pt idx="0">
                  <c:v>Share issues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tables'!$M$4</c:f>
              <c:numCache>
                <c:formatCode>_-"NOK"\ * #\ ##0_-;\-"NOK"\ * #\ ##0_-;_-"NOK"\ * "-"??_-;_-@_-</c:formatCode>
                <c:ptCount val="1"/>
                <c:pt idx="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6-CD4C-8955-BC529D7B0C25}"/>
            </c:ext>
          </c:extLst>
        </c:ser>
        <c:ser>
          <c:idx val="8"/>
          <c:order val="8"/>
          <c:tx>
            <c:strRef>
              <c:f>'Pivot tables'!$N$2:$N$3</c:f>
              <c:strCache>
                <c:ptCount val="1"/>
                <c:pt idx="0">
                  <c:v>Golden cross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tables'!$N$4</c:f>
              <c:numCache>
                <c:formatCode>_-"NOK"\ * #\ ##0_-;\-"NOK"\ * #\ ##0_-;_-"NOK"\ * "-"??_-;_-@_-</c:formatCode>
                <c:ptCount val="1"/>
                <c:pt idx="0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A6-CD4C-8955-BC529D7B0C25}"/>
            </c:ext>
          </c:extLst>
        </c:ser>
        <c:ser>
          <c:idx val="9"/>
          <c:order val="9"/>
          <c:tx>
            <c:strRef>
              <c:f>'Pivot tables'!$O$2:$O$3</c:f>
              <c:strCache>
                <c:ptCount val="1"/>
                <c:pt idx="0">
                  <c:v>EMA/SMA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tables'!$O$4</c:f>
              <c:numCache>
                <c:formatCode>_-"NOK"\ * #\ ##0_-;\-"NOK"\ * #\ ##0_-;_-"NOK"\ * "-"??_-;_-@_-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A6-CD4C-8955-BC529D7B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2044768"/>
        <c:axId val="919032223"/>
      </c:barChart>
      <c:catAx>
        <c:axId val="183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19032223"/>
        <c:crosses val="autoZero"/>
        <c:auto val="1"/>
        <c:lblAlgn val="ctr"/>
        <c:lblOffset val="100"/>
        <c:noMultiLvlLbl val="0"/>
      </c:catAx>
      <c:valAx>
        <c:axId val="9190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Win/loss ratio by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calculations'!$D$3</c:f>
              <c:strCache>
                <c:ptCount val="1"/>
                <c:pt idx="0">
                  <c:v>Win/loss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calculations'!$D$4:$D$13</c:f>
              <c:numCache>
                <c:formatCode>General</c:formatCode>
                <c:ptCount val="10"/>
                <c:pt idx="0">
                  <c:v>2.5</c:v>
                </c:pt>
                <c:pt idx="1">
                  <c:v>1.75</c:v>
                </c:pt>
                <c:pt idx="2">
                  <c:v>2</c:v>
                </c:pt>
                <c:pt idx="3">
                  <c:v>2.5</c:v>
                </c:pt>
                <c:pt idx="4">
                  <c:v>0.7142857142857143</c:v>
                </c:pt>
                <c:pt idx="5">
                  <c:v>1.7142857142857142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FA46-8CAE-51E1D4C6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828159"/>
        <c:axId val="1625377759"/>
      </c:barChart>
      <c:catAx>
        <c:axId val="1271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25377759"/>
        <c:crosses val="autoZero"/>
        <c:auto val="1"/>
        <c:lblAlgn val="ctr"/>
        <c:lblOffset val="100"/>
        <c:noMultiLvlLbl val="0"/>
      </c:catAx>
      <c:valAx>
        <c:axId val="16253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718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 return – trading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calculations'!$E$3</c:f>
              <c:strCache>
                <c:ptCount val="1"/>
                <c:pt idx="0">
                  <c:v>Total return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calculations'!$E$4:$E$13</c:f>
              <c:numCache>
                <c:formatCode>_-"NOK"\ * #\ ##0_-;\-"NOK"\ * #\ ##0_-;_-"NOK"\ * "-"??_-;_-@_-</c:formatCode>
                <c:ptCount val="10"/>
                <c:pt idx="0">
                  <c:v>17041.723326196148</c:v>
                </c:pt>
                <c:pt idx="1">
                  <c:v>15994.933082733649</c:v>
                </c:pt>
                <c:pt idx="2">
                  <c:v>13090.935128923378</c:v>
                </c:pt>
                <c:pt idx="3">
                  <c:v>8954.2183245643027</c:v>
                </c:pt>
                <c:pt idx="4">
                  <c:v>7276.5968996944594</c:v>
                </c:pt>
                <c:pt idx="5">
                  <c:v>6075.5903543018212</c:v>
                </c:pt>
                <c:pt idx="6">
                  <c:v>5657.1857450832549</c:v>
                </c:pt>
                <c:pt idx="7">
                  <c:v>1027.3987537578776</c:v>
                </c:pt>
                <c:pt idx="8">
                  <c:v>-116.76095823895366</c:v>
                </c:pt>
                <c:pt idx="9">
                  <c:v>-2394.2593172406941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3-B144-A20F-D82C3F87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48607"/>
        <c:axId val="734284015"/>
      </c:barChart>
      <c:catAx>
        <c:axId val="7345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284015"/>
        <c:crosses val="autoZero"/>
        <c:auto val="1"/>
        <c:lblAlgn val="ctr"/>
        <c:lblOffset val="100"/>
        <c:noMultiLvlLbl val="0"/>
      </c:catAx>
      <c:valAx>
        <c:axId val="7342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5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 ratio – Asset</a:t>
            </a:r>
            <a:r>
              <a:rPr lang="en-GB" b="1" baseline="0">
                <a:solidFill>
                  <a:schemeClr val="tx1"/>
                </a:solidFill>
              </a:rPr>
              <a:t>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calculations'!$G$4:$G$13</c:f>
              <c:strCache>
                <c:ptCount val="10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calculations'!$I$4:$I$13</c:f>
              <c:numCache>
                <c:formatCode>0.00</c:formatCode>
                <c:ptCount val="10"/>
                <c:pt idx="0">
                  <c:v>1.3809523809523809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7-2646-8B3B-22EBE53B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64607"/>
        <c:axId val="2098891679"/>
      </c:barChart>
      <c:catAx>
        <c:axId val="11225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8891679"/>
        <c:crosses val="autoZero"/>
        <c:auto val="1"/>
        <c:lblAlgn val="ctr"/>
        <c:lblOffset val="100"/>
        <c:noMultiLvlLbl val="0"/>
      </c:catAx>
      <c:valAx>
        <c:axId val="20988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225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</a:t>
            </a:r>
            <a:r>
              <a:rPr lang="en-GB" b="1" baseline="0">
                <a:solidFill>
                  <a:schemeClr val="tx1"/>
                </a:solidFill>
              </a:rPr>
              <a:t> return –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calculations'!$G$4:$G$13</c:f>
              <c:strCache>
                <c:ptCount val="10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calculations'!$J$4:$J$13</c:f>
              <c:numCache>
                <c:formatCode>_-"NOK"\ * #\ ##0_-;\-"NOK"\ * #\ ##0_-;_-"NOK"\ * "-"??_-;_-@_-</c:formatCode>
                <c:ptCount val="10"/>
                <c:pt idx="0">
                  <c:v>72648.193654916045</c:v>
                </c:pt>
                <c:pt idx="1">
                  <c:v>-40.63231514078997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8340-AE7B-C931C926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18351"/>
        <c:axId val="571659391"/>
      </c:barChart>
      <c:catAx>
        <c:axId val="5720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1659391"/>
        <c:crosses val="autoZero"/>
        <c:auto val="1"/>
        <c:lblAlgn val="ctr"/>
        <c:lblOffset val="100"/>
        <c:noMultiLvlLbl val="0"/>
      </c:catAx>
      <c:valAx>
        <c:axId val="571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20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Long</a:t>
            </a:r>
            <a:r>
              <a:rPr lang="en-GB" b="1" baseline="0">
                <a:solidFill>
                  <a:schemeClr val="tx1"/>
                </a:solidFill>
              </a:rPr>
              <a:t> vs short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8-1040-96AF-0563B9D28C3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8-1040-96AF-0563B9D28C39}"/>
              </c:ext>
            </c:extLst>
          </c:dPt>
          <c:dLbls>
            <c:dLbl>
              <c:idx val="1"/>
              <c:layout>
                <c:manualLayout>
                  <c:x val="1.2615094353158008E-2"/>
                  <c:y val="0.103234122816771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B8-1040-96AF-0563B9D28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calculations'!$L$5:$M$5</c:f>
              <c:numCache>
                <c:formatCode>0%</c:formatCode>
                <c:ptCount val="2"/>
                <c:pt idx="0">
                  <c:v>0.98058252427184467</c:v>
                </c:pt>
                <c:pt idx="1">
                  <c:v>1.9417475728155338E-2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8-1040-96AF-0563B9D28C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0044-9E17-E93E057F44CA}"/>
              </c:ext>
            </c:extLst>
          </c:dPt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calculations'!$M$3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8-1040-96AF-0563B9D28C3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EE-0044-9E17-E93E057F44CA}"/>
              </c:ext>
            </c:extLst>
          </c:dPt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B8-1040-96AF-0563B9D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#</a:t>
            </a:r>
            <a:r>
              <a:rPr lang="en-GB" b="1" baseline="0">
                <a:solidFill>
                  <a:schemeClr val="tx1"/>
                </a:solidFill>
              </a:rPr>
              <a:t> Trades by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0-C84C-B599-B280F21662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0-C84C-B599-B280F2166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0-C84C-B599-B280F21662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20-C84C-B599-B280F2166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20-C84C-B599-B280F21662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20-C84C-B599-B280F21662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20-C84C-B599-B280F21662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20-C84C-B599-B280F21662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20-C84C-B599-B280F21662D0}"/>
              </c:ext>
            </c:extLst>
          </c:dPt>
          <c:cat>
            <c:strRef>
              <c:f>'Dashboard calculations'!$G$4:$G$12</c:f>
              <c:strCache>
                <c:ptCount val="9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</c:strCache>
            </c:strRef>
          </c:cat>
          <c:val>
            <c:numRef>
              <c:f>'Dashboard calculations'!$H$4:$H$12</c:f>
              <c:numCache>
                <c:formatCode>General</c:formatCode>
                <c:ptCount val="9"/>
                <c:pt idx="0">
                  <c:v>101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20-C84C-B599-B280F216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590768"/>
        <c:axId val="1617884223"/>
      </c:barChart>
      <c:catAx>
        <c:axId val="7359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17884223"/>
        <c:crosses val="autoZero"/>
        <c:auto val="1"/>
        <c:lblAlgn val="ctr"/>
        <c:lblOffset val="100"/>
        <c:noMultiLvlLbl val="0"/>
      </c:catAx>
      <c:valAx>
        <c:axId val="16178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5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Count of trades per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calculations'!$C$4:$C$13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19</c:v>
                </c:pt>
                <c:pt idx="6">
                  <c:v>12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F45-9418-83C02E70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78047"/>
        <c:axId val="931429951"/>
      </c:barChart>
      <c:catAx>
        <c:axId val="9316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429951"/>
        <c:crosses val="autoZero"/>
        <c:auto val="1"/>
        <c:lblAlgn val="ctr"/>
        <c:lblOffset val="100"/>
        <c:noMultiLvlLbl val="0"/>
      </c:catAx>
      <c:valAx>
        <c:axId val="9314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67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return per symbol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tables'!$B$3:$B$55</c:f>
              <c:strCache>
                <c:ptCount val="52"/>
                <c:pt idx="0">
                  <c:v>RECSI</c:v>
                </c:pt>
                <c:pt idx="1">
                  <c:v>ACH</c:v>
                </c:pt>
                <c:pt idx="2">
                  <c:v>GOD</c:v>
                </c:pt>
                <c:pt idx="3">
                  <c:v>PROXI</c:v>
                </c:pt>
                <c:pt idx="4">
                  <c:v>PEXIP</c:v>
                </c:pt>
                <c:pt idx="5">
                  <c:v>PNOR</c:v>
                </c:pt>
                <c:pt idx="6">
                  <c:v>AGLX</c:v>
                </c:pt>
                <c:pt idx="7">
                  <c:v>AKRBP</c:v>
                </c:pt>
                <c:pt idx="8">
                  <c:v>ARGEO</c:v>
                </c:pt>
                <c:pt idx="9">
                  <c:v>HEX</c:v>
                </c:pt>
                <c:pt idx="10">
                  <c:v>AFK</c:v>
                </c:pt>
                <c:pt idx="11">
                  <c:v>XXL</c:v>
                </c:pt>
                <c:pt idx="12">
                  <c:v>PGS</c:v>
                </c:pt>
                <c:pt idx="13">
                  <c:v>IFISH</c:v>
                </c:pt>
                <c:pt idx="14">
                  <c:v>AOW</c:v>
                </c:pt>
                <c:pt idx="15">
                  <c:v>AKH</c:v>
                </c:pt>
                <c:pt idx="16">
                  <c:v>AZT</c:v>
                </c:pt>
                <c:pt idx="17">
                  <c:v>MPCES</c:v>
                </c:pt>
                <c:pt idx="18">
                  <c:v>PLT</c:v>
                </c:pt>
                <c:pt idx="19">
                  <c:v>KAL</c:v>
                </c:pt>
                <c:pt idx="20">
                  <c:v>DSRT</c:v>
                </c:pt>
                <c:pt idx="21">
                  <c:v>ENSU</c:v>
                </c:pt>
                <c:pt idx="22">
                  <c:v>ASA</c:v>
                </c:pt>
                <c:pt idx="23">
                  <c:v>KIT</c:v>
                </c:pt>
                <c:pt idx="24">
                  <c:v>FRO</c:v>
                </c:pt>
                <c:pt idx="25">
                  <c:v>NUMND</c:v>
                </c:pt>
                <c:pt idx="26">
                  <c:v>FLYR</c:v>
                </c:pt>
                <c:pt idx="27">
                  <c:v>ELK</c:v>
                </c:pt>
                <c:pt idx="28">
                  <c:v>EQNR</c:v>
                </c:pt>
                <c:pt idx="29">
                  <c:v>PSKY</c:v>
                </c:pt>
                <c:pt idx="30">
                  <c:v>PHLY</c:v>
                </c:pt>
                <c:pt idx="31">
                  <c:v>PMG</c:v>
                </c:pt>
                <c:pt idx="32">
                  <c:v>VOW</c:v>
                </c:pt>
                <c:pt idx="33">
                  <c:v>BEAR OBX X3</c:v>
                </c:pt>
                <c:pt idx="34">
                  <c:v>KING</c:v>
                </c:pt>
                <c:pt idx="35">
                  <c:v>KYOTO</c:v>
                </c:pt>
                <c:pt idx="36">
                  <c:v>MGN</c:v>
                </c:pt>
                <c:pt idx="37">
                  <c:v>CIRCA</c:v>
                </c:pt>
                <c:pt idx="38">
                  <c:v>DNO</c:v>
                </c:pt>
                <c:pt idx="39">
                  <c:v>PSE</c:v>
                </c:pt>
                <c:pt idx="40">
                  <c:v>OTEC</c:v>
                </c:pt>
                <c:pt idx="41">
                  <c:v>KAHOT</c:v>
                </c:pt>
                <c:pt idx="42">
                  <c:v>NOD</c:v>
                </c:pt>
                <c:pt idx="43">
                  <c:v>SCATC</c:v>
                </c:pt>
                <c:pt idx="44">
                  <c:v>NCOD</c:v>
                </c:pt>
                <c:pt idx="45">
                  <c:v>SAGA</c:v>
                </c:pt>
                <c:pt idx="46">
                  <c:v>RANA</c:v>
                </c:pt>
                <c:pt idx="47">
                  <c:v>BWLPG</c:v>
                </c:pt>
                <c:pt idx="48">
                  <c:v>MPCC</c:v>
                </c:pt>
                <c:pt idx="49">
                  <c:v>BCS</c:v>
                </c:pt>
                <c:pt idx="50">
                  <c:v>NEL</c:v>
                </c:pt>
                <c:pt idx="51">
                  <c:v>INDCT</c:v>
                </c:pt>
              </c:strCache>
            </c:strRef>
          </c:cat>
          <c:val>
            <c:numRef>
              <c:f>'Pivot tables'!$C$3:$C$55</c:f>
              <c:numCache>
                <c:formatCode>_-"NOK"\ * #\ ##0_-;\-"NOK"\ * #\ ##0_-;_-"NOK"\ * "-"??_-;_-@_-</c:formatCode>
                <c:ptCount val="52"/>
                <c:pt idx="0">
                  <c:v>30007.235256448497</c:v>
                </c:pt>
                <c:pt idx="1">
                  <c:v>13205.778385772914</c:v>
                </c:pt>
                <c:pt idx="2">
                  <c:v>8719.543831168834</c:v>
                </c:pt>
                <c:pt idx="3">
                  <c:v>6881.1786270686434</c:v>
                </c:pt>
                <c:pt idx="4">
                  <c:v>4247.9097521192371</c:v>
                </c:pt>
                <c:pt idx="5">
                  <c:v>4006.4187863029556</c:v>
                </c:pt>
                <c:pt idx="6">
                  <c:v>2635.8338870431871</c:v>
                </c:pt>
                <c:pt idx="7">
                  <c:v>2468.6761675073403</c:v>
                </c:pt>
                <c:pt idx="8">
                  <c:v>1947.6647003303453</c:v>
                </c:pt>
                <c:pt idx="9">
                  <c:v>1507.9572801708814</c:v>
                </c:pt>
                <c:pt idx="10">
                  <c:v>1077.2712765957447</c:v>
                </c:pt>
                <c:pt idx="11">
                  <c:v>951.25587674159601</c:v>
                </c:pt>
                <c:pt idx="12">
                  <c:v>815.05417276720607</c:v>
                </c:pt>
                <c:pt idx="13">
                  <c:v>666.87581239356484</c:v>
                </c:pt>
                <c:pt idx="14">
                  <c:v>609.35255406380497</c:v>
                </c:pt>
                <c:pt idx="15">
                  <c:v>500.76390899967896</c:v>
                </c:pt>
                <c:pt idx="16">
                  <c:v>410.50063532401549</c:v>
                </c:pt>
                <c:pt idx="17">
                  <c:v>339.96235788765568</c:v>
                </c:pt>
                <c:pt idx="18">
                  <c:v>196.2154283464973</c:v>
                </c:pt>
                <c:pt idx="19">
                  <c:v>179.37534246575387</c:v>
                </c:pt>
                <c:pt idx="20">
                  <c:v>137.99063634626415</c:v>
                </c:pt>
                <c:pt idx="21">
                  <c:v>99.49333333333341</c:v>
                </c:pt>
                <c:pt idx="22">
                  <c:v>93.836520553721911</c:v>
                </c:pt>
                <c:pt idx="23">
                  <c:v>89.65524193548373</c:v>
                </c:pt>
                <c:pt idx="24">
                  <c:v>80.730920535010611</c:v>
                </c:pt>
                <c:pt idx="25">
                  <c:v>79.696969696969418</c:v>
                </c:pt>
                <c:pt idx="26">
                  <c:v>63.504680480801085</c:v>
                </c:pt>
                <c:pt idx="27">
                  <c:v>35.954354354359978</c:v>
                </c:pt>
                <c:pt idx="28">
                  <c:v>14.974073231749488</c:v>
                </c:pt>
                <c:pt idx="29">
                  <c:v>0</c:v>
                </c:pt>
                <c:pt idx="30">
                  <c:v>-2.9401574803148982</c:v>
                </c:pt>
                <c:pt idx="31">
                  <c:v>-16.91343963553555</c:v>
                </c:pt>
                <c:pt idx="32">
                  <c:v>-34.958378970425173</c:v>
                </c:pt>
                <c:pt idx="33">
                  <c:v>-40.63231514078997</c:v>
                </c:pt>
                <c:pt idx="34">
                  <c:v>-41.960767023661703</c:v>
                </c:pt>
                <c:pt idx="35">
                  <c:v>-42.309424798089537</c:v>
                </c:pt>
                <c:pt idx="36">
                  <c:v>-114.1260000000002</c:v>
                </c:pt>
                <c:pt idx="37">
                  <c:v>-209.64861294583969</c:v>
                </c:pt>
                <c:pt idx="38">
                  <c:v>-237.16245909303572</c:v>
                </c:pt>
                <c:pt idx="39">
                  <c:v>-239.19576719576608</c:v>
                </c:pt>
                <c:pt idx="40">
                  <c:v>-247.02933817884869</c:v>
                </c:pt>
                <c:pt idx="41">
                  <c:v>-257.93114819241646</c:v>
                </c:pt>
                <c:pt idx="42">
                  <c:v>-265.55461165048689</c:v>
                </c:pt>
                <c:pt idx="43">
                  <c:v>-312.26062391904765</c:v>
                </c:pt>
                <c:pt idx="44">
                  <c:v>-418.71290322580677</c:v>
                </c:pt>
                <c:pt idx="45">
                  <c:v>-503.15960784313756</c:v>
                </c:pt>
                <c:pt idx="46">
                  <c:v>-811.67848089894653</c:v>
                </c:pt>
                <c:pt idx="47">
                  <c:v>-822.37120266333829</c:v>
                </c:pt>
                <c:pt idx="48">
                  <c:v>-835.20750497017468</c:v>
                </c:pt>
                <c:pt idx="49">
                  <c:v>-1053.2195268512276</c:v>
                </c:pt>
                <c:pt idx="50">
                  <c:v>-1310.0337015899852</c:v>
                </c:pt>
                <c:pt idx="51">
                  <c:v>-1646.0934579439245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A544-985C-11FE615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25743"/>
        <c:axId val="1391627391"/>
      </c:barChart>
      <c:catAx>
        <c:axId val="13916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7391"/>
        <c:crosses val="autoZero"/>
        <c:auto val="1"/>
        <c:lblAlgn val="ctr"/>
        <c:lblOffset val="100"/>
        <c:noMultiLvlLbl val="0"/>
      </c:catAx>
      <c:valAx>
        <c:axId val="1391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133338</xdr:colOff>
      <xdr:row>1</xdr:row>
      <xdr:rowOff>0</xdr:rowOff>
    </xdr:from>
    <xdr:to>
      <xdr:col>11</xdr:col>
      <xdr:colOff>0</xdr:colOff>
      <xdr:row>20</xdr:row>
      <xdr:rowOff>1573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A9DC677-AFFA-AF1A-9460-482124A4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19</xdr:col>
      <xdr:colOff>7629</xdr:colOff>
      <xdr:row>34</xdr:row>
      <xdr:rowOff>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10DE3-7CDE-0D5F-6488-1181BE8E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20</xdr:row>
      <xdr:rowOff>1</xdr:rowOff>
    </xdr:from>
    <xdr:to>
      <xdr:col>15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F44DF-A803-D1F9-2995-875F08BD9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2E4BB-1E18-5354-2ACB-88147DCA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34</xdr:row>
      <xdr:rowOff>0</xdr:rowOff>
    </xdr:from>
    <xdr:to>
      <xdr:col>15</xdr:col>
      <xdr:colOff>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D1A01-00C2-71A3-62BF-DD007A25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</xdr:colOff>
      <xdr:row>33</xdr:row>
      <xdr:rowOff>196755</xdr:rowOff>
    </xdr:from>
    <xdr:to>
      <xdr:col>11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CC498-173A-AF49-8A2A-278253B1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</xdr:colOff>
      <xdr:row>34</xdr:row>
      <xdr:rowOff>1</xdr:rowOff>
    </xdr:from>
    <xdr:to>
      <xdr:col>23</xdr:col>
      <xdr:colOff>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D429A5-A82B-E843-8FFD-E1F344D5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819891</xdr:colOff>
      <xdr:row>19</xdr:row>
      <xdr:rowOff>195241</xdr:rowOff>
    </xdr:from>
    <xdr:to>
      <xdr:col>23</xdr:col>
      <xdr:colOff>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1D301-8A0A-BC40-BA0A-6ADD2451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23</xdr:col>
      <xdr:colOff>0</xdr:colOff>
      <xdr:row>20</xdr:row>
      <xdr:rowOff>1821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CB9CA1-44D0-6E4F-9177-4D67D3C6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20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42EBE-6682-3941-912F-5F055DA3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46</xdr:row>
      <xdr:rowOff>202658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9694BD8-1E64-148E-E699-CB62D5C3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r Ulrik Daae Bjørndal" refreshedDate="44914.906140046296" createdVersion="8" refreshedVersion="8" minRefreshableVersion="3" recordCount="103" xr:uid="{1236C8D0-B33D-5E4F-A655-0F5ED7B5D1C8}">
  <cacheSource type="worksheet">
    <worksheetSource name="Table1"/>
  </cacheSource>
  <cacheFields count="18">
    <cacheField name="Symbol" numFmtId="0">
      <sharedItems containsBlank="1" count="56">
        <s v="RECSI"/>
        <s v="GOD"/>
        <s v="OTEC"/>
        <s v="KAHOT"/>
        <s v="PHLY"/>
        <s v="AOW"/>
        <s v="KING"/>
        <s v="AKH"/>
        <s v="PROXI"/>
        <s v="IFISH"/>
        <s v="MPCC"/>
        <s v="NUMND"/>
        <s v="NEL"/>
        <s v="ACH"/>
        <s v="NCOD"/>
        <s v="RANA"/>
        <s v="INDCT"/>
        <s v="VOW"/>
        <s v="PNOR"/>
        <s v="PGS"/>
        <s v="FLYR"/>
        <s v="SCATC"/>
        <s v="KAL"/>
        <s v="PLT"/>
        <s v="NOD"/>
        <s v="KYOTO"/>
        <s v="PMG"/>
        <s v="PEXIP"/>
        <s v="PSE"/>
        <s v="ASA"/>
        <s v="XXL"/>
        <s v="ARGEO"/>
        <s v="AZT"/>
        <s v="KIT"/>
        <s v="HEX"/>
        <s v="PSKY"/>
        <s v="MPCES"/>
        <s v="ENSU"/>
        <s v="SAGA"/>
        <s v="BCS"/>
        <s v="BEAR OBX X3"/>
        <s v="CIRCA"/>
        <s v="FRO"/>
        <s v="AGLX"/>
        <s v="ELK"/>
        <s v="EQNR"/>
        <s v="DSRT"/>
        <s v="BWLPG"/>
        <s v="AKRBP"/>
        <s v="MGN"/>
        <s v="DNO"/>
        <s v="AFK"/>
        <m u="1"/>
        <s v="ADVT" u="1"/>
        <s v="EVO" u="1"/>
        <s v="PHO" u="1"/>
      </sharedItems>
    </cacheField>
    <cacheField name="Asset class" numFmtId="0">
      <sharedItems/>
    </cacheField>
    <cacheField name="Strategy" numFmtId="0">
      <sharedItems containsBlank="1" count="11">
        <s v="EMA/SMA"/>
        <s v="Fib levels"/>
        <s v="IPO"/>
        <s v="Double bottom"/>
        <s v="Golden cross"/>
        <s v="Long term trend reversal"/>
        <s v="News"/>
        <s v="Short term trend reversal"/>
        <s v="Share issues"/>
        <s v="RSI"/>
        <m u="1"/>
      </sharedItems>
    </cacheField>
    <cacheField name="Long/Short" numFmtId="14">
      <sharedItems/>
    </cacheField>
    <cacheField name="Date opened" numFmtId="14">
      <sharedItems containsSemiMixedTypes="0" containsNonDate="0" containsDate="1" containsString="0" minDate="2021-02-05T00:00:00" maxDate="2021-12-07T00:00:00"/>
    </cacheField>
    <cacheField name="Date closed" numFmtId="14">
      <sharedItems containsSemiMixedTypes="0" containsNonDate="0" containsDate="1" containsString="0" minDate="2021-02-09T00:00:00" maxDate="2021-12-10T00:00:00"/>
    </cacheField>
    <cacheField name="Position size" numFmtId="1">
      <sharedItems containsSemiMixedTypes="0" containsString="0" containsNumber="1" containsInteger="1" minValue="-2000" maxValue="25000"/>
    </cacheField>
    <cacheField name="Entry price" numFmtId="44">
      <sharedItems containsSemiMixedTypes="0" containsString="0" containsNumber="1" minValue="0.75" maxValue="376"/>
    </cacheField>
    <cacheField name="Entry commission" numFmtId="164">
      <sharedItems containsSemiMixedTypes="0" containsString="0" containsNumber="1" containsInteger="1" minValue="15" maxValue="89"/>
    </cacheField>
    <cacheField name="Exit price" numFmtId="44">
      <sharedItems containsSemiMixedTypes="0" containsString="0" containsNumber="1" minValue="0.76" maxValue="403"/>
    </cacheField>
    <cacheField name="Exit commission" numFmtId="164">
      <sharedItems containsSemiMixedTypes="0" containsString="0" containsNumber="1" containsInteger="1" minValue="15" maxValue="89"/>
    </cacheField>
    <cacheField name="PL" numFmtId="164">
      <sharedItems containsSemiMixedTypes="0" containsString="0" containsNumber="1" minValue="-1697.1913043478255" maxValue="16891.613924050635"/>
    </cacheField>
    <cacheField name="PL% on trade" numFmtId="10">
      <sharedItems containsSemiMixedTypes="0" containsString="0" containsNumber="1" minValue="-0.10280373831775698" maxValue="0.54963357761492349"/>
    </cacheField>
    <cacheField name="Total Return" numFmtId="0">
      <sharedItems containsSemiMixedTypes="0" containsString="0" containsNumber="1" minValue="-1211.5892736696037" maxValue="72607.561339775231"/>
    </cacheField>
    <cacheField name="Total Return%" numFmtId="165">
      <sharedItems containsSemiMixedTypes="0" containsString="0" containsNumber="1" minValue="-1.6154523648928051E-2" maxValue="0.96810081786366975"/>
    </cacheField>
    <cacheField name="Notes" numFmtId="0">
      <sharedItems/>
    </cacheField>
    <cacheField name="Sum commissions" numFmtId="0" formula="'Entry commission'+'Exit commission'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Stock"/>
    <x v="0"/>
    <s v="Long"/>
    <d v="2021-02-05T00:00:00"/>
    <d v="2021-02-09T00:00:00"/>
    <n v="5000"/>
    <n v="19.006"/>
    <n v="19"/>
    <n v="19.059999999999999"/>
    <n v="19"/>
    <n v="269.89203409448891"/>
    <n v="2.8412080395663732E-3"/>
    <n v="269.89203409448891"/>
    <n v="3.5985604545931854E-3"/>
    <s v="n/a"/>
  </r>
  <r>
    <x v="0"/>
    <s v="Stock"/>
    <x v="1"/>
    <s v="Long"/>
    <d v="2021-02-05T00:00:00"/>
    <d v="2021-02-09T00:00:00"/>
    <n v="5900"/>
    <n v="18.762711864406779"/>
    <n v="19"/>
    <n v="18.73"/>
    <n v="19"/>
    <n v="-192.93374887081279"/>
    <n v="-1.7434507678409281E-3"/>
    <n v="76.958285223676114"/>
    <n v="1.0261104696490148E-3"/>
    <s v="n/a"/>
  </r>
  <r>
    <x v="1"/>
    <s v="Stock"/>
    <x v="2"/>
    <s v="Long"/>
    <d v="2021-02-09T00:00:00"/>
    <d v="2021-02-11T00:00:00"/>
    <n v="1000"/>
    <n v="10.56"/>
    <n v="19"/>
    <n v="10.92"/>
    <n v="19"/>
    <n v="358.70454545454487"/>
    <n v="3.4090909090909033E-2"/>
    <n v="435.66283067822098"/>
    <n v="5.8088377423762801E-3"/>
    <s v="n/a"/>
  </r>
  <r>
    <x v="2"/>
    <s v="Stock"/>
    <x v="0"/>
    <s v="Long"/>
    <d v="2021-02-09T00:00:00"/>
    <d v="2021-02-11T00:00:00"/>
    <n v="1000"/>
    <n v="31.25"/>
    <n v="19"/>
    <n v="31.3"/>
    <n v="19"/>
    <n v="49.93920000000071"/>
    <n v="1.6000000000000228E-3"/>
    <n v="485.60203067822169"/>
    <n v="6.474693742376289E-3"/>
    <s v="n/a"/>
  </r>
  <r>
    <x v="0"/>
    <s v="Stock"/>
    <x v="3"/>
    <s v="Long"/>
    <d v="2021-02-09T00:00:00"/>
    <d v="2021-02-11T00:00:00"/>
    <n v="1000"/>
    <n v="23"/>
    <n v="19"/>
    <n v="21.3"/>
    <n v="19"/>
    <n v="-1697.1913043478255"/>
    <n v="-7.3913043478260845E-2"/>
    <n v="-1211.5892736696037"/>
    <n v="-1.6154523648928051E-2"/>
    <s v="n/a"/>
  </r>
  <r>
    <x v="3"/>
    <s v="Stock"/>
    <x v="4"/>
    <s v="Long"/>
    <d v="2021-02-10T00:00:00"/>
    <d v="2021-02-12T00:00:00"/>
    <n v="555"/>
    <n v="97.75"/>
    <n v="19"/>
    <n v="98"/>
    <n v="19"/>
    <n v="138.65281329923275"/>
    <n v="2.5575447570332483E-3"/>
    <n v="-1072.9364603703709"/>
    <n v="-1.4305819471604945E-2"/>
    <s v="n/a"/>
  </r>
  <r>
    <x v="4"/>
    <s v="Stock"/>
    <x v="4"/>
    <s v="Long"/>
    <d v="2021-02-10T00:00:00"/>
    <d v="2021-02-12T00:00:00"/>
    <n v="300"/>
    <n v="6.35"/>
    <n v="19"/>
    <n v="6.34"/>
    <n v="19"/>
    <n v="-2.9401574803148982"/>
    <n v="-1.5748031496062658E-3"/>
    <n v="-1075.8766178506858"/>
    <n v="-1.4345021571342476E-2"/>
    <s v="n/a"/>
  </r>
  <r>
    <x v="5"/>
    <s v="Stock"/>
    <x v="5"/>
    <s v="Long"/>
    <d v="2021-02-11T00:00:00"/>
    <d v="2021-02-15T00:00:00"/>
    <n v="1000"/>
    <n v="6.5577901430842607"/>
    <n v="19"/>
    <n v="7.03"/>
    <n v="19"/>
    <n v="469.47357317208827"/>
    <n v="7.2007466938191739E-2"/>
    <n v="-606.40304467859755"/>
    <n v="-8.0853739290479669E-3"/>
    <s v="n/a"/>
  </r>
  <r>
    <x v="6"/>
    <s v="Stock"/>
    <x v="0"/>
    <s v="Long"/>
    <d v="2021-02-11T00:00:00"/>
    <d v="2021-02-15T00:00:00"/>
    <n v="1000"/>
    <n v="24.4222"/>
    <n v="15"/>
    <n v="24.5"/>
    <n v="15"/>
    <n v="77.704431214222993"/>
    <n v="3.1856261925624994E-3"/>
    <n v="-528.6986134643746"/>
    <n v="-7.0493148461916611E-3"/>
    <s v="n/a"/>
  </r>
  <r>
    <x v="7"/>
    <s v="Stock"/>
    <x v="2"/>
    <s v="Long"/>
    <d v="2021-02-12T00:00:00"/>
    <d v="2021-02-16T00:00:00"/>
    <n v="245"/>
    <n v="45.090499999999999"/>
    <n v="15"/>
    <n v="47.14"/>
    <n v="15"/>
    <n v="500.76390899967896"/>
    <n v="4.5453033344052561E-2"/>
    <n v="-27.934704464695642"/>
    <n v="-3.7246272619594187E-4"/>
    <s v="n/a"/>
  </r>
  <r>
    <x v="8"/>
    <s v="Stock"/>
    <x v="3"/>
    <s v="Long"/>
    <d v="2021-02-12T00:00:00"/>
    <d v="2021-02-16T00:00:00"/>
    <n v="1000"/>
    <n v="7.7510000000000003"/>
    <n v="19"/>
    <n v="8"/>
    <n v="19"/>
    <n v="247.77925428976872"/>
    <n v="3.2124887111340428E-2"/>
    <n v="219.84454982507307"/>
    <n v="2.9312606643343078E-3"/>
    <s v="n/a"/>
  </r>
  <r>
    <x v="9"/>
    <s v="Stock"/>
    <x v="4"/>
    <s v="Long"/>
    <d v="2021-02-15T00:00:00"/>
    <d v="2021-02-17T00:00:00"/>
    <n v="325"/>
    <n v="43.6"/>
    <n v="19"/>
    <n v="46.1"/>
    <n v="19"/>
    <n v="810.32110091743118"/>
    <n v="5.73394495412844E-2"/>
    <n v="1030.1656507425043"/>
    <n v="1.3735542009900058E-2"/>
    <s v="n/a"/>
  </r>
  <r>
    <x v="10"/>
    <s v="Stock"/>
    <x v="4"/>
    <s v="Long"/>
    <d v="2021-03-01T00:00:00"/>
    <d v="2021-03-03T00:00:00"/>
    <n v="2000"/>
    <n v="25.15"/>
    <n v="15"/>
    <n v="24.8"/>
    <n v="15"/>
    <n v="-699.58250497017468"/>
    <n v="-1.3916500994035701E-2"/>
    <n v="330.58314577232966"/>
    <n v="4.4077752769643951E-3"/>
    <s v="n/a"/>
  </r>
  <r>
    <x v="8"/>
    <s v="Stock"/>
    <x v="5"/>
    <s v="Long"/>
    <d v="2021-03-02T00:00:00"/>
    <d v="2021-03-04T00:00:00"/>
    <n v="1000"/>
    <n v="8.15"/>
    <n v="15"/>
    <n v="8.6199999999999992"/>
    <n v="15"/>
    <n v="468.26993865030562"/>
    <n v="5.7668711656441579E-2"/>
    <n v="798.85308442263522"/>
    <n v="1.0651374458968469E-2"/>
    <s v="n/a"/>
  </r>
  <r>
    <x v="5"/>
    <s v="Stock"/>
    <x v="2"/>
    <s v="Long"/>
    <d v="2021-03-04T00:00:00"/>
    <d v="2021-03-09T00:00:00"/>
    <n v="7000"/>
    <n v="6.28"/>
    <n v="19"/>
    <n v="6.3"/>
    <n v="19"/>
    <n v="139.87898089171676"/>
    <n v="3.1847133757961104E-3"/>
    <n v="938.73206531435198"/>
    <n v="1.2516427537524693E-2"/>
    <s v="n/a"/>
  </r>
  <r>
    <x v="11"/>
    <s v="Stock"/>
    <x v="6"/>
    <s v="Long"/>
    <d v="2021-03-05T00:00:00"/>
    <d v="2021-03-09T00:00:00"/>
    <n v="200"/>
    <n v="39.6"/>
    <n v="15"/>
    <n v="40"/>
    <n v="15"/>
    <n v="79.696969696969418"/>
    <n v="1.0101010101010065E-2"/>
    <n v="1018.4290350113214"/>
    <n v="1.3579053800150951E-2"/>
    <s v="n/a"/>
  </r>
  <r>
    <x v="8"/>
    <s v="Stock"/>
    <x v="7"/>
    <s v="Long"/>
    <d v="2021-03-10T00:00:00"/>
    <d v="2021-03-12T00:00:00"/>
    <n v="1500"/>
    <n v="7.8917000000000002"/>
    <n v="19"/>
    <n v="8.19"/>
    <n v="19"/>
    <n v="446.01363014306071"/>
    <n v="3.7799206761534185E-2"/>
    <n v="1464.4426651543822"/>
    <n v="1.952590220205843E-2"/>
    <s v="n/a"/>
  </r>
  <r>
    <x v="12"/>
    <s v="Stock"/>
    <x v="7"/>
    <s v="Long"/>
    <d v="2021-03-10T00:00:00"/>
    <d v="2021-03-12T00:00:00"/>
    <n v="1800"/>
    <n v="15.9"/>
    <n v="19"/>
    <n v="15.93"/>
    <n v="19"/>
    <n v="53.928301886791303"/>
    <n v="1.8867924528301484E-3"/>
    <n v="1518.3709670411736"/>
    <n v="2.0244946227215649E-2"/>
    <s v="n/a"/>
  </r>
  <r>
    <x v="12"/>
    <s v="Stock"/>
    <x v="0"/>
    <s v="Long"/>
    <d v="2021-03-10T00:00:00"/>
    <d v="2021-03-12T00:00:00"/>
    <n v="4800"/>
    <n v="15.9343"/>
    <n v="19"/>
    <n v="15.65"/>
    <n v="19"/>
    <n v="-1363.9620034767765"/>
    <n v="-1.7842013769039117E-2"/>
    <n v="154.40896356439703"/>
    <n v="2.0587861808586271E-3"/>
    <s v="n/a"/>
  </r>
  <r>
    <x v="13"/>
    <s v="Stock"/>
    <x v="1"/>
    <s v="Long"/>
    <d v="2021-03-11T00:00:00"/>
    <d v="2021-03-15T00:00:00"/>
    <n v="3400"/>
    <n v="7.31"/>
    <n v="19"/>
    <n v="11.2"/>
    <n v="19"/>
    <n v="13205.778385772914"/>
    <n v="0.53214774281805743"/>
    <n v="13360.187349337311"/>
    <n v="0.17813583132449748"/>
    <s v="n/a"/>
  </r>
  <r>
    <x v="14"/>
    <s v="Stock"/>
    <x v="3"/>
    <s v="Long"/>
    <d v="2021-03-18T00:00:00"/>
    <d v="2021-03-22T00:00:00"/>
    <n v="100"/>
    <n v="124"/>
    <n v="19"/>
    <n v="119.8"/>
    <n v="19"/>
    <n v="-418.71290322580677"/>
    <n v="-3.3870967741935508E-2"/>
    <n v="12941.474446111504"/>
    <n v="0.17255299261482004"/>
    <s v="n/a"/>
  </r>
  <r>
    <x v="0"/>
    <s v="Stock"/>
    <x v="6"/>
    <s v="Long"/>
    <d v="2021-03-22T00:00:00"/>
    <d v="2021-03-24T00:00:00"/>
    <n v="2000"/>
    <n v="19"/>
    <n v="15"/>
    <n v="18.98"/>
    <n v="15"/>
    <n v="-39.968421052630731"/>
    <n v="-1.0526315789473461E-3"/>
    <n v="12901.506025058874"/>
    <n v="0.17202008033411831"/>
    <s v="n/a"/>
  </r>
  <r>
    <x v="15"/>
    <s v="Stock"/>
    <x v="6"/>
    <s v="Long"/>
    <d v="2021-03-22T00:00:00"/>
    <d v="2021-03-24T00:00:00"/>
    <n v="484"/>
    <n v="61.49"/>
    <n v="19"/>
    <n v="59.78"/>
    <n v="19"/>
    <n v="-826.58324280370834"/>
    <n v="-2.7809399902423173E-2"/>
    <n v="12074.922782255166"/>
    <n v="0.16099897043006889"/>
    <s v="n/a"/>
  </r>
  <r>
    <x v="16"/>
    <s v="Stock"/>
    <x v="8"/>
    <s v="Long"/>
    <d v="2021-03-22T00:00:00"/>
    <d v="2021-03-24T00:00:00"/>
    <n v="1500"/>
    <n v="10.7"/>
    <n v="19"/>
    <n v="9.6"/>
    <n v="19"/>
    <n v="-1646.0934579439245"/>
    <n v="-0.10280373831775698"/>
    <n v="10428.829324311242"/>
    <n v="0.13905105765748324"/>
    <s v="n/a"/>
  </r>
  <r>
    <x v="15"/>
    <s v="Stock"/>
    <x v="4"/>
    <s v="Long"/>
    <d v="2021-03-23T00:00:00"/>
    <d v="2021-03-25T00:00:00"/>
    <n v="100"/>
    <n v="59.85"/>
    <n v="19"/>
    <n v="60"/>
    <n v="19"/>
    <n v="14.904761904761761"/>
    <n v="2.506265664160377E-3"/>
    <n v="10443.734086216004"/>
    <n v="0.13924978781621339"/>
    <s v="n/a"/>
  </r>
  <r>
    <x v="0"/>
    <s v="Stock"/>
    <x v="0"/>
    <s v="Long"/>
    <d v="2021-03-24T00:00:00"/>
    <d v="2021-03-26T00:00:00"/>
    <n v="1666"/>
    <n v="19.100000000000001"/>
    <n v="19"/>
    <n v="19.2"/>
    <n v="19"/>
    <n v="166.40104712041531"/>
    <n v="5.2356020942407261E-3"/>
    <n v="10610.135133336418"/>
    <n v="0.14146846844448557"/>
    <s v="n/a"/>
  </r>
  <r>
    <x v="17"/>
    <s v="Stock"/>
    <x v="4"/>
    <s v="Long"/>
    <d v="2021-03-24T00:00:00"/>
    <d v="2021-03-26T00:00:00"/>
    <n v="700"/>
    <n v="45.65"/>
    <n v="19"/>
    <n v="45.6"/>
    <n v="19"/>
    <n v="-34.958378970425173"/>
    <n v="-1.0952902519166957E-3"/>
    <n v="10575.176754365993"/>
    <n v="0.1410023567248799"/>
    <s v="n/a"/>
  </r>
  <r>
    <x v="8"/>
    <s v="Stock"/>
    <x v="9"/>
    <s v="Long"/>
    <d v="2021-03-24T00:00:00"/>
    <d v="2021-03-26T00:00:00"/>
    <n v="750"/>
    <n v="9.4"/>
    <n v="19"/>
    <n v="8.6"/>
    <n v="19"/>
    <n v="-596.76595744680901"/>
    <n v="-8.5106382978723472E-2"/>
    <n v="9978.4107969191846"/>
    <n v="0.1330454772922558"/>
    <s v="n/a"/>
  </r>
  <r>
    <x v="8"/>
    <s v="Stock"/>
    <x v="4"/>
    <s v="Short"/>
    <d v="2021-03-26T00:00:00"/>
    <d v="2021-03-30T00:00:00"/>
    <n v="-2000"/>
    <n v="12"/>
    <n v="19"/>
    <n v="11.31"/>
    <n v="19"/>
    <n v="1380"/>
    <n v="5.7499999999999961E-2"/>
    <n v="11358.410796919185"/>
    <n v="0.1514454772922558"/>
    <s v="n/a"/>
  </r>
  <r>
    <x v="8"/>
    <s v="Stock"/>
    <x v="7"/>
    <s v="Long"/>
    <d v="2021-03-26T00:00:00"/>
    <d v="2021-03-30T00:00:00"/>
    <n v="1000"/>
    <n v="10.1524"/>
    <n v="19"/>
    <n v="10.3"/>
    <n v="19"/>
    <n v="147.04753949805033"/>
    <n v="1.4538434261849476E-2"/>
    <n v="11505.458336417234"/>
    <n v="0.1534061111522298"/>
    <s v="n/a"/>
  </r>
  <r>
    <x v="8"/>
    <s v="Stock"/>
    <x v="1"/>
    <s v="Long"/>
    <d v="2021-03-31T00:00:00"/>
    <d v="2021-04-07T00:00:00"/>
    <n v="800"/>
    <n v="12.032"/>
    <n v="19"/>
    <n v="12.13"/>
    <n v="19"/>
    <n v="78.0904920212772"/>
    <n v="8.1449468085107012E-3"/>
    <n v="11583.548828438512"/>
    <n v="0.15444731771251349"/>
    <s v="n/a"/>
  </r>
  <r>
    <x v="0"/>
    <s v="Stock"/>
    <x v="8"/>
    <s v="Long"/>
    <d v="2021-04-06T00:00:00"/>
    <d v="2021-04-08T00:00:00"/>
    <n v="3500"/>
    <n v="17.899999999999999"/>
    <n v="19"/>
    <n v="19.399999999999999"/>
    <n v="19"/>
    <n v="5246.8156424581002"/>
    <n v="8.3798882681564255E-2"/>
    <n v="16830.364470896613"/>
    <n v="0.22440485961195483"/>
    <s v="n/a"/>
  </r>
  <r>
    <x v="18"/>
    <s v="Stock"/>
    <x v="6"/>
    <s v="Long"/>
    <d v="2021-04-06T00:00:00"/>
    <d v="2021-04-08T00:00:00"/>
    <n v="25000"/>
    <n v="1.2"/>
    <n v="19"/>
    <n v="1.39"/>
    <n v="19"/>
    <n v="4743.9833333333327"/>
    <n v="0.1583333333333333"/>
    <n v="21574.347804229947"/>
    <n v="0.28765797072306598"/>
    <s v="n/a"/>
  </r>
  <r>
    <x v="19"/>
    <s v="Stock"/>
    <x v="0"/>
    <s v="Long"/>
    <d v="2021-04-06T00:00:00"/>
    <d v="2021-04-08T00:00:00"/>
    <n v="800"/>
    <n v="40.98"/>
    <n v="19"/>
    <n v="42"/>
    <n v="19"/>
    <n v="815.05417276720607"/>
    <n v="2.4890190336749711E-2"/>
    <n v="22389.401976997153"/>
    <n v="0.29852535969329536"/>
    <s v="n/a"/>
  </r>
  <r>
    <x v="20"/>
    <s v="Stock"/>
    <x v="4"/>
    <s v="Long"/>
    <d v="2021-04-06T00:00:00"/>
    <d v="2021-04-08T00:00:00"/>
    <n v="4000"/>
    <n v="5.5274999999999999"/>
    <n v="19"/>
    <n v="5.7"/>
    <n v="19"/>
    <n v="688.81411126187379"/>
    <n v="3.1207598371777535E-2"/>
    <n v="23078.216088259025"/>
    <n v="0.30770954784345367"/>
    <s v="n/a"/>
  </r>
  <r>
    <x v="21"/>
    <s v="Stock"/>
    <x v="4"/>
    <s v="Long"/>
    <d v="2021-04-06T00:00:00"/>
    <d v="2021-04-08T00:00:00"/>
    <n v="119"/>
    <n v="170.05"/>
    <n v="15"/>
    <n v="172.23"/>
    <n v="15"/>
    <n v="259.03540723316416"/>
    <n v="1.2819758894442684E-2"/>
    <n v="23337.25149549219"/>
    <n v="0.31116335327322919"/>
    <s v="n/a"/>
  </r>
  <r>
    <x v="22"/>
    <s v="Stock"/>
    <x v="6"/>
    <s v="Long"/>
    <d v="2021-04-06T00:00:00"/>
    <d v="2021-04-08T00:00:00"/>
    <n v="300"/>
    <n v="36.5"/>
    <n v="19"/>
    <n v="37.1"/>
    <n v="19"/>
    <n v="179.37534246575387"/>
    <n v="1.6438356164383602E-2"/>
    <n v="23516.626837957945"/>
    <n v="0.31355502450610595"/>
    <s v="n/a"/>
  </r>
  <r>
    <x v="3"/>
    <s v="Stock"/>
    <x v="4"/>
    <s v="Long"/>
    <d v="2021-04-06T00:00:00"/>
    <d v="2021-04-08T00:00:00"/>
    <n v="200"/>
    <n v="124.2"/>
    <n v="19"/>
    <n v="122.4"/>
    <n v="19"/>
    <n v="-359.4492753623183"/>
    <n v="-1.4492753623188383E-2"/>
    <n v="23157.177562595625"/>
    <n v="0.308762367501275"/>
    <s v="n/a"/>
  </r>
  <r>
    <x v="23"/>
    <s v="Stock"/>
    <x v="7"/>
    <s v="Long"/>
    <d v="2021-04-07T00:00:00"/>
    <d v="2021-04-09T00:00:00"/>
    <n v="44"/>
    <n v="216.52269999999999"/>
    <n v="19"/>
    <n v="221"/>
    <n v="19"/>
    <n v="196.2154283464973"/>
    <n v="2.067820140798177E-2"/>
    <n v="23353.392990942124"/>
    <n v="0.31137857321256163"/>
    <s v="n/a"/>
  </r>
  <r>
    <x v="3"/>
    <s v="Stock"/>
    <x v="0"/>
    <s v="Long"/>
    <d v="2021-04-07T00:00:00"/>
    <d v="2021-04-09T00:00:00"/>
    <n v="57"/>
    <n v="124.255"/>
    <n v="19"/>
    <n v="123.6"/>
    <n v="19"/>
    <n v="-37.134686129330881"/>
    <n v="-5.2714176491891768E-3"/>
    <n v="23316.258304812793"/>
    <n v="0.31088344406417057"/>
    <s v="n/a"/>
  </r>
  <r>
    <x v="2"/>
    <s v="Stock"/>
    <x v="0"/>
    <s v="Long"/>
    <d v="2021-04-07T00:00:00"/>
    <d v="2021-04-09T00:00:00"/>
    <n v="440"/>
    <n v="31.6"/>
    <n v="19"/>
    <n v="31.15"/>
    <n v="19"/>
    <n v="-197.45886075949491"/>
    <n v="-1.4240506329114014E-2"/>
    <n v="23118.799444053297"/>
    <n v="0.30825065925404393"/>
    <s v="n/a"/>
  </r>
  <r>
    <x v="24"/>
    <s v="Stock"/>
    <x v="4"/>
    <s v="Long"/>
    <d v="2021-04-07T00:00:00"/>
    <d v="2021-04-09T00:00:00"/>
    <n v="65"/>
    <n v="164.8"/>
    <n v="19"/>
    <n v="160.69999999999999"/>
    <n v="19"/>
    <n v="-265.55461165048689"/>
    <n v="-2.4878640776699164E-2"/>
    <n v="22853.244832402808"/>
    <n v="0.30470993109870409"/>
    <s v="n/a"/>
  </r>
  <r>
    <x v="2"/>
    <s v="Stock"/>
    <x v="2"/>
    <s v="Long"/>
    <d v="2021-04-08T00:00:00"/>
    <d v="2021-04-12T00:00:00"/>
    <n v="250"/>
    <n v="31"/>
    <n v="19"/>
    <n v="30.6"/>
    <n v="19"/>
    <n v="-99.509677419354489"/>
    <n v="-1.2903225806451568E-2"/>
    <n v="22753.735154983453"/>
    <n v="0.30338313539977935"/>
    <s v="n/a"/>
  </r>
  <r>
    <x v="6"/>
    <s v="Stock"/>
    <x v="0"/>
    <s v="Long"/>
    <d v="2021-04-09T00:00:00"/>
    <d v="2021-04-13T00:00:00"/>
    <n v="500"/>
    <n v="27.24"/>
    <n v="19"/>
    <n v="27"/>
    <n v="19"/>
    <n v="-119.6651982378847"/>
    <n v="-8.8105726872246132E-3"/>
    <n v="22634.069956745567"/>
    <n v="0.30178759942327421"/>
    <s v="n/a"/>
  </r>
  <r>
    <x v="25"/>
    <s v="Stock"/>
    <x v="9"/>
    <s v="Long"/>
    <d v="2021-04-12T00:00:00"/>
    <d v="2021-04-14T00:00:00"/>
    <n v="270"/>
    <n v="23.22"/>
    <n v="19"/>
    <n v="24.32"/>
    <n v="19"/>
    <n v="295.19982773471185"/>
    <n v="4.7372954349698598E-2"/>
    <n v="22929.269784480279"/>
    <n v="0.30572359712640373"/>
    <s v="n/a"/>
  </r>
  <r>
    <x v="26"/>
    <s v="Stock"/>
    <x v="8"/>
    <s v="Long"/>
    <d v="2021-04-12T00:00:00"/>
    <d v="2021-04-14T00:00:00"/>
    <n v="340"/>
    <n v="21.95"/>
    <n v="19"/>
    <n v="21.9"/>
    <n v="19"/>
    <n v="-16.91343963553555"/>
    <n v="-2.2779043280182557E-3"/>
    <n v="22912.356344844742"/>
    <n v="0.30549808459792988"/>
    <s v="n/a"/>
  </r>
  <r>
    <x v="0"/>
    <s v="Stock"/>
    <x v="6"/>
    <s v="Long"/>
    <d v="2021-04-13T00:00:00"/>
    <d v="2021-04-15T00:00:00"/>
    <n v="2615"/>
    <n v="17.899999999999999"/>
    <n v="19"/>
    <n v="21.64"/>
    <n v="19"/>
    <n v="9772.1603351955364"/>
    <n v="0.20893854748603366"/>
    <n v="32684.51668004028"/>
    <n v="0.43579355573387041"/>
    <s v="n/a"/>
  </r>
  <r>
    <x v="27"/>
    <s v="Stock"/>
    <x v="0"/>
    <s v="Long"/>
    <d v="2021-04-13T00:00:00"/>
    <d v="2021-04-15T00:00:00"/>
    <n v="90"/>
    <n v="40.54"/>
    <n v="19"/>
    <n v="41.4"/>
    <n v="19"/>
    <n v="76.593882585101071"/>
    <n v="2.1213616181549072E-2"/>
    <n v="32761.110562625381"/>
    <n v="0.43681480750167173"/>
    <s v="n/a"/>
  </r>
  <r>
    <x v="28"/>
    <s v="Stock"/>
    <x v="9"/>
    <s v="Long"/>
    <d v="2021-04-13T00:00:00"/>
    <d v="2021-04-15T00:00:00"/>
    <n v="1500"/>
    <n v="7.56"/>
    <n v="19"/>
    <n v="7.4"/>
    <n v="19"/>
    <n v="-239.19576719576608"/>
    <n v="-2.1164021164021066E-2"/>
    <n v="32521.914795429617"/>
    <n v="0.43362553060572823"/>
    <s v="n/a"/>
  </r>
  <r>
    <x v="29"/>
    <s v="Stock"/>
    <x v="6"/>
    <s v="Long"/>
    <d v="2021-04-15T00:00:00"/>
    <d v="2021-04-19T00:00:00"/>
    <n v="125"/>
    <n v="94.646888888888881"/>
    <n v="19"/>
    <n v="95.4"/>
    <n v="19"/>
    <n v="93.836520553721911"/>
    <n v="7.957061451805799E-3"/>
    <n v="32615.75131598334"/>
    <n v="0.43487668421311121"/>
    <s v="n/a"/>
  </r>
  <r>
    <x v="8"/>
    <s v="Stock"/>
    <x v="3"/>
    <s v="Long"/>
    <d v="2021-04-15T00:00:00"/>
    <d v="2021-04-19T00:00:00"/>
    <n v="250"/>
    <n v="11.711"/>
    <n v="89"/>
    <n v="12"/>
    <n v="89"/>
    <n v="67.857377679105042"/>
    <n v="2.4677653488173485E-2"/>
    <n v="32683.608693662445"/>
    <n v="0.43578144924883261"/>
    <s v="n/a"/>
  </r>
  <r>
    <x v="8"/>
    <s v="Stock"/>
    <x v="2"/>
    <s v="Long"/>
    <d v="2021-04-20T00:00:00"/>
    <d v="2021-04-22T00:00:00"/>
    <n v="1900"/>
    <n v="12.47"/>
    <n v="19"/>
    <n v="12.18"/>
    <n v="19"/>
    <n v="-550.11627906976912"/>
    <n v="-2.3255813953488445E-2"/>
    <n v="32133.492414592674"/>
    <n v="0.42844656552790233"/>
    <s v="n/a"/>
  </r>
  <r>
    <x v="30"/>
    <s v="Stock"/>
    <x v="0"/>
    <s v="Long"/>
    <d v="2021-04-23T00:00:00"/>
    <d v="2021-04-27T00:00:00"/>
    <n v="2000"/>
    <n v="16.667999999999999"/>
    <n v="19"/>
    <n v="17.14"/>
    <n v="19"/>
    <n v="942.9239260859157"/>
    <n v="2.8317734581233579E-2"/>
    <n v="33076.416340678588"/>
    <n v="0.4410188845423812"/>
    <s v="n/a"/>
  </r>
  <r>
    <x v="25"/>
    <s v="Stock"/>
    <x v="4"/>
    <s v="Long"/>
    <d v="2021-04-26T00:00:00"/>
    <d v="2021-04-28T00:00:00"/>
    <n v="100"/>
    <n v="48.994999999999997"/>
    <n v="19"/>
    <n v="48.62"/>
    <n v="19"/>
    <n v="-37.209153995305648"/>
    <n v="-7.6538422287988576E-3"/>
    <n v="33039.207186683285"/>
    <n v="0.44052276248911049"/>
    <s v="n/a"/>
  </r>
  <r>
    <x v="31"/>
    <s v="Stock"/>
    <x v="8"/>
    <s v="Long"/>
    <d v="2021-04-26T00:00:00"/>
    <d v="2021-04-28T00:00:00"/>
    <n v="1000"/>
    <n v="8.84"/>
    <n v="19"/>
    <n v="8.33"/>
    <n v="19"/>
    <n v="-507.80769230769209"/>
    <n v="-5.7692307692307668E-2"/>
    <n v="32531.399494375593"/>
    <n v="0.43375199325834124"/>
    <s v="n/a"/>
  </r>
  <r>
    <x v="21"/>
    <s v="Stock"/>
    <x v="9"/>
    <s v="Long"/>
    <d v="2021-04-30T00:00:00"/>
    <d v="2021-05-04T00:00:00"/>
    <n v="252"/>
    <n v="242.1"/>
    <n v="19"/>
    <n v="240.26"/>
    <n v="19"/>
    <n v="-463.39119372160349"/>
    <n v="-7.6001652209830789E-3"/>
    <n v="32068.00830065399"/>
    <n v="0.42757344400871988"/>
    <s v="n/a"/>
  </r>
  <r>
    <x v="8"/>
    <s v="Stock"/>
    <x v="3"/>
    <s v="Long"/>
    <d v="2021-05-31T00:00:00"/>
    <d v="2021-06-02T00:00:00"/>
    <n v="1000"/>
    <n v="11.5"/>
    <n v="19"/>
    <n v="13.6"/>
    <n v="19"/>
    <n v="2093.0608695652172"/>
    <n v="0.18260869565217389"/>
    <n v="34161.069170219205"/>
    <n v="0.45548092226958942"/>
    <s v="n/a"/>
  </r>
  <r>
    <x v="20"/>
    <s v="Stock"/>
    <x v="8"/>
    <s v="Long"/>
    <d v="2021-06-24T00:00:00"/>
    <d v="2021-06-28T00:00:00"/>
    <n v="4000"/>
    <n v="5.4565999999999999"/>
    <n v="19"/>
    <n v="5.3"/>
    <n v="19"/>
    <n v="-625.30943078107271"/>
    <n v="-2.8699189971777311E-2"/>
    <n v="33535.75973943813"/>
    <n v="0.44714346319250842"/>
    <s v="n/a"/>
  </r>
  <r>
    <x v="8"/>
    <s v="Stock"/>
    <x v="2"/>
    <s v="Long"/>
    <d v="2021-06-28T00:00:00"/>
    <d v="2021-06-30T00:00:00"/>
    <n v="1000"/>
    <n v="14.68"/>
    <n v="19"/>
    <n v="16.57"/>
    <n v="19"/>
    <n v="1885.1076294277934"/>
    <n v="0.12874659400544963"/>
    <n v="35420.867368865926"/>
    <n v="0.47227823158487903"/>
    <s v="n/a"/>
  </r>
  <r>
    <x v="30"/>
    <s v="Stock"/>
    <x v="4"/>
    <s v="Long"/>
    <d v="2021-06-29T00:00:00"/>
    <d v="2021-07-01T00:00:00"/>
    <n v="1900"/>
    <n v="18.32"/>
    <n v="19"/>
    <n v="18.39"/>
    <n v="19"/>
    <n v="132.85480349345031"/>
    <n v="3.8209606986899717E-3"/>
    <n v="35553.722172359376"/>
    <n v="0.47404962896479169"/>
    <s v="n/a"/>
  </r>
  <r>
    <x v="18"/>
    <s v="Stock"/>
    <x v="0"/>
    <s v="Long"/>
    <d v="2021-06-30T00:00:00"/>
    <d v="2021-07-02T00:00:00"/>
    <n v="10000"/>
    <n v="1.1639999999999999"/>
    <n v="19"/>
    <n v="1.1100000000000001"/>
    <n v="19"/>
    <n v="-538.23711340206023"/>
    <n v="-4.6391752577319444E-2"/>
    <n v="35015.485058957318"/>
    <n v="0.46687313411943093"/>
    <s v="n/a"/>
  </r>
  <r>
    <x v="8"/>
    <s v="Stock"/>
    <x v="8"/>
    <s v="Long"/>
    <d v="2021-07-01T00:00:00"/>
    <d v="2021-07-05T00:00:00"/>
    <n v="2375"/>
    <n v="16.687999999999999"/>
    <n v="19"/>
    <n v="17.2"/>
    <n v="19"/>
    <n v="1214.8341323106436"/>
    <n v="3.0680728667305878E-2"/>
    <n v="36230.319191267961"/>
    <n v="0.48307092255023948"/>
    <s v="n/a"/>
  </r>
  <r>
    <x v="18"/>
    <s v="Stock"/>
    <x v="2"/>
    <s v="Long"/>
    <d v="2021-07-08T00:00:00"/>
    <d v="2021-07-12T00:00:00"/>
    <n v="10000"/>
    <n v="1.1299999999999999"/>
    <n v="19"/>
    <n v="1.1100000000000001"/>
    <n v="19"/>
    <n v="-199.32743362831653"/>
    <n v="-1.7699115044247607E-2"/>
    <n v="36030.991757639647"/>
    <n v="0.48041322343519532"/>
    <s v="n/a"/>
  </r>
  <r>
    <x v="31"/>
    <s v="Stock"/>
    <x v="4"/>
    <s v="Long"/>
    <d v="2021-07-16T00:00:00"/>
    <d v="2021-08-19T00:00:00"/>
    <n v="2000"/>
    <n v="8.15"/>
    <n v="15"/>
    <n v="9.3800000000000008"/>
    <n v="15"/>
    <n v="2455.4723926380375"/>
    <n v="0.15092024539877305"/>
    <n v="38486.464150277687"/>
    <n v="0.51315285533703581"/>
    <s v="n/a"/>
  </r>
  <r>
    <x v="9"/>
    <s v="Stock"/>
    <x v="7"/>
    <s v="Long"/>
    <d v="2021-07-18T00:00:00"/>
    <d v="2021-08-20T00:00:00"/>
    <n v="225"/>
    <n v="43.659300000000002"/>
    <n v="89"/>
    <n v="43.01"/>
    <n v="89"/>
    <n v="-143.44528852386631"/>
    <n v="-1.4871974585025498E-2"/>
    <n v="38343.018861753822"/>
    <n v="0.51124025149005092"/>
    <s v="n/a"/>
  </r>
  <r>
    <x v="32"/>
    <s v="Stock"/>
    <x v="0"/>
    <s v="Long"/>
    <d v="2021-08-19T00:00:00"/>
    <d v="2021-08-23T00:00:00"/>
    <n v="100"/>
    <n v="78.7"/>
    <n v="89"/>
    <n v="82.9"/>
    <n v="89"/>
    <n v="410.50063532401549"/>
    <n v="5.3367217280813249E-2"/>
    <n v="38753.519497077839"/>
    <n v="0.51671359329437117"/>
    <s v="n/a"/>
  </r>
  <r>
    <x v="33"/>
    <s v="Stock"/>
    <x v="5"/>
    <s v="Long"/>
    <d v="2021-08-27T00:00:00"/>
    <d v="2021-08-31T00:00:00"/>
    <n v="500"/>
    <n v="19.84"/>
    <n v="19"/>
    <n v="20.02"/>
    <n v="19"/>
    <n v="89.65524193548373"/>
    <n v="9.0725806451612753E-3"/>
    <n v="38843.174739013324"/>
    <n v="0.51790899652017763"/>
    <s v="n/a"/>
  </r>
  <r>
    <x v="34"/>
    <s v="Stock"/>
    <x v="6"/>
    <s v="Long"/>
    <d v="2021-09-02T00:00:00"/>
    <d v="2021-09-06T00:00:00"/>
    <n v="800"/>
    <n v="35.112499999999997"/>
    <n v="19"/>
    <n v="37"/>
    <n v="19"/>
    <n v="1507.9572801708814"/>
    <n v="5.3755784976860177E-2"/>
    <n v="40351.132019184202"/>
    <n v="0.53801509358912269"/>
    <s v="n/a"/>
  </r>
  <r>
    <x v="35"/>
    <s v="Stock"/>
    <x v="6"/>
    <s v="Long"/>
    <d v="2021-09-02T00:00:00"/>
    <d v="2021-09-06T00:00:00"/>
    <n v="2000"/>
    <n v="4.03"/>
    <n v="19"/>
    <n v="4.03"/>
    <n v="19"/>
    <n v="0"/>
    <n v="0"/>
    <n v="40351.132019184202"/>
    <n v="0.53801509358912269"/>
    <s v="n/a"/>
  </r>
  <r>
    <x v="0"/>
    <s v="Stock"/>
    <x v="3"/>
    <s v="Long"/>
    <d v="2021-09-02T00:00:00"/>
    <d v="2021-09-06T00:00:00"/>
    <n v="2050"/>
    <n v="17.05"/>
    <n v="19"/>
    <n v="16.850000000000001"/>
    <n v="19"/>
    <n v="-409.55425219941202"/>
    <n v="-1.1730205278592334E-2"/>
    <n v="39941.577766984788"/>
    <n v="0.53255437022646379"/>
    <s v="n/a"/>
  </r>
  <r>
    <x v="36"/>
    <s v="Stock"/>
    <x v="4"/>
    <s v="Long"/>
    <d v="2021-09-03T00:00:00"/>
    <d v="2021-09-07T00:00:00"/>
    <n v="319"/>
    <n v="29.73"/>
    <n v="19"/>
    <n v="30.8"/>
    <n v="19"/>
    <n v="339.96235788765568"/>
    <n v="3.5990581903800882E-2"/>
    <n v="40281.540124872445"/>
    <n v="0.53708720166496593"/>
    <s v="n/a"/>
  </r>
  <r>
    <x v="37"/>
    <s v="Stock"/>
    <x v="0"/>
    <s v="Long"/>
    <d v="2021-09-09T00:00:00"/>
    <d v="2021-09-13T00:00:00"/>
    <n v="10000"/>
    <n v="0.75"/>
    <n v="19"/>
    <n v="0.76"/>
    <n v="19"/>
    <n v="99.49333333333341"/>
    <n v="1.3333333333333345E-2"/>
    <n v="40381.033458205777"/>
    <n v="0.53841377944274371"/>
    <s v="n/a"/>
  </r>
  <r>
    <x v="10"/>
    <s v="Stock"/>
    <x v="8"/>
    <s v="Long"/>
    <d v="2021-09-13T00:00:00"/>
    <d v="2021-09-15T00:00:00"/>
    <n v="300"/>
    <n v="7.36"/>
    <n v="19"/>
    <n v="6.9"/>
    <n v="19"/>
    <n v="-135.62499999999997"/>
    <n v="-6.2499999999999993E-2"/>
    <n v="40245.408458205777"/>
    <n v="0.53660544610941041"/>
    <s v="n/a"/>
  </r>
  <r>
    <x v="38"/>
    <s v="Stock"/>
    <x v="9"/>
    <s v="Long"/>
    <d v="2021-09-13T00:00:00"/>
    <d v="2021-09-15T00:00:00"/>
    <n v="5000"/>
    <n v="2.9750000000000001"/>
    <n v="19"/>
    <n v="2.94"/>
    <n v="19"/>
    <n v="-174.55294117647128"/>
    <n v="-1.1764705882352988E-2"/>
    <n v="40070.855517029304"/>
    <n v="0.5342780735603907"/>
    <s v="n/a"/>
  </r>
  <r>
    <x v="39"/>
    <s v="Stock"/>
    <x v="2"/>
    <s v="Long"/>
    <d v="2021-09-14T00:00:00"/>
    <d v="2021-09-16T00:00:00"/>
    <n v="300"/>
    <n v="44.04"/>
    <n v="19"/>
    <n v="44"/>
    <n v="19"/>
    <n v="-11.965485921888938"/>
    <n v="-9.0826521344230583E-4"/>
    <n v="40058.890031107418"/>
    <n v="0.53411853374809892"/>
    <s v="n/a"/>
  </r>
  <r>
    <x v="1"/>
    <s v="Stock"/>
    <x v="0"/>
    <s v="Long"/>
    <d v="2021-09-15T00:00:00"/>
    <d v="2021-09-17T00:00:00"/>
    <n v="3100"/>
    <n v="11.2"/>
    <n v="19"/>
    <n v="13.9"/>
    <n v="19"/>
    <n v="8360.8392857142899"/>
    <n v="0.24107142857142869"/>
    <n v="48419.729316821707"/>
    <n v="0.64559639089095611"/>
    <s v="n/a"/>
  </r>
  <r>
    <x v="27"/>
    <s v="Stock"/>
    <x v="2"/>
    <s v="Long"/>
    <d v="2021-09-16T00:00:00"/>
    <d v="2021-09-20T00:00:00"/>
    <n v="200"/>
    <n v="40.18"/>
    <n v="19"/>
    <n v="44.72"/>
    <n v="19"/>
    <n v="903.70632155301132"/>
    <n v="0.11299153807864608"/>
    <n v="49323.435638374722"/>
    <n v="0.65764580851166299"/>
    <s v="n/a"/>
  </r>
  <r>
    <x v="30"/>
    <s v="Stock"/>
    <x v="9"/>
    <s v="Long"/>
    <d v="2021-09-17T00:00:00"/>
    <d v="2021-09-21T00:00:00"/>
    <n v="500"/>
    <n v="19.91"/>
    <n v="19"/>
    <n v="19.66"/>
    <n v="19"/>
    <n v="-124.52285283776996"/>
    <n v="-1.2556504269211451E-2"/>
    <n v="49198.912785536952"/>
    <n v="0.65598550380715936"/>
    <s v="n/a"/>
  </r>
  <r>
    <x v="40"/>
    <s v="Derivative"/>
    <x v="9"/>
    <s v="Long"/>
    <d v="2021-09-20T00:00:00"/>
    <d v="2021-09-22T00:00:00"/>
    <n v="300"/>
    <n v="28.323333333333334"/>
    <n v="19"/>
    <n v="28.156666666666666"/>
    <n v="19"/>
    <n v="-49.776391667647758"/>
    <n v="-5.8844297987525425E-3"/>
    <n v="49149.136393869303"/>
    <n v="0.655321818584924"/>
    <s v="n/a"/>
  </r>
  <r>
    <x v="27"/>
    <s v="Stock"/>
    <x v="0"/>
    <s v="Long"/>
    <d v="2021-09-21T00:00:00"/>
    <d v="2021-09-23T00:00:00"/>
    <n v="300"/>
    <n v="39.94"/>
    <n v="19"/>
    <n v="40"/>
    <n v="19"/>
    <n v="17.942914371558018"/>
    <n v="1.5022533800701622E-3"/>
    <n v="49167.079308240864"/>
    <n v="0.65556105744321147"/>
    <s v="n/a"/>
  </r>
  <r>
    <x v="40"/>
    <s v="Derivative"/>
    <x v="4"/>
    <s v="Long"/>
    <d v="2021-09-21T00:00:00"/>
    <d v="2021-09-23T00:00:00"/>
    <n v="230"/>
    <n v="27.18"/>
    <n v="19"/>
    <n v="27.22"/>
    <n v="19"/>
    <n v="9.1440765268577877"/>
    <n v="1.4716703458424998E-3"/>
    <n v="49176.22338476772"/>
    <n v="0.6556829784635696"/>
    <s v="n/a"/>
  </r>
  <r>
    <x v="21"/>
    <s v="Stock"/>
    <x v="6"/>
    <s v="Long"/>
    <d v="2021-09-21T00:00:00"/>
    <d v="2021-09-23T00:00:00"/>
    <n v="135"/>
    <n v="252.2"/>
    <n v="15"/>
    <n v="251.4"/>
    <n v="15"/>
    <n v="-107.90483743060832"/>
    <n v="-3.1720856463123828E-3"/>
    <n v="49068.318547337112"/>
    <n v="0.65424424729782815"/>
    <s v="n/a"/>
  </r>
  <r>
    <x v="25"/>
    <s v="Stock"/>
    <x v="2"/>
    <s v="Long"/>
    <d v="2021-09-21T00:00:00"/>
    <d v="2021-09-23T00:00:00"/>
    <n v="250"/>
    <n v="48.204999999999998"/>
    <n v="19"/>
    <n v="47"/>
    <n v="19"/>
    <n v="-300.30009853749573"/>
    <n v="-2.4997406907997063E-2"/>
    <n v="48768.018448799616"/>
    <n v="0.65024024598399488"/>
    <s v="n/a"/>
  </r>
  <r>
    <x v="41"/>
    <s v="Stock"/>
    <x v="4"/>
    <s v="Long"/>
    <d v="2021-09-22T00:00:00"/>
    <d v="2021-09-24T00:00:00"/>
    <n v="1500"/>
    <n v="15.14"/>
    <n v="19"/>
    <n v="15"/>
    <n v="19"/>
    <n v="-209.64861294583969"/>
    <n v="-9.2470277410832604E-3"/>
    <n v="48558.369835853773"/>
    <n v="0.64744493114471702"/>
    <s v="n/a"/>
  </r>
  <r>
    <x v="42"/>
    <s v="Stock"/>
    <x v="0"/>
    <s v="Long"/>
    <d v="2021-09-28T00:00:00"/>
    <d v="2021-10-09T00:00:00"/>
    <n v="150"/>
    <n v="76.260000000000005"/>
    <n v="19"/>
    <n v="76.8"/>
    <n v="19"/>
    <n v="80.730920535010611"/>
    <n v="7.0810385523209021E-3"/>
    <n v="48639.100756388783"/>
    <n v="0.64852134341851708"/>
    <s v="n/a"/>
  </r>
  <r>
    <x v="43"/>
    <s v="Stock"/>
    <x v="8"/>
    <s v="Long"/>
    <d v="2021-10-12T00:00:00"/>
    <d v="2021-10-14T00:00:00"/>
    <n v="800"/>
    <n v="30.1"/>
    <n v="19"/>
    <n v="33.4"/>
    <n v="19"/>
    <n v="2635.8338870431871"/>
    <n v="0.10963455149501651"/>
    <n v="51274.934643431974"/>
    <n v="0.68366579524575966"/>
    <s v="n/a"/>
  </r>
  <r>
    <x v="0"/>
    <s v="Stock"/>
    <x v="7"/>
    <s v="Long"/>
    <d v="2021-10-28T00:00:00"/>
    <d v="2021-11-01T00:00:00"/>
    <n v="2050"/>
    <n v="15.01"/>
    <n v="19"/>
    <n v="23.26"/>
    <n v="19"/>
    <n v="16891.613924050635"/>
    <n v="0.54963357761492349"/>
    <n v="68166.548567482605"/>
    <n v="0.90888731423310143"/>
    <s v="n/a"/>
  </r>
  <r>
    <x v="44"/>
    <s v="Stock"/>
    <x v="0"/>
    <s v="Long"/>
    <d v="2021-10-28T00:00:00"/>
    <d v="2021-11-01T00:00:00"/>
    <n v="900"/>
    <n v="33.299999999999997"/>
    <n v="19"/>
    <n v="33.340000000000003"/>
    <n v="19"/>
    <n v="35.954354354359978"/>
    <n v="1.2012012012013891E-3"/>
    <n v="68202.50292183696"/>
    <n v="0.90936670562449284"/>
    <s v="n/a"/>
  </r>
  <r>
    <x v="45"/>
    <s v="Stock"/>
    <x v="0"/>
    <s v="Long"/>
    <d v="2021-10-28T00:00:00"/>
    <d v="2021-11-01T00:00:00"/>
    <n v="100"/>
    <n v="219.85"/>
    <n v="19"/>
    <n v="220"/>
    <n v="19"/>
    <n v="14.974073231749488"/>
    <n v="6.8228337502845436E-4"/>
    <n v="68217.476995068704"/>
    <n v="0.90956635993424939"/>
    <s v="n/a"/>
  </r>
  <r>
    <x v="39"/>
    <s v="Stock"/>
    <x v="9"/>
    <s v="Long"/>
    <d v="2021-10-28T00:00:00"/>
    <d v="2021-11-01T00:00:00"/>
    <n v="300"/>
    <n v="46.470333333333336"/>
    <n v="19"/>
    <n v="42.99"/>
    <n v="19"/>
    <n v="-1041.2540409293385"/>
    <n v="-7.4893659754251829E-2"/>
    <n v="67176.222954139361"/>
    <n v="0.89568297272185815"/>
    <s v="n/a"/>
  </r>
  <r>
    <x v="27"/>
    <s v="Stock"/>
    <x v="2"/>
    <s v="Short"/>
    <d v="2021-10-29T00:00:00"/>
    <d v="2021-11-02T00:00:00"/>
    <n v="-197"/>
    <n v="78.099999999999994"/>
    <n v="19"/>
    <n v="61.05"/>
    <n v="19"/>
    <n v="3358.8500000000004"/>
    <n v="0.21830985915492956"/>
    <n v="70535.072954139367"/>
    <n v="0.94046763938852485"/>
    <s v="n/a"/>
  </r>
  <r>
    <x v="46"/>
    <s v="Stock"/>
    <x v="0"/>
    <s v="Long"/>
    <d v="2021-11-08T00:00:00"/>
    <d v="2021-11-10T00:00:00"/>
    <n v="200"/>
    <n v="26.164999999999999"/>
    <n v="19"/>
    <n v="26.86"/>
    <n v="19"/>
    <n v="137.99063634626415"/>
    <n v="2.6562201414102822E-2"/>
    <n v="70673.063590485632"/>
    <n v="0.94230751453980843"/>
    <s v="n/a"/>
  </r>
  <r>
    <x v="47"/>
    <s v="Stock"/>
    <x v="8"/>
    <s v="Long"/>
    <d v="2021-11-08T00:00:00"/>
    <d v="2021-11-10T00:00:00"/>
    <n v="400"/>
    <n v="48.06"/>
    <n v="19"/>
    <n v="46"/>
    <n v="19"/>
    <n v="-822.37120266333829"/>
    <n v="-4.2863087806908076E-2"/>
    <n v="69850.692387822288"/>
    <n v="0.93134256517096381"/>
    <s v="n/a"/>
  </r>
  <r>
    <x v="38"/>
    <s v="Stock"/>
    <x v="2"/>
    <s v="Long"/>
    <d v="2021-11-10T00:00:00"/>
    <d v="2021-11-12T00:00:00"/>
    <n v="3000"/>
    <n v="3"/>
    <n v="19"/>
    <n v="2.89"/>
    <n v="19"/>
    <n v="-328.60666666666629"/>
    <n v="-3.6666666666666625E-2"/>
    <n v="69522.085721155629"/>
    <n v="0.92696114294874177"/>
    <s v="n/a"/>
  </r>
  <r>
    <x v="48"/>
    <s v="Stock"/>
    <x v="4"/>
    <s v="Long"/>
    <d v="2021-11-11T00:00:00"/>
    <d v="2021-11-15T00:00:00"/>
    <n v="100"/>
    <n v="288.01"/>
    <n v="19"/>
    <n v="291.8"/>
    <n v="19"/>
    <n v="378.49994791847712"/>
    <n v="1.3159265303288151E-2"/>
    <n v="69900.585669074106"/>
    <n v="0.93200780892098811"/>
    <s v="n/a"/>
  </r>
  <r>
    <x v="49"/>
    <s v="Stock"/>
    <x v="8"/>
    <s v="Long"/>
    <d v="2021-11-15T00:00:00"/>
    <d v="2021-11-17T00:00:00"/>
    <n v="250"/>
    <n v="20"/>
    <n v="19"/>
    <n v="19.54"/>
    <n v="19"/>
    <n v="-114.1260000000002"/>
    <n v="-2.3000000000000041E-2"/>
    <n v="69786.459669074102"/>
    <n v="0.93048612892098803"/>
    <s v="n/a"/>
  </r>
  <r>
    <x v="27"/>
    <s v="Stock"/>
    <x v="8"/>
    <s v="Long"/>
    <d v="2021-11-16T00:00:00"/>
    <d v="2021-11-18T00:00:00"/>
    <n v="250"/>
    <n v="85"/>
    <n v="19"/>
    <n v="85.95"/>
    <n v="19"/>
    <n v="237.07529411764776"/>
    <n v="1.1176470588235328E-2"/>
    <n v="70023.534963191749"/>
    <n v="0.93364713284255663"/>
    <s v="n/a"/>
  </r>
  <r>
    <x v="48"/>
    <s v="Stock"/>
    <x v="6"/>
    <s v="Long"/>
    <d v="2021-11-23T00:00:00"/>
    <d v="2021-11-28T00:00:00"/>
    <n v="238"/>
    <n v="289.51260504201679"/>
    <n v="19"/>
    <n v="293"/>
    <n v="19"/>
    <n v="829.54226169743879"/>
    <n v="1.2045744804365563E-2"/>
    <n v="70853.077224889188"/>
    <n v="0.94470769633185581"/>
    <s v="n/a"/>
  </r>
  <r>
    <x v="48"/>
    <s v="Stock"/>
    <x v="7"/>
    <s v="Long"/>
    <d v="2021-11-24T00:00:00"/>
    <d v="2021-11-26T00:00:00"/>
    <n v="200"/>
    <n v="298.75"/>
    <n v="19"/>
    <n v="296"/>
    <n v="19"/>
    <n v="-549.65020920502093"/>
    <n v="-9.2050209205020925E-3"/>
    <n v="70303.427015684167"/>
    <n v="0.93737902687578889"/>
    <s v="n/a"/>
  </r>
  <r>
    <x v="48"/>
    <s v="Stock"/>
    <x v="8"/>
    <s v="Long"/>
    <d v="2021-11-26T00:00:00"/>
    <d v="2021-12-05T00:00:00"/>
    <n v="200"/>
    <n v="300.74285714285713"/>
    <n v="19"/>
    <n v="309.8"/>
    <n v="19"/>
    <n v="1810.2841670964456"/>
    <n v="3.0115903477104383E-2"/>
    <n v="72113.711182780607"/>
    <n v="0.96151614910374139"/>
    <s v="n/a"/>
  </r>
  <r>
    <x v="50"/>
    <s v="Stock"/>
    <x v="6"/>
    <s v="Long"/>
    <d v="2021-11-29T00:00:00"/>
    <d v="2021-12-06T00:00:00"/>
    <n v="2500"/>
    <n v="10.695"/>
    <n v="19"/>
    <n v="10.6"/>
    <n v="19"/>
    <n v="-237.16245909303572"/>
    <n v="-8.8826554464703725E-3"/>
    <n v="71876.548723687578"/>
    <n v="0.95835398298250107"/>
    <s v="n/a"/>
  </r>
  <r>
    <x v="27"/>
    <s v="Stock"/>
    <x v="0"/>
    <s v="Long"/>
    <d v="2021-11-29T00:00:00"/>
    <d v="2021-12-09T00:00:00"/>
    <n v="630"/>
    <n v="86.6"/>
    <n v="19"/>
    <n v="86.05"/>
    <n v="19"/>
    <n v="-346.25866050808139"/>
    <n v="-6.3510392609699446E-3"/>
    <n v="71530.290063179491"/>
    <n v="0.95373720084239322"/>
    <s v="n/a"/>
  </r>
  <r>
    <x v="51"/>
    <s v="Stock"/>
    <x v="4"/>
    <s v="Long"/>
    <d v="2021-12-06T00:00:00"/>
    <d v="2021-12-06T00:00:00"/>
    <n v="40"/>
    <n v="376"/>
    <n v="19"/>
    <n v="403"/>
    <n v="19"/>
    <n v="1077.2712765957447"/>
    <n v="7.1808510638297879E-2"/>
    <n v="72607.561339775231"/>
    <n v="0.96810081786366975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BD769-926C-904C-8C82-C5F5E4124F8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B2:C55" firstHeaderRow="1" firstDataRow="1" firstDataCol="1"/>
  <pivotFields count="18">
    <pivotField axis="axisRow" showAll="0" sortType="descending">
      <items count="57">
        <item x="13"/>
        <item m="1" x="53"/>
        <item x="51"/>
        <item x="43"/>
        <item x="7"/>
        <item x="48"/>
        <item x="5"/>
        <item x="31"/>
        <item x="29"/>
        <item x="32"/>
        <item x="39"/>
        <item x="40"/>
        <item x="47"/>
        <item x="41"/>
        <item x="50"/>
        <item x="46"/>
        <item x="44"/>
        <item x="37"/>
        <item x="45"/>
        <item m="1" x="54"/>
        <item x="20"/>
        <item x="42"/>
        <item x="1"/>
        <item x="34"/>
        <item x="9"/>
        <item x="16"/>
        <item x="3"/>
        <item x="22"/>
        <item x="6"/>
        <item x="33"/>
        <item x="25"/>
        <item x="49"/>
        <item x="10"/>
        <item x="36"/>
        <item x="14"/>
        <item x="12"/>
        <item x="24"/>
        <item x="11"/>
        <item x="2"/>
        <item x="27"/>
        <item x="19"/>
        <item x="4"/>
        <item m="1" x="55"/>
        <item x="23"/>
        <item x="26"/>
        <item x="18"/>
        <item x="8"/>
        <item x="28"/>
        <item x="35"/>
        <item x="15"/>
        <item x="0"/>
        <item x="38"/>
        <item x="21"/>
        <item x="17"/>
        <item x="30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numFmtId="165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3">
    <i>
      <x v="50"/>
    </i>
    <i>
      <x/>
    </i>
    <i>
      <x v="22"/>
    </i>
    <i>
      <x v="46"/>
    </i>
    <i>
      <x v="39"/>
    </i>
    <i>
      <x v="45"/>
    </i>
    <i>
      <x v="3"/>
    </i>
    <i>
      <x v="5"/>
    </i>
    <i>
      <x v="7"/>
    </i>
    <i>
      <x v="23"/>
    </i>
    <i>
      <x v="2"/>
    </i>
    <i>
      <x v="54"/>
    </i>
    <i>
      <x v="40"/>
    </i>
    <i>
      <x v="24"/>
    </i>
    <i>
      <x v="6"/>
    </i>
    <i>
      <x v="4"/>
    </i>
    <i>
      <x v="9"/>
    </i>
    <i>
      <x v="33"/>
    </i>
    <i>
      <x v="43"/>
    </i>
    <i>
      <x v="27"/>
    </i>
    <i>
      <x v="15"/>
    </i>
    <i>
      <x v="17"/>
    </i>
    <i>
      <x v="8"/>
    </i>
    <i>
      <x v="29"/>
    </i>
    <i>
      <x v="21"/>
    </i>
    <i>
      <x v="37"/>
    </i>
    <i>
      <x v="20"/>
    </i>
    <i>
      <x v="16"/>
    </i>
    <i>
      <x v="18"/>
    </i>
    <i>
      <x v="48"/>
    </i>
    <i>
      <x v="41"/>
    </i>
    <i>
      <x v="44"/>
    </i>
    <i>
      <x v="53"/>
    </i>
    <i>
      <x v="11"/>
    </i>
    <i>
      <x v="28"/>
    </i>
    <i>
      <x v="30"/>
    </i>
    <i>
      <x v="31"/>
    </i>
    <i>
      <x v="13"/>
    </i>
    <i>
      <x v="14"/>
    </i>
    <i>
      <x v="47"/>
    </i>
    <i>
      <x v="38"/>
    </i>
    <i>
      <x v="26"/>
    </i>
    <i>
      <x v="36"/>
    </i>
    <i>
      <x v="52"/>
    </i>
    <i>
      <x v="34"/>
    </i>
    <i>
      <x v="51"/>
    </i>
    <i>
      <x v="49"/>
    </i>
    <i>
      <x v="12"/>
    </i>
    <i>
      <x v="32"/>
    </i>
    <i>
      <x v="10"/>
    </i>
    <i>
      <x v="35"/>
    </i>
    <i>
      <x v="25"/>
    </i>
    <i t="grand">
      <x/>
    </i>
  </rowItems>
  <colItems count="1">
    <i/>
  </colItems>
  <dataFields count="1">
    <dataField name="Sum of PL" fld="11" baseField="0" baseItem="0" numFmtId="164"/>
  </dataFields>
  <formats count="8">
    <format dxfId="63">
      <pivotArea outline="0" collapsedLevelsAreSubtotals="1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8">
      <pivotArea dataOnly="0" labelOnly="1" fieldPosition="0">
        <references count="1">
          <reference field="0" count="5">
            <x v="50"/>
            <x v="51"/>
            <x v="52"/>
            <x v="53"/>
            <x v="54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0375-ABFD-6940-AFDE-969A84C2FD42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2:P4" firstHeaderRow="1" firstDataRow="2" firstDataCol="1"/>
  <pivotFields count="18">
    <pivotField showAll="0"/>
    <pivotField showAll="0"/>
    <pivotField axis="axisCol" showAll="0" sortType="ascending">
      <items count="12">
        <item x="3"/>
        <item x="0"/>
        <item x="1"/>
        <item x="4"/>
        <item x="2"/>
        <item x="5"/>
        <item x="6"/>
        <item x="9"/>
        <item x="8"/>
        <item x="7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65"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2"/>
  </colFields>
  <colItems count="11">
    <i>
      <x v="5"/>
    </i>
    <i>
      <x v="2"/>
    </i>
    <i>
      <x v="7"/>
    </i>
    <i>
      <x/>
    </i>
    <i>
      <x v="9"/>
    </i>
    <i>
      <x v="6"/>
    </i>
    <i>
      <x v="4"/>
    </i>
    <i>
      <x v="8"/>
    </i>
    <i>
      <x v="3"/>
    </i>
    <i>
      <x v="1"/>
    </i>
    <i t="grand">
      <x/>
    </i>
  </colItems>
  <dataFields count="1">
    <dataField name="Sum of Sum commissions" fld="16" baseField="0" baseItem="0" numFmtId="164"/>
  </dataFields>
  <formats count="13">
    <format dxfId="76">
      <pivotArea outline="0" collapsedLevelsAreSubtotals="1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offset="A1" fieldPosition="0"/>
    </format>
    <format dxfId="72">
      <pivotArea dataOnly="0" labelOnly="1" outline="0" axis="axisValues" fieldPosition="0"/>
    </format>
    <format dxfId="71">
      <pivotArea field="2" type="button" dataOnly="0" labelOnly="1" outline="0" axis="axisCol" fieldPosition="0"/>
    </format>
    <format dxfId="70">
      <pivotArea type="topRight" dataOnly="0" labelOnly="1" outline="0" fieldPosition="0"/>
    </format>
    <format dxfId="69">
      <pivotArea type="origin" dataOnly="0" labelOnly="1" outline="0" offset="A2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Col="1" outline="0" fieldPosition="0"/>
    </format>
    <format dxfId="66">
      <pivotArea type="origin" dataOnly="0" labelOnly="1" outline="0" offset="A1" fieldPosition="0"/>
    </format>
    <format dxfId="65">
      <pivotArea dataOnly="0" labelOnly="1" outline="0" axis="axisValues" fieldPosition="0"/>
    </format>
    <format dxfId="64">
      <pivotArea type="origin" dataOnly="0" labelOnly="1" outline="0" offset="A2" fieldPosition="0"/>
    </format>
  </formats>
  <chartFormats count="10"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5059D-A3B6-3943-9220-5DC4F95B39A0}" name="Table1" displayName="Table1" ref="B9:P113" totalsRowCount="1" headerRowDxfId="53" dataDxfId="51" totalsRowDxfId="49" headerRowBorderDxfId="52" tableBorderDxfId="50" totalsRowBorderDxfId="48">
  <autoFilter ref="B9:P112" xr:uid="{2D55059D-A3B6-3943-9220-5DC4F95B39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B5AEB76-C31D-014A-A434-83C939DBB58D}" name="Symbol" totalsRowLabel="Total" dataDxfId="47" totalsRowDxfId="46"/>
    <tableColumn id="20" xr3:uid="{4F915599-2A67-7F40-9AEF-7DA6CE28DB8F}" name="Asset class" dataDxfId="45" totalsRowDxfId="44"/>
    <tableColumn id="13" xr3:uid="{0CD53D62-B04C-574E-833B-D27EAA21E974}" name="Strategy" dataDxfId="43" totalsRowDxfId="42"/>
    <tableColumn id="3" xr3:uid="{DF2068AB-FE0F-FF47-8AEE-FD6541268FC6}" name="Long/Short" totalsRowFunction="count" dataDxfId="41" totalsRowDxfId="40"/>
    <tableColumn id="15" xr3:uid="{AB630006-9448-F84D-B2BA-D4FCB7307D2D}" name="Date opened" dataDxfId="39" totalsRowDxfId="38"/>
    <tableColumn id="16" xr3:uid="{F307FD42-D0FC-DA45-8740-7A7A3EF96FA7}" name="Date closed" dataDxfId="37" totalsRowDxfId="36"/>
    <tableColumn id="21" xr3:uid="{BBF1AF0F-BE1D-0A47-8C77-7421FC6DA913}" name="Position size" dataDxfId="35" totalsRowDxfId="34"/>
    <tableColumn id="4" xr3:uid="{FC7D9E86-4014-5142-9A75-0BCA8F356218}" name="Entry price" dataDxfId="33" totalsRowDxfId="32" dataCellStyle="Currency"/>
    <tableColumn id="5" xr3:uid="{35F06C9F-BDAE-CD41-B950-3373DDE0FAC7}" name="Entry commission" dataDxfId="31" totalsRowDxfId="30" dataCellStyle="Currency"/>
    <tableColumn id="6" xr3:uid="{F60CC5FB-BBF5-2448-8723-BCDCD80B5A2F}" name="Exit price" dataDxfId="29" totalsRowDxfId="28" dataCellStyle="Currency"/>
    <tableColumn id="7" xr3:uid="{646C2B83-2996-494C-956D-0B6EA8BB3B58}" name="Exit commission" dataDxfId="27" totalsRowDxfId="26" dataCellStyle="Currency"/>
    <tableColumn id="10" xr3:uid="{B534BB3E-96B6-7B48-96DF-430E126FFCF7}" name="PL" totalsRowFunction="average" dataDxfId="25" totalsRowDxfId="24" dataCellStyle="Currency">
      <calculatedColumnFormula>(Table1[[#This Row],[Position size]]*Table1[[#This Row],[Entry price]]-Table1[[#This Row],[Entry commission]]-Table1[[#This Row],[Exit commission]])*Table1[[#This Row],[PL% on trade]]</calculatedColumnFormula>
    </tableColumn>
    <tableColumn id="18" xr3:uid="{72EFE390-E45A-5144-88A5-1E6A018C0597}" name="PL% on trade" totalsRowFunction="average" dataDxfId="23" totalsRowDxfId="22" dataCellStyle="Per cent">
      <calculatedColumnFormula>((Table1[[#This Row],[Exit price]]-Table1[[#This Row],[Entry price]]))/Table1[[#This Row],[Entry price]]</calculatedColumnFormula>
    </tableColumn>
    <tableColumn id="2" xr3:uid="{AEBBA9A1-7EF1-C84D-9541-E07921BA164F}" name="Total Return" dataDxfId="21" totalsRowDxfId="20" dataCellStyle="Currency"/>
    <tableColumn id="9" xr3:uid="{EF38D948-A2B9-B540-9772-2705989BBEDF}" name="Total Return%" dataDxfId="19" totalsRowDxfId="18" dataCellStyle="Per cent">
      <calculatedColumnFormula>Table1[[#This Row],[Total Return]]/$E$3</calculatedColumn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C508F1-B5D2-A742-8963-2194C2E94163}" name="Table2" displayName="Table2" ref="B1:B11" totalsRowShown="0" headerRowDxfId="17" dataDxfId="15" headerRowBorderDxfId="16" tableBorderDxfId="14" totalsRowBorderDxfId="13">
  <autoFilter ref="B1:B11" xr:uid="{8EC508F1-B5D2-A742-8963-2194C2E94163}">
    <filterColumn colId="0" hiddenButton="1"/>
  </autoFilter>
  <sortState xmlns:xlrd2="http://schemas.microsoft.com/office/spreadsheetml/2017/richdata2" ref="B2:B11">
    <sortCondition ref="B2:B11"/>
  </sortState>
  <tableColumns count="1">
    <tableColumn id="1" xr3:uid="{5B7C2347-4EC7-1340-A41D-995338A04F1D}" name="Asset classes I trad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95C341-1CA0-0C44-906E-EC953C2E961C}" name="Table4" displayName="Table4" ref="D1:D11" totalsRowShown="0" headerRowDxfId="11" dataDxfId="9" headerRowBorderDxfId="10" tableBorderDxfId="8" totalsRowBorderDxfId="7">
  <autoFilter ref="D1:D11" xr:uid="{BE95C341-1CA0-0C44-906E-EC953C2E961C}">
    <filterColumn colId="0" hiddenButton="1"/>
  </autoFilter>
  <tableColumns count="1">
    <tableColumn id="1" xr3:uid="{7A02887E-D584-F248-B799-A0ED3C349A7D}" name="Strategies I trade with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0FB76-8DFB-AB46-8777-F272A5CD1831}" name="Table46" displayName="Table46" ref="F1:F3" totalsRowShown="0" headerRowDxfId="5" dataDxfId="3" headerRowBorderDxfId="4" tableBorderDxfId="2" totalsRowBorderDxfId="1">
  <autoFilter ref="F1:F3" xr:uid="{DEE0FB76-8DFB-AB46-8777-F272A5CD1831}"/>
  <tableColumns count="1">
    <tableColumn id="1" xr3:uid="{189CE8C5-0CE6-8B49-B42B-87DB1D602226}" name="Directions I t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7084-267F-3743-BB7D-4301D4D33E79}">
  <dimension ref="B1:D15"/>
  <sheetViews>
    <sheetView showGridLines="0" zoomScale="75" zoomScaleNormal="75" workbookViewId="0">
      <selection activeCell="L55" sqref="L55"/>
    </sheetView>
  </sheetViews>
  <sheetFormatPr baseColWidth="10" defaultRowHeight="16" x14ac:dyDescent="0.2"/>
  <cols>
    <col min="1" max="1" width="1.83203125" customWidth="1"/>
    <col min="2" max="2" width="61.5" hidden="1" customWidth="1"/>
    <col min="4" max="4" width="11.5" customWidth="1"/>
    <col min="5" max="5" width="14.1640625" bestFit="1" customWidth="1"/>
    <col min="6" max="6" width="13" customWidth="1"/>
    <col min="7" max="8" width="11.6640625" bestFit="1" customWidth="1"/>
  </cols>
  <sheetData>
    <row r="1" spans="4:4" ht="10" customHeight="1" x14ac:dyDescent="0.2"/>
    <row r="2" spans="4:4" ht="18" customHeight="1" x14ac:dyDescent="0.2"/>
    <row r="14" spans="4:4" x14ac:dyDescent="0.2">
      <c r="D14" s="1"/>
    </row>
    <row r="15" spans="4:4" x14ac:dyDescent="0.2">
      <c r="D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494-CB8C-3941-9455-50551A1DCCA4}">
  <dimension ref="B1:M17"/>
  <sheetViews>
    <sheetView showGridLines="0" topLeftCell="A2" zoomScale="90" zoomScaleNormal="90" workbookViewId="0">
      <selection activeCell="D16" sqref="D16"/>
    </sheetView>
  </sheetViews>
  <sheetFormatPr baseColWidth="10" defaultRowHeight="16" x14ac:dyDescent="0.2"/>
  <cols>
    <col min="1" max="1" width="1.83203125" style="52" customWidth="1"/>
    <col min="2" max="5" width="20.83203125" style="52" customWidth="1"/>
    <col min="6" max="6" width="1.83203125" style="52" customWidth="1"/>
    <col min="7" max="10" width="20.83203125" style="52" customWidth="1"/>
    <col min="11" max="11" width="1.83203125" style="52" customWidth="1"/>
    <col min="12" max="16384" width="10.83203125" style="52"/>
  </cols>
  <sheetData>
    <row r="1" spans="2:13" ht="1" customHeight="1" x14ac:dyDescent="0.2"/>
    <row r="2" spans="2:13" ht="20" x14ac:dyDescent="0.2">
      <c r="B2" s="90" t="s">
        <v>95</v>
      </c>
      <c r="C2" s="91"/>
      <c r="D2" s="91"/>
      <c r="E2" s="91"/>
      <c r="F2" s="91"/>
      <c r="G2" s="91"/>
      <c r="H2" s="91"/>
      <c r="I2" s="91"/>
      <c r="J2" s="92"/>
      <c r="L2" s="89" t="s">
        <v>3</v>
      </c>
      <c r="M2" s="89"/>
    </row>
    <row r="3" spans="2:13" ht="17" x14ac:dyDescent="0.2">
      <c r="B3" s="82" t="s">
        <v>2</v>
      </c>
      <c r="C3" s="82" t="s">
        <v>105</v>
      </c>
      <c r="D3" s="82" t="s">
        <v>94</v>
      </c>
      <c r="E3" s="82" t="s">
        <v>93</v>
      </c>
      <c r="F3" s="93"/>
      <c r="G3" s="46" t="s">
        <v>28</v>
      </c>
      <c r="H3" s="46" t="s">
        <v>105</v>
      </c>
      <c r="I3" s="46" t="s">
        <v>94</v>
      </c>
      <c r="J3" s="46" t="s">
        <v>93</v>
      </c>
      <c r="L3" s="53" t="s">
        <v>17</v>
      </c>
      <c r="M3" s="53" t="s">
        <v>18</v>
      </c>
    </row>
    <row r="4" spans="2:13" ht="29" customHeight="1" x14ac:dyDescent="0.2">
      <c r="B4" s="83" t="s">
        <v>11</v>
      </c>
      <c r="C4" s="84">
        <f>COUNTIF(Table1[Strategy],"Short term trend reversal")</f>
        <v>7</v>
      </c>
      <c r="D4" s="83">
        <f>(COUNTIFS(Table1[PL],"&gt;0",Table1[Strategy],"Short term trend reversal"))/(COUNTIFS(Table1[PL],"&lt;0",Table1[Strategy],"Short term trend reversal"))</f>
        <v>2.5</v>
      </c>
      <c r="E4" s="85">
        <f>(SUMIFS(Table1[PL],Table1[PL],"&gt;0",Table1[Strategy],"Short term trend reversal"))+(SUMIFS(Table1[PL],Table1[PL],"&lt;0",Table1[Strategy],"Short term trend reversal"))</f>
        <v>17041.723326196148</v>
      </c>
      <c r="F4" s="94"/>
      <c r="G4" s="48" t="s">
        <v>19</v>
      </c>
      <c r="H4" s="48">
        <f>COUNTIF(Table1[Asset class],"Stock")</f>
        <v>101</v>
      </c>
      <c r="I4" s="77">
        <f>IF(ISERROR((COUNTIFS(Table1[PL],"&gt;0",Table1[Asset class],"Stock"))/(COUNTIFS(Table1[PL],"&lt;0",Table1[Asset class],"Stock"))),0,(COUNTIFS(Table1[PL],"&gt;0",Table1[Asset class],"Stock"))/(COUNTIFS(Table1[PL],"&lt;0",Table1[Asset class],"Stock")))</f>
        <v>1.3809523809523809</v>
      </c>
      <c r="J4" s="51">
        <f>((SUMIFS(Table1[PL],Table1[PL],"&gt;0",Table1[Asset class],"Stock")))+((SUMIFS(Table1[PL],Table1[PL],"&lt;0",Table1[Asset class],"Stock")))</f>
        <v>72648.193654916045</v>
      </c>
      <c r="L4" s="55">
        <f>COUNTIF(Table1[Long/Short],"Long")</f>
        <v>101</v>
      </c>
      <c r="M4" s="55">
        <f>COUNTIF(Table1[Long/Short],"Short")</f>
        <v>2</v>
      </c>
    </row>
    <row r="5" spans="2:13" ht="17" x14ac:dyDescent="0.2">
      <c r="B5" s="83" t="s">
        <v>14</v>
      </c>
      <c r="C5" s="84">
        <f>COUNTIF(Table1[Strategy],"News")</f>
        <v>12</v>
      </c>
      <c r="D5" s="83">
        <f>(COUNTIFS(Table1[PL],"&gt;0",Table1[Strategy],"News"))/(COUNTIFS(Table1[PL],"&lt;0",Table1[Strategy],"News"))</f>
        <v>1.75</v>
      </c>
      <c r="E5" s="85">
        <f>(SUMIFS(Table1[PL],Table1[PL],"&gt;0",Table1[Strategy],"News"))+(SUMIFS(Table1[PL],Table1[PL],"&lt;0",Table1[Strategy],"News"))</f>
        <v>15994.933082733649</v>
      </c>
      <c r="F5" s="94"/>
      <c r="G5" s="49" t="s">
        <v>90</v>
      </c>
      <c r="H5" s="48">
        <f>COUNTIF(Table1[Asset class],"Derivative")</f>
        <v>2</v>
      </c>
      <c r="I5" s="77">
        <f>IF(ISERROR((COUNTIFS(Table1[PL],"&gt;0",Table1[Asset class],"Derivative"))/(COUNTIFS(Table1[PL],"&lt;0",Table1[Asset class],"Derivative"))),0,(COUNTIFS(Table1[PL],"&gt;0",Table1[Asset class],"Derivative"))/(COUNTIFS(Table1[PL],"&lt;0",Table1[Asset class],"Derivative")))</f>
        <v>1</v>
      </c>
      <c r="J5" s="51">
        <f>((SUMIFS(Table1[PL],Table1[PL],"&gt;0",Table1[Asset class],"Derivative")))+((SUMIFS(Table1[PL],Table1[PL],"&lt;0",Table1[Asset class],"Derivative")))</f>
        <v>-40.63231514078997</v>
      </c>
      <c r="L5" s="56">
        <f>L4/(L4+M4)</f>
        <v>0.98058252427184467</v>
      </c>
      <c r="M5" s="56">
        <f>M4/(L4+M4)</f>
        <v>1.9417475728155338E-2</v>
      </c>
    </row>
    <row r="6" spans="2:13" ht="17" x14ac:dyDescent="0.2">
      <c r="B6" s="83" t="s">
        <v>9</v>
      </c>
      <c r="C6" s="84">
        <f>COUNTIF(Table1[Strategy],"Fib levels")</f>
        <v>3</v>
      </c>
      <c r="D6" s="83">
        <f>(COUNTIFS(Table1[PL],"&gt;0",Table1[Strategy],"Fib levels"))/(COUNTIFS(Table1[PL],"&lt;0",Table1[Strategy],"Fib levels"))</f>
        <v>2</v>
      </c>
      <c r="E6" s="85">
        <f>(SUMIFS(Table1[PL],Table1[PL],"&gt;0",Table1[Strategy],"Fib levels"))+(SUMIFS(Table1[PL],Table1[PL],"&lt;0",Table1[Strategy],"Fib levels"))</f>
        <v>13090.935128923378</v>
      </c>
      <c r="F6" s="94"/>
      <c r="G6" s="48" t="s">
        <v>22</v>
      </c>
      <c r="H6" s="48">
        <f>COUNTIF(Table1[Asset class],"Bond")</f>
        <v>0</v>
      </c>
      <c r="I6" s="77">
        <f>IF(ISERROR((COUNTIFS(Table1[PL],"&gt;0",Table1[Asset class],"Bond"))/(COUNTIFS(Table1[PL],"&lt;0",Table1[Asset class],"Bond"))),0,(COUNTIFS(Table1[PL],"&gt;0",Table1[Asset class],"Bond"))/(COUNTIFS(Table1[PL],"&lt;0",Table1[Asset class],"Bond")))</f>
        <v>0</v>
      </c>
      <c r="J6" s="51">
        <f>((SUMIFS(Table1[PL],Table1[PL],"&gt;0",Table1[Asset class],"Bond")))+((SUMIFS(Table1[PL],Table1[PL],"&lt;0",Table1[Asset class],"Bond")))</f>
        <v>0</v>
      </c>
    </row>
    <row r="7" spans="2:13" ht="20" x14ac:dyDescent="0.2">
      <c r="B7" s="83" t="s">
        <v>13</v>
      </c>
      <c r="C7" s="84">
        <f>COUNTIF(Table1[Strategy],"EMA/SMA")</f>
        <v>21</v>
      </c>
      <c r="D7" s="83">
        <f>(COUNTIFS(Table1[PL],"&gt;0",Table1[Strategy],"EMA/SMA"))/(COUNTIFS(Table1[PL],"&lt;0",Table1[Strategy],"EMA/SMA"))</f>
        <v>2.5</v>
      </c>
      <c r="E7" s="85">
        <f>(SUMIFS(Table1[PL],Table1[PL],"&gt;0",Table1[Strategy],"EMA/SMA"))+(SUMIFS(Table1[PL],Table1[PL],"&lt;0",Table1[Strategy],"EMA/SMA"))</f>
        <v>8954.2183245643027</v>
      </c>
      <c r="F7" s="94"/>
      <c r="G7" s="48" t="s">
        <v>24</v>
      </c>
      <c r="H7" s="48">
        <f>COUNTIF(Table1[Asset class],"Call option")</f>
        <v>0</v>
      </c>
      <c r="I7" s="77">
        <f>IF(ISERROR((COUNTIFS(Table1[PL],"&gt;0",Table1[Asset class],"Call option"))/(COUNTIFS(Table1[PL],"&lt;0",Table1[Asset class],"Call option"))),0,(COUNTIFS(Table1[PL],"&gt;0",Table1[Asset class],"Call option"))/(COUNTIFS(Table1[PL],"&lt;0",Table1[Asset class],"Call option")))</f>
        <v>0</v>
      </c>
      <c r="J7" s="51">
        <f>((SUMIFS(Table1[PL],Table1[PL],"&gt;0",Table1[Asset class],"Call option")))+((SUMIFS(Table1[PL],Table1[PL],"&lt;0",Table1[Asset class],"Call option")))</f>
        <v>0</v>
      </c>
      <c r="L7" s="89" t="s">
        <v>107</v>
      </c>
      <c r="M7" s="89"/>
    </row>
    <row r="8" spans="2:13" ht="17" x14ac:dyDescent="0.2">
      <c r="B8" s="83" t="s">
        <v>27</v>
      </c>
      <c r="C8" s="84">
        <f>COUNTIF(Table1[Strategy],"Share Issues")</f>
        <v>12</v>
      </c>
      <c r="D8" s="83">
        <f>(COUNTIFS(Table1[PL],"&gt;0",Table1[Strategy],"Share issues"))/(COUNTIFS(Table1[PL],"&lt;0",Table1[Strategy],"Share issues"))</f>
        <v>0.7142857142857143</v>
      </c>
      <c r="E8" s="85">
        <f>(SUMIFS(Table1[PL],Table1[PL],"&gt;0",Table1[Strategy],"Share issues"))+(SUMIFS(Table1[PL],Table1[PL],"&lt;0",Table1[Strategy],"Share issues"))</f>
        <v>7276.5968996944594</v>
      </c>
      <c r="F8" s="94"/>
      <c r="G8" s="48" t="s">
        <v>21</v>
      </c>
      <c r="H8" s="48">
        <f>COUNTIF(Table1[Asset class],"CFD")</f>
        <v>0</v>
      </c>
      <c r="I8" s="77">
        <f>IF(ISERROR((COUNTIFS(Table1[PL],"&gt;0",Table1[Asset class],"CFD"))/(COUNTIFS(Table1[PL],"&lt;0",Table1[Asset class],"CFD"))),0,(COUNTIFS(Table1[PL],"&gt;0",Table1[Asset class],"CFD"))/(COUNTIFS(Table1[PL],"&lt;0",Table1[Asset class],"CFD")))</f>
        <v>0</v>
      </c>
      <c r="J8" s="51">
        <f>((SUMIFS(Table1[PL],Table1[PL],"&gt;0",Table1[Asset class],"CFD")))+((SUMIFS(Table1[PL],Table1[PL],"&lt;0",Table1[Asset class],"CFD")))</f>
        <v>0</v>
      </c>
      <c r="L8" s="53" t="s">
        <v>32</v>
      </c>
      <c r="M8" s="53" t="s">
        <v>33</v>
      </c>
    </row>
    <row r="9" spans="2:13" ht="17" x14ac:dyDescent="0.2">
      <c r="B9" s="83" t="s">
        <v>10</v>
      </c>
      <c r="C9" s="84">
        <f>COUNTIF(Table1[Strategy],"Golden cross")</f>
        <v>19</v>
      </c>
      <c r="D9" s="83">
        <f>(COUNTIFS(Table1[PL],"&gt;0",Table1[Strategy],"Golden cross"))/(COUNTIFS(Table1[PL],"&lt;0",Table1[Strategy],"Golden cross"))</f>
        <v>1.7142857142857142</v>
      </c>
      <c r="E9" s="85">
        <f>(SUMIFS(Table1[PL],Table1[PL],"&gt;0",Table1[Strategy],"Golden cross"))+(SUMIFS(Table1[PL],Table1[PL],"&lt;0",Table1[Strategy],"Golden cross"))</f>
        <v>6075.5903543018212</v>
      </c>
      <c r="F9" s="94"/>
      <c r="G9" s="49" t="s">
        <v>29</v>
      </c>
      <c r="H9" s="54">
        <v>0</v>
      </c>
      <c r="I9" s="77">
        <f>IF(ISERROR((COUNTIFS(Table1[PL],"&gt;0",Table1[Asset class],"Cryptocurrency"))/(COUNTIFS(Table1[PL],"&lt;0",Table1[Asset class],"Cryptocurrency"))),0,(COUNTIFS(Table1[PL],"&gt;0",Table1[Asset class],"Cryptocurrency"))/(COUNTIFS(Table1[PL],"&lt;0",Table1[Asset class],"Cryptocurrency")))</f>
        <v>0</v>
      </c>
      <c r="J9" s="51">
        <f>((SUMIFS(Table1[PL],Table1[PL],"&gt;0",Table1[Asset class],"Cryptocurrency")))+((SUMIFS(Table1[PL],Table1[PL],"&lt;0",Table1[Asset class],"Cryptocurrency")))</f>
        <v>0</v>
      </c>
      <c r="L9" s="55">
        <f>Dataset!C3</f>
        <v>59</v>
      </c>
      <c r="M9" s="55">
        <f>Dataset!C4</f>
        <v>43</v>
      </c>
    </row>
    <row r="10" spans="2:13" ht="17" x14ac:dyDescent="0.2">
      <c r="B10" s="83" t="s">
        <v>26</v>
      </c>
      <c r="C10" s="84">
        <f>COUNTIF(Table1[Strategy],"IPO")</f>
        <v>12</v>
      </c>
      <c r="D10" s="83">
        <f>(COUNTIFS(Table1[PL],"&gt;0",Table1[Strategy],"IPO"))/(COUNTIFS(Table1[PL],"&lt;0",Table1[Strategy],"IPO"))</f>
        <v>1</v>
      </c>
      <c r="E10" s="85">
        <f>(SUMIFS(Table1[PL],Table1[PL],"&gt;0",Table1[Strategy],"IPO"))+(SUMIFS(Table1[PL],Table1[PL],"&lt;0",Table1[Strategy],"IPO"))</f>
        <v>5657.1857450832549</v>
      </c>
      <c r="F10" s="94"/>
      <c r="G10" s="48" t="s">
        <v>20</v>
      </c>
      <c r="H10" s="48">
        <f>COUNTIF(Table1[Asset class],"ETF")</f>
        <v>0</v>
      </c>
      <c r="I10" s="77">
        <f>IF(ISERROR((COUNTIFS(Table1[PL],"&gt;0",Table1[Asset class],"ETF"))/(COUNTIFS(Table1[PL],"&lt;0",Table1[Asset class],"ETF"))),0,(COUNTIFS(Table1[PL],"&gt;0",Table1[Asset class],"ETF"))/(COUNTIFS(Table1[PL],"&lt;0",Table1[Asset class],"ETF")))</f>
        <v>0</v>
      </c>
      <c r="J10" s="51">
        <f>((SUMIFS(Table1[PL],Table1[PL],"&gt;0",Table1[Asset class],"ETF")))+((SUMIFS(Table1[PL],Table1[PL],"&lt;0",Table1[Asset class],"ETF")))</f>
        <v>0</v>
      </c>
      <c r="L10" s="56">
        <f>L9/(L9+M9)</f>
        <v>0.57843137254901966</v>
      </c>
      <c r="M10" s="56">
        <f>M9/(L9+M9)</f>
        <v>0.42156862745098039</v>
      </c>
    </row>
    <row r="11" spans="2:13" ht="34" customHeight="1" x14ac:dyDescent="0.2">
      <c r="B11" s="83" t="s">
        <v>12</v>
      </c>
      <c r="C11" s="84">
        <f>COUNTIF(Table1[Strategy],"Long term trend reversal")</f>
        <v>3</v>
      </c>
      <c r="D11" s="83">
        <f>(COUNTIFS(Table1[PL],"&gt;0",Table1[Strategy],"Long term trend reversal"))</f>
        <v>3</v>
      </c>
      <c r="E11" s="85">
        <f>(SUMIFS(Table1[PL],Table1[PL],"&gt;0",Table1[Strategy],"Long term trend reversal"))+(SUMIFS(Table1[PL],Table1[PL],"&lt;0",Table1[Strategy],"Long term trend reversal"))</f>
        <v>1027.3987537578776</v>
      </c>
      <c r="F11" s="94"/>
      <c r="G11" s="50" t="s">
        <v>30</v>
      </c>
      <c r="H11" s="48">
        <f>COUNTIF(Table1[Asset class],"Futures")</f>
        <v>0</v>
      </c>
      <c r="I11" s="77">
        <f>IF(ISERROR((COUNTIFS(Table1[PL],"&gt;0",Table1[Asset class],"Futures"))/(COUNTIFS(Table1[PL],"&lt;0",Table1[Asset class],"Futures"))),0,(COUNTIFS(Table1[PL],"&gt;0",Table1[Asset class],"Futures"))/(COUNTIFS(Table1[PL],"&lt;0",Table1[Asset class],"Futures")))</f>
        <v>0</v>
      </c>
      <c r="J11" s="51">
        <f>((SUMIFS(Table1[PL],Table1[PL],"&gt;0",Table1[Asset class],"Futures")))+((SUMIFS(Table1[PL],Table1[PL],"&lt;0",Table1[Asset class],"Futures")))</f>
        <v>0</v>
      </c>
    </row>
    <row r="12" spans="2:13" ht="17" x14ac:dyDescent="0.2">
      <c r="B12" s="83" t="s">
        <v>8</v>
      </c>
      <c r="C12" s="84">
        <f>COUNTIF(Table1[Strategy],"Double bottom")</f>
        <v>6</v>
      </c>
      <c r="D12" s="83">
        <f>(COUNTIFS(Table1[PL],"&gt;0",Table1[Strategy],"IPO"))/(COUNTIFS(Table1[PL],"&lt;0",Table1[Strategy],"IPO"))</f>
        <v>1</v>
      </c>
      <c r="E12" s="85">
        <f>(SUMIFS(Table1[PL],Table1[PL],"&gt;0",Table1[Strategy],"Double bottom"))+(SUMIFS(Table1[PL],Table1[PL],"&lt;0",Table1[Strategy],"Double bottom"))</f>
        <v>-116.76095823895366</v>
      </c>
      <c r="F12" s="94"/>
      <c r="G12" s="48" t="s">
        <v>23</v>
      </c>
      <c r="H12" s="48">
        <f>COUNTIF(Table1[Asset class],"Put option")</f>
        <v>0</v>
      </c>
      <c r="I12" s="77">
        <f>IF(ISERROR((COUNTIFS(Table1[PL],"&gt;0",Table1[Asset class],"Put option"))/(COUNTIFS(Table1[PL],"&lt;0",Table1[Asset class],"Put option"))),0,(COUNTIFS(Table1[PL],"&gt;0",Table1[Asset class],"Put option"))/(COUNTIFS(Table1[PL],"&lt;0",Table1[Asset class],"Put option")))</f>
        <v>0</v>
      </c>
      <c r="J12" s="51">
        <f>((SUMIFS(Table1[PL],Table1[PL],"&gt;0",Table1[Asset class],"Put option")))+((SUMIFS(Table1[PL],Table1[PL],"&lt;0",Table1[Asset class],"Put option")))</f>
        <v>0</v>
      </c>
    </row>
    <row r="13" spans="2:13" ht="17" x14ac:dyDescent="0.2">
      <c r="B13" s="83" t="s">
        <v>7</v>
      </c>
      <c r="C13" s="84">
        <f>COUNTIF(Table1[Strategy],"RSI")</f>
        <v>8</v>
      </c>
      <c r="D13" s="83">
        <f>(COUNTIFS(Table1[PL],"&gt;0",Table1[Strategy],"RSI"))/(COUNTIFS(Table1[PL],"&lt;0",Table1[Strategy],"RSI"))</f>
        <v>0.14285714285714285</v>
      </c>
      <c r="E13" s="85">
        <f>(SUMIFS(Table1[PL],Table1[PL],"&gt;0",Table1[Strategy],"RSI"))+(SUMIFS(Table1[PL],Table1[PL],"&lt;0",Table1[Strategy],"RSI"))</f>
        <v>-2394.2593172406941</v>
      </c>
      <c r="F13" s="95"/>
      <c r="G13" s="50" t="s">
        <v>31</v>
      </c>
      <c r="H13" s="48">
        <f>COUNTIF(Table1[Asset class],"Warrant")</f>
        <v>0</v>
      </c>
      <c r="I13" s="77">
        <f>IF(ISERROR((COUNTIFS(Table1[PL],"&gt;0",Table1[Asset class],"Warrant"))/(COUNTIFS(Table1[PL],"&lt;0",Table1[Asset class],"Warrant"))),0,(COUNTIFS(Table1[PL],"&gt;0",Table1[Asset class],"Warrant"))/(COUNTIFS(Table1[PL],"&lt;0",Table1[Asset class],"Warrant")))</f>
        <v>0</v>
      </c>
      <c r="J13" s="51">
        <f>((SUMIFS(Table1[PL],Table1[PL],"&gt;0",Table1[Asset class],"Warrant")))+((SUMIFS(Table1[PL],Table1[PL],"&lt;0",Table1[Asset class],"Warrant")))</f>
        <v>0</v>
      </c>
    </row>
    <row r="14" spans="2:13" x14ac:dyDescent="0.2">
      <c r="B14" s="84" t="s">
        <v>115</v>
      </c>
      <c r="C14" s="84">
        <f>SUM(C4:C13)</f>
        <v>103</v>
      </c>
      <c r="D14" s="84"/>
      <c r="E14" s="86">
        <f>SUM(E4:E13)</f>
        <v>72607.561339775246</v>
      </c>
      <c r="G14" s="48" t="s">
        <v>115</v>
      </c>
      <c r="H14" s="48">
        <f>SUM(H4:H13)</f>
        <v>103</v>
      </c>
      <c r="I14" s="48"/>
      <c r="J14" s="80">
        <f>SUM(J4:J13)</f>
        <v>72607.56133977526</v>
      </c>
    </row>
    <row r="16" spans="2:13" x14ac:dyDescent="0.2">
      <c r="J16" s="79"/>
    </row>
    <row r="17" spans="10:10" x14ac:dyDescent="0.2">
      <c r="J17" s="78"/>
    </row>
  </sheetData>
  <sortState xmlns:xlrd2="http://schemas.microsoft.com/office/spreadsheetml/2017/richdata2" ref="B4:E13">
    <sortCondition descending="1" ref="E13"/>
  </sortState>
  <mergeCells count="4">
    <mergeCell ref="L2:M2"/>
    <mergeCell ref="L7:M7"/>
    <mergeCell ref="B2:J2"/>
    <mergeCell ref="F3:F13"/>
  </mergeCells>
  <pageMargins left="0.7" right="0.7" top="0.75" bottom="0.75" header="0.3" footer="0.3"/>
  <ignoredErrors>
    <ignoredError sqref="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2E1-5F23-DA46-866E-B8F5EA0683E8}">
  <dimension ref="B1:P55"/>
  <sheetViews>
    <sheetView showGridLines="0" zoomScale="90" zoomScaleNormal="90" workbookViewId="0">
      <selection activeCell="F15" sqref="F15"/>
    </sheetView>
  </sheetViews>
  <sheetFormatPr baseColWidth="10" defaultRowHeight="16" x14ac:dyDescent="0.2"/>
  <cols>
    <col min="1" max="1" width="1.83203125" customWidth="1"/>
    <col min="2" max="2" width="13" bestFit="1" customWidth="1"/>
    <col min="3" max="3" width="12.33203125" bestFit="1" customWidth="1"/>
    <col min="4" max="4" width="1.83203125" customWidth="1"/>
    <col min="5" max="5" width="22.6640625" bestFit="1" customWidth="1"/>
    <col min="6" max="6" width="21.83203125" bestFit="1" customWidth="1"/>
    <col min="7" max="8" width="9.83203125" bestFit="1" customWidth="1"/>
    <col min="9" max="9" width="13.5" bestFit="1" customWidth="1"/>
    <col min="10" max="10" width="22.33203125" bestFit="1" customWidth="1"/>
    <col min="11" max="12" width="9.83203125" bestFit="1" customWidth="1"/>
    <col min="13" max="13" width="11.33203125" bestFit="1" customWidth="1"/>
    <col min="14" max="14" width="11.6640625" bestFit="1" customWidth="1"/>
    <col min="15" max="15" width="9.83203125" bestFit="1" customWidth="1"/>
    <col min="16" max="16" width="11.33203125" bestFit="1" customWidth="1"/>
    <col min="113" max="113" width="7" bestFit="1" customWidth="1"/>
  </cols>
  <sheetData>
    <row r="1" spans="2:16" ht="10" customHeight="1" x14ac:dyDescent="0.2"/>
    <row r="2" spans="2:16" x14ac:dyDescent="0.2">
      <c r="B2" s="57" t="s">
        <v>98</v>
      </c>
      <c r="C2" s="58" t="s">
        <v>104</v>
      </c>
      <c r="E2" s="58"/>
      <c r="F2" s="57" t="s">
        <v>96</v>
      </c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2:16" x14ac:dyDescent="0.2">
      <c r="B3" s="59" t="s">
        <v>39</v>
      </c>
      <c r="C3" s="60">
        <v>30007.235256448497</v>
      </c>
      <c r="E3" s="58"/>
      <c r="F3" s="58" t="s">
        <v>12</v>
      </c>
      <c r="G3" s="58" t="s">
        <v>9</v>
      </c>
      <c r="H3" s="58" t="s">
        <v>7</v>
      </c>
      <c r="I3" s="58" t="s">
        <v>8</v>
      </c>
      <c r="J3" s="58" t="s">
        <v>11</v>
      </c>
      <c r="K3" s="58" t="s">
        <v>14</v>
      </c>
      <c r="L3" s="58" t="s">
        <v>26</v>
      </c>
      <c r="M3" s="58" t="s">
        <v>27</v>
      </c>
      <c r="N3" s="58" t="s">
        <v>10</v>
      </c>
      <c r="O3" s="58" t="s">
        <v>13</v>
      </c>
      <c r="P3" s="58" t="s">
        <v>97</v>
      </c>
    </row>
    <row r="4" spans="2:16" x14ac:dyDescent="0.2">
      <c r="B4" s="59" t="s">
        <v>64</v>
      </c>
      <c r="C4" s="60">
        <v>13205.778385772914</v>
      </c>
      <c r="E4" s="58" t="s">
        <v>106</v>
      </c>
      <c r="F4" s="60">
        <v>106</v>
      </c>
      <c r="G4" s="60">
        <v>114</v>
      </c>
      <c r="H4" s="60">
        <v>304</v>
      </c>
      <c r="I4" s="60">
        <v>368</v>
      </c>
      <c r="J4" s="60">
        <v>406</v>
      </c>
      <c r="K4" s="60">
        <v>432</v>
      </c>
      <c r="L4" s="60">
        <v>448</v>
      </c>
      <c r="M4" s="60">
        <v>456</v>
      </c>
      <c r="N4" s="60">
        <v>698</v>
      </c>
      <c r="O4" s="60">
        <v>930</v>
      </c>
      <c r="P4" s="60">
        <v>4262</v>
      </c>
    </row>
    <row r="5" spans="2:16" x14ac:dyDescent="0.2">
      <c r="B5" s="59" t="s">
        <v>55</v>
      </c>
      <c r="C5" s="60">
        <v>8719.543831168834</v>
      </c>
    </row>
    <row r="6" spans="2:16" x14ac:dyDescent="0.2">
      <c r="B6" s="59" t="s">
        <v>68</v>
      </c>
      <c r="C6" s="60">
        <v>6881.1786270686434</v>
      </c>
    </row>
    <row r="7" spans="2:16" x14ac:dyDescent="0.2">
      <c r="B7" s="59" t="s">
        <v>42</v>
      </c>
      <c r="C7" s="60">
        <v>4247.9097521192371</v>
      </c>
    </row>
    <row r="8" spans="2:16" x14ac:dyDescent="0.2">
      <c r="B8" s="59" t="s">
        <v>87</v>
      </c>
      <c r="C8" s="60">
        <v>4006.4187863029556</v>
      </c>
    </row>
    <row r="9" spans="2:16" x14ac:dyDescent="0.2">
      <c r="B9" s="59" t="s">
        <v>43</v>
      </c>
      <c r="C9" s="60">
        <v>2635.8338870431871</v>
      </c>
    </row>
    <row r="10" spans="2:16" x14ac:dyDescent="0.2">
      <c r="B10" s="59" t="s">
        <v>40</v>
      </c>
      <c r="C10" s="60">
        <v>2468.6761675073403</v>
      </c>
    </row>
    <row r="11" spans="2:16" x14ac:dyDescent="0.2">
      <c r="B11" s="59" t="s">
        <v>46</v>
      </c>
      <c r="C11" s="60">
        <v>1947.6647003303453</v>
      </c>
    </row>
    <row r="12" spans="2:16" x14ac:dyDescent="0.2">
      <c r="B12" s="59" t="s">
        <v>63</v>
      </c>
      <c r="C12" s="60">
        <v>1507.9572801708814</v>
      </c>
    </row>
    <row r="13" spans="2:16" x14ac:dyDescent="0.2">
      <c r="B13" s="59" t="s">
        <v>38</v>
      </c>
      <c r="C13" s="60">
        <v>1077.2712765957447</v>
      </c>
    </row>
    <row r="14" spans="2:16" x14ac:dyDescent="0.2">
      <c r="B14" s="59" t="s">
        <v>59</v>
      </c>
      <c r="C14" s="60">
        <v>951.25587674159601</v>
      </c>
    </row>
    <row r="15" spans="2:16" x14ac:dyDescent="0.2">
      <c r="B15" s="59" t="s">
        <v>78</v>
      </c>
      <c r="C15" s="60">
        <v>815.05417276720607</v>
      </c>
    </row>
    <row r="16" spans="2:16" x14ac:dyDescent="0.2">
      <c r="B16" s="59" t="s">
        <v>66</v>
      </c>
      <c r="C16" s="60">
        <v>666.87581239356484</v>
      </c>
    </row>
    <row r="17" spans="2:3" x14ac:dyDescent="0.2">
      <c r="B17" s="59" t="s">
        <v>52</v>
      </c>
      <c r="C17" s="60">
        <v>609.35255406380497</v>
      </c>
    </row>
    <row r="18" spans="2:3" x14ac:dyDescent="0.2">
      <c r="B18" s="59" t="s">
        <v>83</v>
      </c>
      <c r="C18" s="60">
        <v>500.76390899967896</v>
      </c>
    </row>
    <row r="19" spans="2:3" x14ac:dyDescent="0.2">
      <c r="B19" s="59" t="s">
        <v>67</v>
      </c>
      <c r="C19" s="60">
        <v>410.50063532401549</v>
      </c>
    </row>
    <row r="20" spans="2:3" x14ac:dyDescent="0.2">
      <c r="B20" s="59" t="s">
        <v>62</v>
      </c>
      <c r="C20" s="60">
        <v>339.96235788765568</v>
      </c>
    </row>
    <row r="21" spans="2:3" x14ac:dyDescent="0.2">
      <c r="B21" s="59" t="s">
        <v>88</v>
      </c>
      <c r="C21" s="60">
        <v>196.2154283464973</v>
      </c>
    </row>
    <row r="22" spans="2:3" x14ac:dyDescent="0.2">
      <c r="B22" s="59" t="s">
        <v>89</v>
      </c>
      <c r="C22" s="60">
        <v>179.37534246575387</v>
      </c>
    </row>
    <row r="23" spans="2:3" x14ac:dyDescent="0.2">
      <c r="B23" s="59" t="s">
        <v>48</v>
      </c>
      <c r="C23" s="60">
        <v>137.99063634626415</v>
      </c>
    </row>
    <row r="24" spans="2:3" x14ac:dyDescent="0.2">
      <c r="B24" s="59" t="s">
        <v>86</v>
      </c>
      <c r="C24" s="60">
        <v>99.49333333333341</v>
      </c>
    </row>
    <row r="25" spans="2:3" x14ac:dyDescent="0.2">
      <c r="B25" s="59" t="s">
        <v>71</v>
      </c>
      <c r="C25" s="60">
        <v>93.836520553721911</v>
      </c>
    </row>
    <row r="26" spans="2:3" x14ac:dyDescent="0.2">
      <c r="B26" s="59" t="s">
        <v>60</v>
      </c>
      <c r="C26" s="60">
        <v>89.65524193548373</v>
      </c>
    </row>
    <row r="27" spans="2:3" x14ac:dyDescent="0.2">
      <c r="B27" s="59" t="s">
        <v>54</v>
      </c>
      <c r="C27" s="60">
        <v>80.730920535010611</v>
      </c>
    </row>
    <row r="28" spans="2:3" x14ac:dyDescent="0.2">
      <c r="B28" s="59" t="s">
        <v>82</v>
      </c>
      <c r="C28" s="60">
        <v>79.696969696969418</v>
      </c>
    </row>
    <row r="29" spans="2:3" x14ac:dyDescent="0.2">
      <c r="B29" s="59" t="s">
        <v>69</v>
      </c>
      <c r="C29" s="60">
        <v>63.504680480801085</v>
      </c>
    </row>
    <row r="30" spans="2:3" x14ac:dyDescent="0.2">
      <c r="B30" s="59" t="s">
        <v>50</v>
      </c>
      <c r="C30" s="60">
        <v>35.954354354359978</v>
      </c>
    </row>
    <row r="31" spans="2:3" x14ac:dyDescent="0.2">
      <c r="B31" s="59" t="s">
        <v>51</v>
      </c>
      <c r="C31" s="60">
        <v>14.974073231749488</v>
      </c>
    </row>
    <row r="32" spans="2:3" x14ac:dyDescent="0.2">
      <c r="B32" s="59" t="s">
        <v>65</v>
      </c>
      <c r="C32" s="60">
        <v>0</v>
      </c>
    </row>
    <row r="33" spans="2:3" x14ac:dyDescent="0.2">
      <c r="B33" s="59" t="s">
        <v>84</v>
      </c>
      <c r="C33" s="60">
        <v>-2.9401574803148982</v>
      </c>
    </row>
    <row r="34" spans="2:3" x14ac:dyDescent="0.2">
      <c r="B34" s="59" t="s">
        <v>74</v>
      </c>
      <c r="C34" s="60">
        <v>-16.91343963553555</v>
      </c>
    </row>
    <row r="35" spans="2:3" x14ac:dyDescent="0.2">
      <c r="B35" s="59" t="s">
        <v>80</v>
      </c>
      <c r="C35" s="60">
        <v>-34.958378970425173</v>
      </c>
    </row>
    <row r="36" spans="2:3" x14ac:dyDescent="0.2">
      <c r="B36" s="59" t="s">
        <v>85</v>
      </c>
      <c r="C36" s="60">
        <v>-40.63231514078997</v>
      </c>
    </row>
    <row r="37" spans="2:3" x14ac:dyDescent="0.2">
      <c r="B37" s="59" t="s">
        <v>73</v>
      </c>
      <c r="C37" s="60">
        <v>-41.960767023661703</v>
      </c>
    </row>
    <row r="38" spans="2:3" x14ac:dyDescent="0.2">
      <c r="B38" s="59" t="s">
        <v>56</v>
      </c>
      <c r="C38" s="60">
        <v>-42.309424798089537</v>
      </c>
    </row>
    <row r="39" spans="2:3" x14ac:dyDescent="0.2">
      <c r="B39" s="59" t="s">
        <v>47</v>
      </c>
      <c r="C39" s="60">
        <v>-114.1260000000002</v>
      </c>
    </row>
    <row r="40" spans="2:3" x14ac:dyDescent="0.2">
      <c r="B40" s="59" t="s">
        <v>57</v>
      </c>
      <c r="C40" s="60">
        <v>-209.64861294583969</v>
      </c>
    </row>
    <row r="41" spans="2:3" x14ac:dyDescent="0.2">
      <c r="B41" s="59" t="s">
        <v>41</v>
      </c>
      <c r="C41" s="60">
        <v>-237.16245909303572</v>
      </c>
    </row>
    <row r="42" spans="2:3" x14ac:dyDescent="0.2">
      <c r="B42" s="59" t="s">
        <v>72</v>
      </c>
      <c r="C42" s="60">
        <v>-239.19576719576608</v>
      </c>
    </row>
    <row r="43" spans="2:3" x14ac:dyDescent="0.2">
      <c r="B43" s="59" t="s">
        <v>76</v>
      </c>
      <c r="C43" s="60">
        <v>-247.02933817884869</v>
      </c>
    </row>
    <row r="44" spans="2:3" x14ac:dyDescent="0.2">
      <c r="B44" s="59" t="s">
        <v>77</v>
      </c>
      <c r="C44" s="60">
        <v>-257.93114819241646</v>
      </c>
    </row>
    <row r="45" spans="2:3" x14ac:dyDescent="0.2">
      <c r="B45" s="59" t="s">
        <v>75</v>
      </c>
      <c r="C45" s="60">
        <v>-265.55461165048689</v>
      </c>
    </row>
    <row r="46" spans="2:3" x14ac:dyDescent="0.2">
      <c r="B46" s="59" t="s">
        <v>58</v>
      </c>
      <c r="C46" s="60">
        <v>-312.26062391904765</v>
      </c>
    </row>
    <row r="47" spans="2:3" x14ac:dyDescent="0.2">
      <c r="B47" s="59" t="s">
        <v>79</v>
      </c>
      <c r="C47" s="60">
        <v>-418.71290322580677</v>
      </c>
    </row>
    <row r="48" spans="2:3" x14ac:dyDescent="0.2">
      <c r="B48" s="59" t="s">
        <v>49</v>
      </c>
      <c r="C48" s="60">
        <v>-503.15960784313756</v>
      </c>
    </row>
    <row r="49" spans="2:3" x14ac:dyDescent="0.2">
      <c r="B49" s="59" t="s">
        <v>81</v>
      </c>
      <c r="C49" s="60">
        <v>-811.67848089894653</v>
      </c>
    </row>
    <row r="50" spans="2:3" x14ac:dyDescent="0.2">
      <c r="B50" s="59" t="s">
        <v>45</v>
      </c>
      <c r="C50" s="60">
        <v>-822.37120266333829</v>
      </c>
    </row>
    <row r="51" spans="2:3" x14ac:dyDescent="0.2">
      <c r="B51" s="59" t="s">
        <v>61</v>
      </c>
      <c r="C51" s="60">
        <v>-835.20750497017468</v>
      </c>
    </row>
    <row r="52" spans="2:3" x14ac:dyDescent="0.2">
      <c r="B52" s="59" t="s">
        <v>44</v>
      </c>
      <c r="C52" s="60">
        <v>-1053.2195268512276</v>
      </c>
    </row>
    <row r="53" spans="2:3" x14ac:dyDescent="0.2">
      <c r="B53" s="59" t="s">
        <v>53</v>
      </c>
      <c r="C53" s="60">
        <v>-1310.0337015899852</v>
      </c>
    </row>
    <row r="54" spans="2:3" x14ac:dyDescent="0.2">
      <c r="B54" s="59" t="s">
        <v>70</v>
      </c>
      <c r="C54" s="60">
        <v>-1646.0934579439245</v>
      </c>
    </row>
    <row r="55" spans="2:3" x14ac:dyDescent="0.2">
      <c r="B55" s="59" t="s">
        <v>97</v>
      </c>
      <c r="C55" s="60">
        <v>72607.56133977526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F02-6D23-914C-BB40-0B9E2C6A8155}">
  <dimension ref="A1:P114"/>
  <sheetViews>
    <sheetView showGridLines="0" tabSelected="1" zoomScale="90" zoomScaleNormal="90" workbookViewId="0">
      <selection activeCell="K6" sqref="K6"/>
    </sheetView>
  </sheetViews>
  <sheetFormatPr baseColWidth="10" defaultRowHeight="16" x14ac:dyDescent="0.2"/>
  <cols>
    <col min="1" max="1" width="1.83203125" style="1" customWidth="1"/>
    <col min="2" max="3" width="13.83203125" style="1" customWidth="1"/>
    <col min="4" max="4" width="21.6640625" style="1" customWidth="1"/>
    <col min="5" max="5" width="15.33203125" style="1" customWidth="1"/>
    <col min="6" max="6" width="15.33203125" style="8" customWidth="1"/>
    <col min="7" max="7" width="15.33203125" style="27" customWidth="1"/>
    <col min="8" max="8" width="15.33203125" style="6" customWidth="1"/>
    <col min="9" max="9" width="15.33203125" style="39" customWidth="1"/>
    <col min="10" max="10" width="15.33203125" style="21" customWidth="1"/>
    <col min="11" max="11" width="15.33203125" style="1" customWidth="1"/>
    <col min="12" max="13" width="15.33203125" style="21" customWidth="1"/>
    <col min="14" max="14" width="15.33203125" style="35" customWidth="1"/>
    <col min="15" max="15" width="16" style="39" customWidth="1"/>
    <col min="16" max="16" width="16" style="35" customWidth="1"/>
    <col min="17" max="17" width="13.83203125" style="1" customWidth="1"/>
    <col min="18" max="16384" width="10.83203125" style="1"/>
  </cols>
  <sheetData>
    <row r="1" spans="2:16" ht="17" customHeight="1" x14ac:dyDescent="0.2">
      <c r="B1" s="96" t="s">
        <v>99</v>
      </c>
      <c r="C1" s="97"/>
      <c r="D1" s="97"/>
      <c r="E1" s="97"/>
      <c r="F1" s="97"/>
      <c r="G1" s="97"/>
      <c r="I1" s="81"/>
      <c r="J1" s="81"/>
    </row>
    <row r="2" spans="2:16" ht="17" customHeight="1" x14ac:dyDescent="0.2">
      <c r="B2" s="98" t="s">
        <v>32</v>
      </c>
      <c r="C2" s="99"/>
      <c r="D2" s="99" t="s">
        <v>92</v>
      </c>
      <c r="E2" s="99"/>
      <c r="F2" s="99" t="s">
        <v>116</v>
      </c>
      <c r="G2" s="99"/>
      <c r="I2" s="101" t="s">
        <v>120</v>
      </c>
      <c r="J2" s="101"/>
      <c r="K2" s="100"/>
      <c r="L2" s="100"/>
      <c r="M2" s="100"/>
      <c r="N2" s="100"/>
      <c r="O2" s="100"/>
      <c r="P2" s="100"/>
    </row>
    <row r="3" spans="2:16" ht="34" x14ac:dyDescent="0.2">
      <c r="B3" s="22" t="s">
        <v>32</v>
      </c>
      <c r="C3" s="22">
        <f>COUNTIF(Table1[PL],"&gt;0")</f>
        <v>59</v>
      </c>
      <c r="D3" s="41" t="s">
        <v>36</v>
      </c>
      <c r="E3" s="47">
        <v>100000</v>
      </c>
      <c r="F3" s="87" t="s">
        <v>117</v>
      </c>
      <c r="G3" s="85">
        <f>AVERAGEIF(Table1[PL],"&gt;0")</f>
        <v>1516.7840378638462</v>
      </c>
      <c r="I3" s="101"/>
      <c r="J3" s="101"/>
      <c r="K3" s="100"/>
      <c r="L3" s="100"/>
      <c r="M3" s="100"/>
      <c r="N3" s="100"/>
      <c r="O3" s="100"/>
      <c r="P3" s="100"/>
    </row>
    <row r="4" spans="2:16" ht="34" x14ac:dyDescent="0.2">
      <c r="B4" s="22" t="s">
        <v>33</v>
      </c>
      <c r="C4" s="22">
        <f>COUNTIF(Table1[PL],"&lt;0")</f>
        <v>43</v>
      </c>
      <c r="D4" s="41" t="s">
        <v>35</v>
      </c>
      <c r="E4" s="47">
        <f>SUM(Table1[PL])</f>
        <v>72607.561339775231</v>
      </c>
      <c r="F4" s="87" t="s">
        <v>118</v>
      </c>
      <c r="G4" s="85">
        <f>AVERAGEIF(Table1[PL],"&lt;0")</f>
        <v>-392.62085800445766</v>
      </c>
      <c r="H4" s="25"/>
      <c r="I4" s="101"/>
      <c r="J4" s="101"/>
      <c r="K4" s="100"/>
      <c r="L4" s="100"/>
      <c r="M4" s="100"/>
      <c r="N4" s="100"/>
      <c r="O4" s="100"/>
      <c r="P4" s="100"/>
    </row>
    <row r="5" spans="2:16" ht="34" x14ac:dyDescent="0.2">
      <c r="B5" s="22" t="s">
        <v>103</v>
      </c>
      <c r="C5" s="22">
        <f>SUM(C3:C4)</f>
        <v>102</v>
      </c>
      <c r="D5" s="41" t="s">
        <v>111</v>
      </c>
      <c r="E5" s="47">
        <f>GETPIVOTDATA("Sum commissions",'Pivot tables'!$E$2)</f>
        <v>4262</v>
      </c>
      <c r="F5" s="83" t="s">
        <v>119</v>
      </c>
      <c r="G5" s="85">
        <f>AVERAGE(Table1[PL])</f>
        <v>704.92777999781777</v>
      </c>
      <c r="I5" s="101"/>
      <c r="J5" s="101"/>
      <c r="K5" s="100"/>
      <c r="L5" s="100"/>
      <c r="M5" s="100"/>
      <c r="N5" s="100"/>
      <c r="O5" s="100"/>
      <c r="P5" s="100"/>
    </row>
    <row r="6" spans="2:16" ht="17" x14ac:dyDescent="0.2">
      <c r="B6" s="43" t="s">
        <v>91</v>
      </c>
      <c r="C6" s="44">
        <f>C3/C4</f>
        <v>1.3720930232558139</v>
      </c>
      <c r="D6" s="41" t="s">
        <v>37</v>
      </c>
      <c r="E6" s="88">
        <f>E3+E4-E5</f>
        <v>168345.56133977522</v>
      </c>
    </row>
    <row r="7" spans="2:16" ht="17" x14ac:dyDescent="0.2">
      <c r="B7" s="45"/>
      <c r="C7" s="71"/>
      <c r="D7" s="41" t="s">
        <v>34</v>
      </c>
      <c r="E7" s="76">
        <f>E6/E3-1</f>
        <v>0.68345561339775207</v>
      </c>
    </row>
    <row r="8" spans="2:16" x14ac:dyDescent="0.2">
      <c r="B8" s="40"/>
      <c r="C8" s="70"/>
      <c r="F8" s="40"/>
      <c r="G8" s="70"/>
    </row>
    <row r="9" spans="2:16" ht="34" x14ac:dyDescent="0.2">
      <c r="B9" s="66" t="s">
        <v>15</v>
      </c>
      <c r="C9" s="66" t="s">
        <v>28</v>
      </c>
      <c r="D9" s="66" t="s">
        <v>2</v>
      </c>
      <c r="E9" s="66" t="s">
        <v>3</v>
      </c>
      <c r="F9" s="67" t="s">
        <v>4</v>
      </c>
      <c r="G9" s="68" t="s">
        <v>5</v>
      </c>
      <c r="H9" s="69" t="s">
        <v>102</v>
      </c>
      <c r="I9" s="61" t="s">
        <v>100</v>
      </c>
      <c r="J9" s="64" t="s">
        <v>1</v>
      </c>
      <c r="K9" s="42" t="s">
        <v>0</v>
      </c>
      <c r="L9" s="64" t="s">
        <v>16</v>
      </c>
      <c r="M9" s="64" t="s">
        <v>101</v>
      </c>
      <c r="N9" s="42" t="s">
        <v>113</v>
      </c>
      <c r="O9" s="72" t="s">
        <v>112</v>
      </c>
      <c r="P9" s="74" t="s">
        <v>114</v>
      </c>
    </row>
    <row r="10" spans="2:16" ht="17" x14ac:dyDescent="0.2">
      <c r="B10" s="3" t="s">
        <v>39</v>
      </c>
      <c r="C10" s="2" t="s">
        <v>19</v>
      </c>
      <c r="D10" s="2" t="s">
        <v>13</v>
      </c>
      <c r="E10" s="4" t="s">
        <v>17</v>
      </c>
      <c r="F10" s="28">
        <v>44232</v>
      </c>
      <c r="G10" s="31">
        <v>44236</v>
      </c>
      <c r="H10" s="62">
        <v>5000</v>
      </c>
      <c r="I10" s="34">
        <f>(2000*19+3000*19.01)/5000</f>
        <v>19.006</v>
      </c>
      <c r="J10" s="32">
        <v>19</v>
      </c>
      <c r="K10" s="30">
        <v>19.059999999999999</v>
      </c>
      <c r="L10" s="32">
        <f>Table1[[#This Row],[Entry commission]]</f>
        <v>19</v>
      </c>
      <c r="M10" s="24">
        <f>(Table1[[#This Row],[Position size]]*Table1[[#This Row],[Entry price]]-Table1[[#This Row],[Entry commission]]-Table1[[#This Row],[Exit commission]])*Table1[[#This Row],[PL% on trade]]</f>
        <v>269.89203409448891</v>
      </c>
      <c r="N10" s="37">
        <f>((Table1[[#This Row],[Exit price]]-Table1[[#This Row],[Entry price]]))/Table1[[#This Row],[Entry price]]</f>
        <v>2.8412080395663732E-3</v>
      </c>
      <c r="O10" s="63">
        <f>SUM(Table1[[#This Row],[PL]])</f>
        <v>269.89203409448891</v>
      </c>
      <c r="P10" s="36">
        <f>Table1[[#This Row],[Total Return]]/$E$3</f>
        <v>2.6989203409448891E-3</v>
      </c>
    </row>
    <row r="11" spans="2:16" ht="17" x14ac:dyDescent="0.2">
      <c r="B11" s="3" t="s">
        <v>39</v>
      </c>
      <c r="C11" s="2" t="s">
        <v>19</v>
      </c>
      <c r="D11" s="2" t="s">
        <v>9</v>
      </c>
      <c r="E11" s="4" t="s">
        <v>17</v>
      </c>
      <c r="F11" s="28">
        <v>44232</v>
      </c>
      <c r="G11" s="31">
        <v>44236</v>
      </c>
      <c r="H11" s="62">
        <v>5900</v>
      </c>
      <c r="I11" s="34">
        <f>(1000*18.7+2000*18.74+2900*18.8)/5900</f>
        <v>18.762711864406779</v>
      </c>
      <c r="J11" s="32">
        <v>19</v>
      </c>
      <c r="K11" s="30">
        <v>18.73</v>
      </c>
      <c r="L11" s="32">
        <f>Table1[[#This Row],[Entry commission]]</f>
        <v>19</v>
      </c>
      <c r="M11" s="24">
        <f>(Table1[[#This Row],[Position size]]*Table1[[#This Row],[Entry price]]-Table1[[#This Row],[Entry commission]]-Table1[[#This Row],[Exit commission]])*Table1[[#This Row],[PL% on trade]]</f>
        <v>-192.93374887081279</v>
      </c>
      <c r="N11" s="37">
        <f>((Table1[[#This Row],[Exit price]]-Table1[[#This Row],[Entry price]]))/Table1[[#This Row],[Entry price]]</f>
        <v>-1.7434507678409281E-3</v>
      </c>
      <c r="O11" s="63">
        <f>SUM($M$10:M11)</f>
        <v>76.958285223676114</v>
      </c>
      <c r="P11" s="36">
        <f>Table1[[#This Row],[Total Return]]/$E$3</f>
        <v>7.6958285223676119E-4</v>
      </c>
    </row>
    <row r="12" spans="2:16" ht="17" x14ac:dyDescent="0.2">
      <c r="B12" s="3" t="s">
        <v>55</v>
      </c>
      <c r="C12" s="2" t="s">
        <v>19</v>
      </c>
      <c r="D12" s="2" t="s">
        <v>26</v>
      </c>
      <c r="E12" s="4" t="s">
        <v>17</v>
      </c>
      <c r="F12" s="28">
        <v>44236</v>
      </c>
      <c r="G12" s="31">
        <v>44238</v>
      </c>
      <c r="H12" s="62">
        <v>1000</v>
      </c>
      <c r="I12" s="34">
        <f>(1000*10.24+1000*10.88)/2000</f>
        <v>10.56</v>
      </c>
      <c r="J12" s="32">
        <v>19</v>
      </c>
      <c r="K12" s="30">
        <v>10.92</v>
      </c>
      <c r="L12" s="32">
        <f>Table1[[#This Row],[Entry commission]]</f>
        <v>19</v>
      </c>
      <c r="M12" s="24">
        <f>(Table1[[#This Row],[Position size]]*Table1[[#This Row],[Entry price]]-Table1[[#This Row],[Entry commission]]-Table1[[#This Row],[Exit commission]])*Table1[[#This Row],[PL% on trade]]</f>
        <v>358.70454545454487</v>
      </c>
      <c r="N12" s="37">
        <f>((Table1[[#This Row],[Exit price]]-Table1[[#This Row],[Entry price]]))/Table1[[#This Row],[Entry price]]</f>
        <v>3.4090909090909033E-2</v>
      </c>
      <c r="O12" s="63">
        <f>SUM($M$10:M12)</f>
        <v>435.66283067822098</v>
      </c>
      <c r="P12" s="36">
        <f>Table1[[#This Row],[Total Return]]/$E$3</f>
        <v>4.3566283067822094E-3</v>
      </c>
    </row>
    <row r="13" spans="2:16" ht="17" x14ac:dyDescent="0.2">
      <c r="B13" s="3" t="s">
        <v>76</v>
      </c>
      <c r="C13" s="2" t="s">
        <v>19</v>
      </c>
      <c r="D13" s="2" t="s">
        <v>13</v>
      </c>
      <c r="E13" s="4" t="s">
        <v>17</v>
      </c>
      <c r="F13" s="28">
        <v>44236</v>
      </c>
      <c r="G13" s="31">
        <v>44238</v>
      </c>
      <c r="H13" s="62">
        <v>1000</v>
      </c>
      <c r="I13" s="34">
        <v>31.25</v>
      </c>
      <c r="J13" s="32">
        <v>19</v>
      </c>
      <c r="K13" s="30">
        <v>31.3</v>
      </c>
      <c r="L13" s="32">
        <f>Table1[[#This Row],[Entry commission]]</f>
        <v>19</v>
      </c>
      <c r="M13" s="24">
        <f>(Table1[[#This Row],[Position size]]*Table1[[#This Row],[Entry price]]-Table1[[#This Row],[Entry commission]]-Table1[[#This Row],[Exit commission]])*Table1[[#This Row],[PL% on trade]]</f>
        <v>49.93920000000071</v>
      </c>
      <c r="N13" s="37">
        <f>((Table1[[#This Row],[Exit price]]-Table1[[#This Row],[Entry price]]))/Table1[[#This Row],[Entry price]]</f>
        <v>1.6000000000000228E-3</v>
      </c>
      <c r="O13" s="63">
        <f>SUM($M$10:M13)</f>
        <v>485.60203067822169</v>
      </c>
      <c r="P13" s="36">
        <f>Table1[[#This Row],[Total Return]]/$E$3</f>
        <v>4.8560203067822168E-3</v>
      </c>
    </row>
    <row r="14" spans="2:16" ht="17" x14ac:dyDescent="0.2">
      <c r="B14" s="3" t="s">
        <v>39</v>
      </c>
      <c r="C14" s="2" t="s">
        <v>19</v>
      </c>
      <c r="D14" s="2" t="s">
        <v>8</v>
      </c>
      <c r="E14" s="4" t="s">
        <v>17</v>
      </c>
      <c r="F14" s="28">
        <v>44236</v>
      </c>
      <c r="G14" s="31">
        <v>44238</v>
      </c>
      <c r="H14" s="62">
        <v>1000</v>
      </c>
      <c r="I14" s="34">
        <v>23</v>
      </c>
      <c r="J14" s="32">
        <v>19</v>
      </c>
      <c r="K14" s="30">
        <v>21.3</v>
      </c>
      <c r="L14" s="32">
        <f>Table1[[#This Row],[Entry commission]]</f>
        <v>19</v>
      </c>
      <c r="M14" s="24">
        <f>(Table1[[#This Row],[Position size]]*Table1[[#This Row],[Entry price]]-Table1[[#This Row],[Entry commission]]-Table1[[#This Row],[Exit commission]])*Table1[[#This Row],[PL% on trade]]</f>
        <v>-1697.1913043478255</v>
      </c>
      <c r="N14" s="37">
        <f>((Table1[[#This Row],[Exit price]]-Table1[[#This Row],[Entry price]]))/Table1[[#This Row],[Entry price]]</f>
        <v>-7.3913043478260845E-2</v>
      </c>
      <c r="O14" s="63">
        <f>SUM($M$10:M14)</f>
        <v>-1211.5892736696037</v>
      </c>
      <c r="P14" s="36">
        <f>Table1[[#This Row],[Total Return]]/$E$3</f>
        <v>-1.2115892736696037E-2</v>
      </c>
    </row>
    <row r="15" spans="2:16" ht="17" x14ac:dyDescent="0.2">
      <c r="B15" s="3" t="s">
        <v>77</v>
      </c>
      <c r="C15" s="2" t="s">
        <v>19</v>
      </c>
      <c r="D15" s="2" t="s">
        <v>10</v>
      </c>
      <c r="E15" s="4" t="s">
        <v>17</v>
      </c>
      <c r="F15" s="28">
        <v>44237</v>
      </c>
      <c r="G15" s="31">
        <v>44239</v>
      </c>
      <c r="H15" s="62">
        <v>555</v>
      </c>
      <c r="I15" s="34">
        <v>97.75</v>
      </c>
      <c r="J15" s="32">
        <v>19</v>
      </c>
      <c r="K15" s="30">
        <v>98</v>
      </c>
      <c r="L15" s="32">
        <f>Table1[[#This Row],[Entry commission]]</f>
        <v>19</v>
      </c>
      <c r="M15" s="24">
        <f>(Table1[[#This Row],[Position size]]*Table1[[#This Row],[Entry price]]-Table1[[#This Row],[Entry commission]]-Table1[[#This Row],[Exit commission]])*Table1[[#This Row],[PL% on trade]]</f>
        <v>138.65281329923275</v>
      </c>
      <c r="N15" s="37">
        <f>((Table1[[#This Row],[Exit price]]-Table1[[#This Row],[Entry price]]))/Table1[[#This Row],[Entry price]]</f>
        <v>2.5575447570332483E-3</v>
      </c>
      <c r="O15" s="24">
        <f>SUM($M$10:M15)</f>
        <v>-1072.9364603703709</v>
      </c>
      <c r="P15" s="36">
        <f>Table1[[#This Row],[Total Return]]/$E$3</f>
        <v>-1.0729364603703708E-2</v>
      </c>
    </row>
    <row r="16" spans="2:16" ht="17" x14ac:dyDescent="0.2">
      <c r="B16" s="3" t="s">
        <v>84</v>
      </c>
      <c r="C16" s="2" t="s">
        <v>19</v>
      </c>
      <c r="D16" s="2" t="s">
        <v>10</v>
      </c>
      <c r="E16" s="4" t="s">
        <v>17</v>
      </c>
      <c r="F16" s="28">
        <v>44237</v>
      </c>
      <c r="G16" s="31">
        <v>44239</v>
      </c>
      <c r="H16" s="62">
        <v>300</v>
      </c>
      <c r="I16" s="34">
        <v>6.35</v>
      </c>
      <c r="J16" s="32">
        <v>19</v>
      </c>
      <c r="K16" s="30">
        <v>6.34</v>
      </c>
      <c r="L16" s="32">
        <f>Table1[[#This Row],[Entry commission]]</f>
        <v>19</v>
      </c>
      <c r="M16" s="24">
        <f>(Table1[[#This Row],[Position size]]*Table1[[#This Row],[Entry price]]-Table1[[#This Row],[Entry commission]]-Table1[[#This Row],[Exit commission]])*Table1[[#This Row],[PL% on trade]]</f>
        <v>-2.9401574803148982</v>
      </c>
      <c r="N16" s="37">
        <f>((Table1[[#This Row],[Exit price]]-Table1[[#This Row],[Entry price]]))/Table1[[#This Row],[Entry price]]</f>
        <v>-1.5748031496062658E-3</v>
      </c>
      <c r="O16" s="24">
        <f>SUM($M$10:M16)</f>
        <v>-1075.8766178506858</v>
      </c>
      <c r="P16" s="36">
        <f>Table1[[#This Row],[Total Return]]/$E$3</f>
        <v>-1.0758766178506858E-2</v>
      </c>
    </row>
    <row r="17" spans="1:16" ht="17" x14ac:dyDescent="0.2">
      <c r="B17" s="3" t="s">
        <v>52</v>
      </c>
      <c r="C17" s="2" t="s">
        <v>19</v>
      </c>
      <c r="D17" s="2" t="s">
        <v>12</v>
      </c>
      <c r="E17" s="4" t="s">
        <v>17</v>
      </c>
      <c r="F17" s="31">
        <v>44238</v>
      </c>
      <c r="G17" s="31">
        <v>44242</v>
      </c>
      <c r="H17" s="62">
        <v>1000</v>
      </c>
      <c r="I17" s="34">
        <f>(1800*5.51+2500*7+1990*6.95)/6290</f>
        <v>6.5577901430842607</v>
      </c>
      <c r="J17" s="32">
        <v>19</v>
      </c>
      <c r="K17" s="30">
        <v>7.03</v>
      </c>
      <c r="L17" s="32">
        <f>Table1[[#This Row],[Entry commission]]</f>
        <v>19</v>
      </c>
      <c r="M17" s="24">
        <f>(Table1[[#This Row],[Position size]]*Table1[[#This Row],[Entry price]]-Table1[[#This Row],[Entry commission]]-Table1[[#This Row],[Exit commission]])*Table1[[#This Row],[PL% on trade]]</f>
        <v>469.47357317208827</v>
      </c>
      <c r="N17" s="37">
        <f>((Table1[[#This Row],[Exit price]]-Table1[[#This Row],[Entry price]]))/Table1[[#This Row],[Entry price]]</f>
        <v>7.2007466938191739E-2</v>
      </c>
      <c r="O17" s="24">
        <f>SUM($M$10:M17)</f>
        <v>-606.40304467859755</v>
      </c>
      <c r="P17" s="36">
        <f>Table1[[#This Row],[Total Return]]/$E$3</f>
        <v>-6.0640304467859752E-3</v>
      </c>
    </row>
    <row r="18" spans="1:16" ht="17" x14ac:dyDescent="0.2">
      <c r="B18" s="3" t="s">
        <v>73</v>
      </c>
      <c r="C18" s="2" t="s">
        <v>19</v>
      </c>
      <c r="D18" s="2" t="s">
        <v>13</v>
      </c>
      <c r="E18" s="4" t="s">
        <v>17</v>
      </c>
      <c r="F18" s="31">
        <v>44238</v>
      </c>
      <c r="G18" s="31">
        <v>44242</v>
      </c>
      <c r="H18" s="62">
        <v>1000</v>
      </c>
      <c r="I18" s="34">
        <v>24.4222</v>
      </c>
      <c r="J18" s="32">
        <v>15</v>
      </c>
      <c r="K18" s="30">
        <v>24.5</v>
      </c>
      <c r="L18" s="32">
        <f>Table1[[#This Row],[Entry commission]]</f>
        <v>15</v>
      </c>
      <c r="M18" s="24">
        <f>(Table1[[#This Row],[Position size]]*Table1[[#This Row],[Entry price]]-Table1[[#This Row],[Entry commission]]-Table1[[#This Row],[Exit commission]])*Table1[[#This Row],[PL% on trade]]</f>
        <v>77.704431214222993</v>
      </c>
      <c r="N18" s="37">
        <f>((Table1[[#This Row],[Exit price]]-Table1[[#This Row],[Entry price]]))/Table1[[#This Row],[Entry price]]</f>
        <v>3.1856261925624994E-3</v>
      </c>
      <c r="O18" s="24">
        <f>SUM($M$10:M18)</f>
        <v>-528.6986134643746</v>
      </c>
      <c r="P18" s="36">
        <f>Table1[[#This Row],[Total Return]]/$E$3</f>
        <v>-5.2869861346437463E-3</v>
      </c>
    </row>
    <row r="19" spans="1:16" ht="17" x14ac:dyDescent="0.2">
      <c r="B19" s="3" t="s">
        <v>83</v>
      </c>
      <c r="C19" s="2" t="s">
        <v>19</v>
      </c>
      <c r="D19" s="2" t="s">
        <v>26</v>
      </c>
      <c r="E19" s="4" t="s">
        <v>17</v>
      </c>
      <c r="F19" s="31">
        <v>44239</v>
      </c>
      <c r="G19" s="31">
        <v>44243</v>
      </c>
      <c r="H19" s="62">
        <v>245</v>
      </c>
      <c r="I19" s="34">
        <f>(245*43.28+255*46.83)/500</f>
        <v>45.090499999999999</v>
      </c>
      <c r="J19" s="32">
        <v>15</v>
      </c>
      <c r="K19" s="30">
        <v>47.14</v>
      </c>
      <c r="L19" s="32">
        <f>Table1[[#This Row],[Entry commission]]</f>
        <v>15</v>
      </c>
      <c r="M19" s="24">
        <f>(Table1[[#This Row],[Position size]]*Table1[[#This Row],[Entry price]]-Table1[[#This Row],[Entry commission]]-Table1[[#This Row],[Exit commission]])*Table1[[#This Row],[PL% on trade]]</f>
        <v>500.76390899967896</v>
      </c>
      <c r="N19" s="37">
        <f>((Table1[[#This Row],[Exit price]]-Table1[[#This Row],[Entry price]]))/Table1[[#This Row],[Entry price]]</f>
        <v>4.5453033344052561E-2</v>
      </c>
      <c r="O19" s="24">
        <f>SUM($M$10:M19)</f>
        <v>-27.934704464695642</v>
      </c>
      <c r="P19" s="36">
        <f>Table1[[#This Row],[Total Return]]/$E$3</f>
        <v>-2.7934704464695643E-4</v>
      </c>
    </row>
    <row r="20" spans="1:16" ht="17" x14ac:dyDescent="0.2">
      <c r="B20" s="3" t="s">
        <v>68</v>
      </c>
      <c r="C20" s="2" t="s">
        <v>19</v>
      </c>
      <c r="D20" s="2" t="s">
        <v>8</v>
      </c>
      <c r="E20" s="4" t="s">
        <v>17</v>
      </c>
      <c r="F20" s="31">
        <v>44239</v>
      </c>
      <c r="G20" s="31">
        <v>44243</v>
      </c>
      <c r="H20" s="62">
        <v>1000</v>
      </c>
      <c r="I20" s="34">
        <v>7.7510000000000003</v>
      </c>
      <c r="J20" s="32">
        <v>19</v>
      </c>
      <c r="K20" s="30">
        <v>8</v>
      </c>
      <c r="L20" s="32">
        <f>Table1[[#This Row],[Entry commission]]</f>
        <v>19</v>
      </c>
      <c r="M20" s="24">
        <f>(Table1[[#This Row],[Position size]]*Table1[[#This Row],[Entry price]]-Table1[[#This Row],[Entry commission]]-Table1[[#This Row],[Exit commission]])*Table1[[#This Row],[PL% on trade]]</f>
        <v>247.77925428976872</v>
      </c>
      <c r="N20" s="37">
        <f>((Table1[[#This Row],[Exit price]]-Table1[[#This Row],[Entry price]]))/Table1[[#This Row],[Entry price]]</f>
        <v>3.2124887111340428E-2</v>
      </c>
      <c r="O20" s="24">
        <f>SUM($M$10:M20)</f>
        <v>219.84454982507307</v>
      </c>
      <c r="P20" s="36">
        <f>Table1[[#This Row],[Total Return]]/$E$3</f>
        <v>2.1984454982507309E-3</v>
      </c>
    </row>
    <row r="21" spans="1:16" ht="17" x14ac:dyDescent="0.2">
      <c r="B21" s="3" t="s">
        <v>66</v>
      </c>
      <c r="C21" s="2" t="s">
        <v>19</v>
      </c>
      <c r="D21" s="2" t="s">
        <v>10</v>
      </c>
      <c r="E21" s="4" t="s">
        <v>17</v>
      </c>
      <c r="F21" s="31">
        <v>44242</v>
      </c>
      <c r="G21" s="31">
        <v>44244</v>
      </c>
      <c r="H21" s="62">
        <v>325</v>
      </c>
      <c r="I21" s="34">
        <v>43.6</v>
      </c>
      <c r="J21" s="32">
        <v>19</v>
      </c>
      <c r="K21" s="30">
        <v>46.1</v>
      </c>
      <c r="L21" s="32">
        <f>Table1[[#This Row],[Entry commission]]</f>
        <v>19</v>
      </c>
      <c r="M21" s="24">
        <f>(Table1[[#This Row],[Position size]]*Table1[[#This Row],[Entry price]]-Table1[[#This Row],[Entry commission]]-Table1[[#This Row],[Exit commission]])*Table1[[#This Row],[PL% on trade]]</f>
        <v>810.32110091743118</v>
      </c>
      <c r="N21" s="37">
        <f>((Table1[[#This Row],[Exit price]]-Table1[[#This Row],[Entry price]]))/Table1[[#This Row],[Entry price]]</f>
        <v>5.73394495412844E-2</v>
      </c>
      <c r="O21" s="24">
        <f>SUM($M$10:M21)</f>
        <v>1030.1656507425043</v>
      </c>
      <c r="P21" s="36">
        <f>Table1[[#This Row],[Total Return]]/$E$3</f>
        <v>1.0301656507425044E-2</v>
      </c>
    </row>
    <row r="22" spans="1:16" ht="17" x14ac:dyDescent="0.2">
      <c r="B22" s="3" t="s">
        <v>61</v>
      </c>
      <c r="C22" s="2" t="s">
        <v>19</v>
      </c>
      <c r="D22" s="2" t="s">
        <v>10</v>
      </c>
      <c r="E22" s="4" t="s">
        <v>17</v>
      </c>
      <c r="F22" s="28">
        <v>44256</v>
      </c>
      <c r="G22" s="31">
        <v>44258</v>
      </c>
      <c r="H22" s="62">
        <v>2000</v>
      </c>
      <c r="I22" s="34">
        <v>25.15</v>
      </c>
      <c r="J22" s="32">
        <v>15</v>
      </c>
      <c r="K22" s="30">
        <v>24.8</v>
      </c>
      <c r="L22" s="32">
        <f>Table1[[#This Row],[Entry commission]]</f>
        <v>15</v>
      </c>
      <c r="M22" s="24">
        <f>(Table1[[#This Row],[Position size]]*Table1[[#This Row],[Entry price]]-Table1[[#This Row],[Entry commission]]-Table1[[#This Row],[Exit commission]])*Table1[[#This Row],[PL% on trade]]</f>
        <v>-699.58250497017468</v>
      </c>
      <c r="N22" s="37">
        <f>((Table1[[#This Row],[Exit price]]-Table1[[#This Row],[Entry price]]))/Table1[[#This Row],[Entry price]]</f>
        <v>-1.3916500994035701E-2</v>
      </c>
      <c r="O22" s="24">
        <f>SUM($M$10:M22)</f>
        <v>330.58314577232966</v>
      </c>
      <c r="P22" s="36">
        <f>Table1[[#This Row],[Total Return]]/$E$3</f>
        <v>3.3058314577232967E-3</v>
      </c>
    </row>
    <row r="23" spans="1:16" ht="17" x14ac:dyDescent="0.2">
      <c r="B23" s="3" t="s">
        <v>68</v>
      </c>
      <c r="C23" s="2" t="s">
        <v>19</v>
      </c>
      <c r="D23" s="2" t="s">
        <v>12</v>
      </c>
      <c r="E23" s="4" t="s">
        <v>17</v>
      </c>
      <c r="F23" s="28">
        <v>44257</v>
      </c>
      <c r="G23" s="31">
        <v>44259</v>
      </c>
      <c r="H23" s="62">
        <v>1000</v>
      </c>
      <c r="I23" s="34">
        <v>8.15</v>
      </c>
      <c r="J23" s="32">
        <v>15</v>
      </c>
      <c r="K23" s="30">
        <v>8.6199999999999992</v>
      </c>
      <c r="L23" s="32">
        <f>Table1[[#This Row],[Entry commission]]</f>
        <v>15</v>
      </c>
      <c r="M23" s="24">
        <f>(Table1[[#This Row],[Position size]]*Table1[[#This Row],[Entry price]]-Table1[[#This Row],[Entry commission]]-Table1[[#This Row],[Exit commission]])*Table1[[#This Row],[PL% on trade]]</f>
        <v>468.26993865030562</v>
      </c>
      <c r="N23" s="37">
        <f>((Table1[[#This Row],[Exit price]]-Table1[[#This Row],[Entry price]]))/Table1[[#This Row],[Entry price]]</f>
        <v>5.7668711656441579E-2</v>
      </c>
      <c r="O23" s="24">
        <f>SUM($M$10:M23)</f>
        <v>798.85308442263522</v>
      </c>
      <c r="P23" s="36">
        <f>Table1[[#This Row],[Total Return]]/$E$3</f>
        <v>7.9885308442263527E-3</v>
      </c>
    </row>
    <row r="24" spans="1:16" ht="17" x14ac:dyDescent="0.2">
      <c r="B24" s="3" t="s">
        <v>52</v>
      </c>
      <c r="C24" s="2" t="s">
        <v>19</v>
      </c>
      <c r="D24" s="2" t="s">
        <v>26</v>
      </c>
      <c r="E24" s="4" t="s">
        <v>17</v>
      </c>
      <c r="F24" s="28">
        <v>44259</v>
      </c>
      <c r="G24" s="31">
        <v>44264</v>
      </c>
      <c r="H24" s="62">
        <v>7000</v>
      </c>
      <c r="I24" s="34">
        <v>6.28</v>
      </c>
      <c r="J24" s="32">
        <v>19</v>
      </c>
      <c r="K24" s="30">
        <v>6.3</v>
      </c>
      <c r="L24" s="32">
        <f>Table1[[#This Row],[Entry commission]]</f>
        <v>19</v>
      </c>
      <c r="M24" s="24">
        <f>(Table1[[#This Row],[Position size]]*Table1[[#This Row],[Entry price]]-Table1[[#This Row],[Entry commission]]-Table1[[#This Row],[Exit commission]])*Table1[[#This Row],[PL% on trade]]</f>
        <v>139.87898089171676</v>
      </c>
      <c r="N24" s="37">
        <f>((Table1[[#This Row],[Exit price]]-Table1[[#This Row],[Entry price]]))/Table1[[#This Row],[Entry price]]</f>
        <v>3.1847133757961104E-3</v>
      </c>
      <c r="O24" s="24">
        <f>SUM($M$10:M24)</f>
        <v>938.73206531435198</v>
      </c>
      <c r="P24" s="36">
        <f>Table1[[#This Row],[Total Return]]/$E$3</f>
        <v>9.3873206531435195E-3</v>
      </c>
    </row>
    <row r="25" spans="1:16" ht="17" x14ac:dyDescent="0.2">
      <c r="B25" s="3" t="s">
        <v>82</v>
      </c>
      <c r="C25" s="2" t="s">
        <v>19</v>
      </c>
      <c r="D25" s="2" t="s">
        <v>14</v>
      </c>
      <c r="E25" s="4" t="s">
        <v>17</v>
      </c>
      <c r="F25" s="28">
        <v>44260</v>
      </c>
      <c r="G25" s="31">
        <v>44264</v>
      </c>
      <c r="H25" s="62">
        <v>200</v>
      </c>
      <c r="I25" s="34">
        <v>39.6</v>
      </c>
      <c r="J25" s="32">
        <v>15</v>
      </c>
      <c r="K25" s="30">
        <v>40</v>
      </c>
      <c r="L25" s="32">
        <f>Table1[[#This Row],[Entry commission]]</f>
        <v>15</v>
      </c>
      <c r="M25" s="24">
        <f>(Table1[[#This Row],[Position size]]*Table1[[#This Row],[Entry price]]-Table1[[#This Row],[Entry commission]]-Table1[[#This Row],[Exit commission]])*Table1[[#This Row],[PL% on trade]]</f>
        <v>79.696969696969418</v>
      </c>
      <c r="N25" s="37">
        <f>((Table1[[#This Row],[Exit price]]-Table1[[#This Row],[Entry price]]))/Table1[[#This Row],[Entry price]]</f>
        <v>1.0101010101010065E-2</v>
      </c>
      <c r="O25" s="24">
        <f>SUM($M$10:M25)</f>
        <v>1018.4290350113214</v>
      </c>
      <c r="P25" s="36">
        <f>Table1[[#This Row],[Total Return]]/$E$3</f>
        <v>1.0184290350113213E-2</v>
      </c>
    </row>
    <row r="26" spans="1:16" ht="17" x14ac:dyDescent="0.2">
      <c r="B26" s="3" t="s">
        <v>68</v>
      </c>
      <c r="C26" s="2" t="s">
        <v>19</v>
      </c>
      <c r="D26" s="2" t="s">
        <v>11</v>
      </c>
      <c r="E26" s="4" t="s">
        <v>17</v>
      </c>
      <c r="F26" s="31">
        <v>44265</v>
      </c>
      <c r="G26" s="31">
        <v>44267</v>
      </c>
      <c r="H26" s="62">
        <v>1500</v>
      </c>
      <c r="I26" s="34">
        <v>7.8917000000000002</v>
      </c>
      <c r="J26" s="32">
        <v>19</v>
      </c>
      <c r="K26" s="30">
        <v>8.19</v>
      </c>
      <c r="L26" s="32">
        <f>Table1[[#This Row],[Entry commission]]</f>
        <v>19</v>
      </c>
      <c r="M26" s="24">
        <f>(Table1[[#This Row],[Position size]]*Table1[[#This Row],[Entry price]]-Table1[[#This Row],[Entry commission]]-Table1[[#This Row],[Exit commission]])*Table1[[#This Row],[PL% on trade]]</f>
        <v>446.01363014306071</v>
      </c>
      <c r="N26" s="37">
        <f>((Table1[[#This Row],[Exit price]]-Table1[[#This Row],[Entry price]]))/Table1[[#This Row],[Entry price]]</f>
        <v>3.7799206761534185E-2</v>
      </c>
      <c r="O26" s="24">
        <f>SUM($M$10:M26)</f>
        <v>1464.4426651543822</v>
      </c>
      <c r="P26" s="36">
        <f>Table1[[#This Row],[Total Return]]/$E$3</f>
        <v>1.4644426651543823E-2</v>
      </c>
    </row>
    <row r="27" spans="1:16" ht="17" x14ac:dyDescent="0.2">
      <c r="B27" s="3" t="s">
        <v>53</v>
      </c>
      <c r="C27" s="2" t="s">
        <v>19</v>
      </c>
      <c r="D27" s="2" t="s">
        <v>11</v>
      </c>
      <c r="E27" s="4" t="s">
        <v>17</v>
      </c>
      <c r="F27" s="31">
        <v>44265</v>
      </c>
      <c r="G27" s="31">
        <v>44267</v>
      </c>
      <c r="H27" s="62">
        <v>1800</v>
      </c>
      <c r="I27" s="34">
        <v>15.9</v>
      </c>
      <c r="J27" s="32">
        <v>19</v>
      </c>
      <c r="K27" s="30">
        <v>15.93</v>
      </c>
      <c r="L27" s="32">
        <f>Table1[[#This Row],[Entry commission]]</f>
        <v>19</v>
      </c>
      <c r="M27" s="24">
        <f>(Table1[[#This Row],[Position size]]*Table1[[#This Row],[Entry price]]-Table1[[#This Row],[Entry commission]]-Table1[[#This Row],[Exit commission]])*Table1[[#This Row],[PL% on trade]]</f>
        <v>53.928301886791303</v>
      </c>
      <c r="N27" s="37">
        <f>((Table1[[#This Row],[Exit price]]-Table1[[#This Row],[Entry price]]))/Table1[[#This Row],[Entry price]]</f>
        <v>1.8867924528301484E-3</v>
      </c>
      <c r="O27" s="24">
        <f>SUM($M$10:M27)</f>
        <v>1518.3709670411736</v>
      </c>
      <c r="P27" s="36">
        <f>Table1[[#This Row],[Total Return]]/$E$3</f>
        <v>1.5183709670411735E-2</v>
      </c>
    </row>
    <row r="28" spans="1:16" ht="17" x14ac:dyDescent="0.2">
      <c r="B28" s="3" t="s">
        <v>53</v>
      </c>
      <c r="C28" s="2" t="s">
        <v>19</v>
      </c>
      <c r="D28" s="2" t="s">
        <v>13</v>
      </c>
      <c r="E28" s="4" t="s">
        <v>17</v>
      </c>
      <c r="F28" s="31">
        <v>44265</v>
      </c>
      <c r="G28" s="31">
        <v>44267</v>
      </c>
      <c r="H28" s="62">
        <v>4800</v>
      </c>
      <c r="I28" s="34">
        <v>15.9343</v>
      </c>
      <c r="J28" s="32">
        <v>19</v>
      </c>
      <c r="K28" s="30">
        <v>15.65</v>
      </c>
      <c r="L28" s="32">
        <f>Table1[[#This Row],[Entry commission]]</f>
        <v>19</v>
      </c>
      <c r="M28" s="24">
        <f>(Table1[[#This Row],[Position size]]*Table1[[#This Row],[Entry price]]-Table1[[#This Row],[Entry commission]]-Table1[[#This Row],[Exit commission]])*Table1[[#This Row],[PL% on trade]]</f>
        <v>-1363.9620034767765</v>
      </c>
      <c r="N28" s="37">
        <f>((Table1[[#This Row],[Exit price]]-Table1[[#This Row],[Entry price]]))/Table1[[#This Row],[Entry price]]</f>
        <v>-1.7842013769039117E-2</v>
      </c>
      <c r="O28" s="24">
        <f>SUM($M$10:M28)</f>
        <v>154.40896356439703</v>
      </c>
      <c r="P28" s="36">
        <f>Table1[[#This Row],[Total Return]]/$E$3</f>
        <v>1.5440896356439702E-3</v>
      </c>
    </row>
    <row r="29" spans="1:16" ht="17" x14ac:dyDescent="0.2">
      <c r="B29" s="3" t="s">
        <v>64</v>
      </c>
      <c r="C29" s="2" t="s">
        <v>19</v>
      </c>
      <c r="D29" s="2" t="s">
        <v>9</v>
      </c>
      <c r="E29" s="4" t="s">
        <v>17</v>
      </c>
      <c r="F29" s="31">
        <v>44266</v>
      </c>
      <c r="G29" s="31">
        <v>44270</v>
      </c>
      <c r="H29" s="62">
        <v>3400</v>
      </c>
      <c r="I29" s="34">
        <v>7.31</v>
      </c>
      <c r="J29" s="32">
        <v>19</v>
      </c>
      <c r="K29" s="34">
        <v>11.2</v>
      </c>
      <c r="L29" s="32">
        <f>Table1[[#This Row],[Entry commission]]</f>
        <v>19</v>
      </c>
      <c r="M29" s="24">
        <f>(Table1[[#This Row],[Position size]]*Table1[[#This Row],[Entry price]]-Table1[[#This Row],[Entry commission]]-Table1[[#This Row],[Exit commission]])*Table1[[#This Row],[PL% on trade]]</f>
        <v>13205.778385772914</v>
      </c>
      <c r="N29" s="37">
        <f>((Table1[[#This Row],[Exit price]]-Table1[[#This Row],[Entry price]]))/Table1[[#This Row],[Entry price]]</f>
        <v>0.53214774281805743</v>
      </c>
      <c r="O29" s="24">
        <f>SUM($M$10:M29)</f>
        <v>13360.187349337311</v>
      </c>
      <c r="P29" s="36">
        <f>Table1[[#This Row],[Total Return]]/$E$3</f>
        <v>0.1336018734933731</v>
      </c>
    </row>
    <row r="30" spans="1:16" ht="17" x14ac:dyDescent="0.2">
      <c r="B30" s="3" t="s">
        <v>79</v>
      </c>
      <c r="C30" s="2" t="s">
        <v>19</v>
      </c>
      <c r="D30" s="2" t="s">
        <v>8</v>
      </c>
      <c r="E30" s="4" t="s">
        <v>17</v>
      </c>
      <c r="F30" s="31">
        <v>44273</v>
      </c>
      <c r="G30" s="31">
        <v>44277</v>
      </c>
      <c r="H30" s="62">
        <v>100</v>
      </c>
      <c r="I30" s="34">
        <v>124</v>
      </c>
      <c r="J30" s="32">
        <v>19</v>
      </c>
      <c r="K30" s="30">
        <v>119.8</v>
      </c>
      <c r="L30" s="32">
        <f>Table1[[#This Row],[Entry commission]]</f>
        <v>19</v>
      </c>
      <c r="M30" s="24">
        <f>(Table1[[#This Row],[Position size]]*Table1[[#This Row],[Entry price]]-Table1[[#This Row],[Entry commission]]-Table1[[#This Row],[Exit commission]])*Table1[[#This Row],[PL% on trade]]</f>
        <v>-418.71290322580677</v>
      </c>
      <c r="N30" s="37">
        <f>((Table1[[#This Row],[Exit price]]-Table1[[#This Row],[Entry price]]))/Table1[[#This Row],[Entry price]]</f>
        <v>-3.3870967741935508E-2</v>
      </c>
      <c r="O30" s="24">
        <f>SUM($M$10:M30)</f>
        <v>12941.474446111504</v>
      </c>
      <c r="P30" s="36">
        <f>Table1[[#This Row],[Total Return]]/$E$3</f>
        <v>0.12941474446111503</v>
      </c>
    </row>
    <row r="31" spans="1:16" ht="17" x14ac:dyDescent="0.2">
      <c r="B31" s="3" t="s">
        <v>39</v>
      </c>
      <c r="C31" s="2" t="s">
        <v>19</v>
      </c>
      <c r="D31" s="2" t="s">
        <v>14</v>
      </c>
      <c r="E31" s="4" t="s">
        <v>17</v>
      </c>
      <c r="F31" s="31">
        <v>44277</v>
      </c>
      <c r="G31" s="31">
        <v>44279</v>
      </c>
      <c r="H31" s="62">
        <v>2000</v>
      </c>
      <c r="I31" s="34">
        <v>19</v>
      </c>
      <c r="J31" s="32">
        <v>15</v>
      </c>
      <c r="K31" s="30">
        <v>18.98</v>
      </c>
      <c r="L31" s="32">
        <f>Table1[[#This Row],[Entry commission]]</f>
        <v>15</v>
      </c>
      <c r="M31" s="24">
        <f>(Table1[[#This Row],[Position size]]*Table1[[#This Row],[Entry price]]-Table1[[#This Row],[Entry commission]]-Table1[[#This Row],[Exit commission]])*Table1[[#This Row],[PL% on trade]]</f>
        <v>-39.968421052630731</v>
      </c>
      <c r="N31" s="37">
        <f>((Table1[[#This Row],[Exit price]]-Table1[[#This Row],[Entry price]]))/Table1[[#This Row],[Entry price]]</f>
        <v>-1.0526315789473461E-3</v>
      </c>
      <c r="O31" s="24">
        <f>SUM($M$10:M31)</f>
        <v>12901.506025058874</v>
      </c>
      <c r="P31" s="36">
        <f>Table1[[#This Row],[Total Return]]/$E$3</f>
        <v>0.12901506025058873</v>
      </c>
    </row>
    <row r="32" spans="1:16" ht="17" x14ac:dyDescent="0.2">
      <c r="A32" s="1" t="s">
        <v>110</v>
      </c>
      <c r="B32" s="3" t="s">
        <v>81</v>
      </c>
      <c r="C32" s="2" t="s">
        <v>19</v>
      </c>
      <c r="D32" s="2" t="s">
        <v>14</v>
      </c>
      <c r="E32" s="4" t="s">
        <v>17</v>
      </c>
      <c r="F32" s="31">
        <v>44277</v>
      </c>
      <c r="G32" s="31">
        <v>44279</v>
      </c>
      <c r="H32" s="62">
        <v>484</v>
      </c>
      <c r="I32" s="34">
        <v>61.49</v>
      </c>
      <c r="J32" s="32">
        <v>19</v>
      </c>
      <c r="K32" s="30">
        <v>59.78</v>
      </c>
      <c r="L32" s="32">
        <f>Table1[[#This Row],[Entry commission]]</f>
        <v>19</v>
      </c>
      <c r="M32" s="24">
        <f>(Table1[[#This Row],[Position size]]*Table1[[#This Row],[Entry price]]-Table1[[#This Row],[Entry commission]]-Table1[[#This Row],[Exit commission]])*Table1[[#This Row],[PL% on trade]]</f>
        <v>-826.58324280370834</v>
      </c>
      <c r="N32" s="37">
        <f>((Table1[[#This Row],[Exit price]]-Table1[[#This Row],[Entry price]]))/Table1[[#This Row],[Entry price]]</f>
        <v>-2.7809399902423173E-2</v>
      </c>
      <c r="O32" s="24">
        <f>SUM($M$10:M32)</f>
        <v>12074.922782255166</v>
      </c>
      <c r="P32" s="36">
        <f>Table1[[#This Row],[Total Return]]/$E$3</f>
        <v>0.12074922782255165</v>
      </c>
    </row>
    <row r="33" spans="2:16" ht="17" x14ac:dyDescent="0.2">
      <c r="B33" s="3" t="s">
        <v>70</v>
      </c>
      <c r="C33" s="2" t="s">
        <v>19</v>
      </c>
      <c r="D33" s="2" t="s">
        <v>27</v>
      </c>
      <c r="E33" s="4" t="s">
        <v>17</v>
      </c>
      <c r="F33" s="31">
        <v>44277</v>
      </c>
      <c r="G33" s="31">
        <v>44279</v>
      </c>
      <c r="H33" s="62">
        <v>1500</v>
      </c>
      <c r="I33" s="34">
        <v>10.7</v>
      </c>
      <c r="J33" s="32">
        <v>19</v>
      </c>
      <c r="K33" s="30">
        <v>9.6</v>
      </c>
      <c r="L33" s="32">
        <f>Table1[[#This Row],[Entry commission]]</f>
        <v>19</v>
      </c>
      <c r="M33" s="24">
        <f>(Table1[[#This Row],[Position size]]*Table1[[#This Row],[Entry price]]-Table1[[#This Row],[Entry commission]]-Table1[[#This Row],[Exit commission]])*Table1[[#This Row],[PL% on trade]]</f>
        <v>-1646.0934579439245</v>
      </c>
      <c r="N33" s="37">
        <f>((Table1[[#This Row],[Exit price]]-Table1[[#This Row],[Entry price]]))/Table1[[#This Row],[Entry price]]</f>
        <v>-0.10280373831775698</v>
      </c>
      <c r="O33" s="24">
        <f>SUM($M$10:M33)</f>
        <v>10428.829324311242</v>
      </c>
      <c r="P33" s="36">
        <f>Table1[[#This Row],[Total Return]]/$E$3</f>
        <v>0.10428829324311242</v>
      </c>
    </row>
    <row r="34" spans="2:16" ht="17" x14ac:dyDescent="0.2">
      <c r="B34" s="3" t="s">
        <v>81</v>
      </c>
      <c r="C34" s="2" t="s">
        <v>19</v>
      </c>
      <c r="D34" s="2" t="s">
        <v>10</v>
      </c>
      <c r="E34" s="4" t="s">
        <v>17</v>
      </c>
      <c r="F34" s="28">
        <v>44278</v>
      </c>
      <c r="G34" s="31">
        <v>44280</v>
      </c>
      <c r="H34" s="62">
        <v>100</v>
      </c>
      <c r="I34" s="34">
        <v>59.85</v>
      </c>
      <c r="J34" s="32">
        <v>19</v>
      </c>
      <c r="K34" s="30">
        <v>60</v>
      </c>
      <c r="L34" s="32">
        <f>Table1[[#This Row],[Entry commission]]</f>
        <v>19</v>
      </c>
      <c r="M34" s="24">
        <f>(Table1[[#This Row],[Position size]]*Table1[[#This Row],[Entry price]]-Table1[[#This Row],[Entry commission]]-Table1[[#This Row],[Exit commission]])*Table1[[#This Row],[PL% on trade]]</f>
        <v>14.904761904761761</v>
      </c>
      <c r="N34" s="37">
        <f>((Table1[[#This Row],[Exit price]]-Table1[[#This Row],[Entry price]]))/Table1[[#This Row],[Entry price]]</f>
        <v>2.506265664160377E-3</v>
      </c>
      <c r="O34" s="24">
        <f>SUM($M$10:M34)</f>
        <v>10443.734086216004</v>
      </c>
      <c r="P34" s="36">
        <f>Table1[[#This Row],[Total Return]]/$E$3</f>
        <v>0.10443734086216004</v>
      </c>
    </row>
    <row r="35" spans="2:16" ht="17" x14ac:dyDescent="0.2">
      <c r="B35" s="3" t="s">
        <v>39</v>
      </c>
      <c r="C35" s="2" t="s">
        <v>19</v>
      </c>
      <c r="D35" s="2" t="s">
        <v>13</v>
      </c>
      <c r="E35" s="4" t="s">
        <v>17</v>
      </c>
      <c r="F35" s="31">
        <v>44279</v>
      </c>
      <c r="G35" s="31">
        <v>44281</v>
      </c>
      <c r="H35" s="62">
        <v>1666</v>
      </c>
      <c r="I35" s="34">
        <v>19.100000000000001</v>
      </c>
      <c r="J35" s="32">
        <v>19</v>
      </c>
      <c r="K35" s="30">
        <v>19.2</v>
      </c>
      <c r="L35" s="32">
        <f>Table1[[#This Row],[Entry commission]]</f>
        <v>19</v>
      </c>
      <c r="M35" s="24">
        <f>(Table1[[#This Row],[Position size]]*Table1[[#This Row],[Entry price]]-Table1[[#This Row],[Entry commission]]-Table1[[#This Row],[Exit commission]])*Table1[[#This Row],[PL% on trade]]</f>
        <v>166.40104712041531</v>
      </c>
      <c r="N35" s="37">
        <f>((Table1[[#This Row],[Exit price]]-Table1[[#This Row],[Entry price]]))/Table1[[#This Row],[Entry price]]</f>
        <v>5.2356020942407261E-3</v>
      </c>
      <c r="O35" s="24">
        <f>SUM($M$10:M35)</f>
        <v>10610.135133336418</v>
      </c>
      <c r="P35" s="36">
        <f>Table1[[#This Row],[Total Return]]/$E$3</f>
        <v>0.10610135133336418</v>
      </c>
    </row>
    <row r="36" spans="2:16" ht="17" x14ac:dyDescent="0.2">
      <c r="B36" s="3" t="s">
        <v>80</v>
      </c>
      <c r="C36" s="2" t="s">
        <v>19</v>
      </c>
      <c r="D36" s="2" t="s">
        <v>10</v>
      </c>
      <c r="E36" s="4" t="s">
        <v>17</v>
      </c>
      <c r="F36" s="31">
        <v>44279</v>
      </c>
      <c r="G36" s="31">
        <v>44281</v>
      </c>
      <c r="H36" s="62">
        <v>700</v>
      </c>
      <c r="I36" s="34">
        <v>45.65</v>
      </c>
      <c r="J36" s="32">
        <v>19</v>
      </c>
      <c r="K36" s="30">
        <v>45.6</v>
      </c>
      <c r="L36" s="32">
        <f>Table1[[#This Row],[Entry commission]]</f>
        <v>19</v>
      </c>
      <c r="M36" s="24">
        <f>(Table1[[#This Row],[Position size]]*Table1[[#This Row],[Entry price]]-Table1[[#This Row],[Entry commission]]-Table1[[#This Row],[Exit commission]])*Table1[[#This Row],[PL% on trade]]</f>
        <v>-34.958378970425173</v>
      </c>
      <c r="N36" s="37">
        <f>((Table1[[#This Row],[Exit price]]-Table1[[#This Row],[Entry price]]))/Table1[[#This Row],[Entry price]]</f>
        <v>-1.0952902519166957E-3</v>
      </c>
      <c r="O36" s="24">
        <f>SUM($M$10:M36)</f>
        <v>10575.176754365993</v>
      </c>
      <c r="P36" s="36">
        <f>Table1[[#This Row],[Total Return]]/$E$3</f>
        <v>0.10575176754365993</v>
      </c>
    </row>
    <row r="37" spans="2:16" ht="17" x14ac:dyDescent="0.2">
      <c r="B37" s="3" t="s">
        <v>68</v>
      </c>
      <c r="C37" s="2" t="s">
        <v>19</v>
      </c>
      <c r="D37" s="2" t="s">
        <v>7</v>
      </c>
      <c r="E37" s="4" t="s">
        <v>17</v>
      </c>
      <c r="F37" s="31">
        <v>44279</v>
      </c>
      <c r="G37" s="31">
        <v>44281</v>
      </c>
      <c r="H37" s="62">
        <v>750</v>
      </c>
      <c r="I37" s="34">
        <v>9.4</v>
      </c>
      <c r="J37" s="32">
        <v>19</v>
      </c>
      <c r="K37" s="30">
        <v>8.6</v>
      </c>
      <c r="L37" s="32">
        <f>Table1[[#This Row],[Entry commission]]</f>
        <v>19</v>
      </c>
      <c r="M37" s="24">
        <f>(Table1[[#This Row],[Position size]]*Table1[[#This Row],[Entry price]]-Table1[[#This Row],[Entry commission]]-Table1[[#This Row],[Exit commission]])*Table1[[#This Row],[PL% on trade]]</f>
        <v>-596.76595744680901</v>
      </c>
      <c r="N37" s="37">
        <f>((Table1[[#This Row],[Exit price]]-Table1[[#This Row],[Entry price]]))/Table1[[#This Row],[Entry price]]</f>
        <v>-8.5106382978723472E-2</v>
      </c>
      <c r="O37" s="24">
        <f>SUM($M$10:M37)</f>
        <v>9978.4107969191846</v>
      </c>
      <c r="P37" s="36">
        <f>Table1[[#This Row],[Total Return]]/$E$3</f>
        <v>9.9784107969191849E-2</v>
      </c>
    </row>
    <row r="38" spans="2:16" ht="17" x14ac:dyDescent="0.2">
      <c r="B38" s="3" t="s">
        <v>68</v>
      </c>
      <c r="C38" s="2" t="s">
        <v>19</v>
      </c>
      <c r="D38" s="2" t="s">
        <v>10</v>
      </c>
      <c r="E38" s="4" t="s">
        <v>18</v>
      </c>
      <c r="F38" s="31">
        <v>44281</v>
      </c>
      <c r="G38" s="31">
        <v>44285</v>
      </c>
      <c r="H38" s="62">
        <v>-2000</v>
      </c>
      <c r="I38" s="34">
        <v>12</v>
      </c>
      <c r="J38" s="32">
        <v>19</v>
      </c>
      <c r="K38" s="30">
        <v>11.31</v>
      </c>
      <c r="L38" s="32">
        <f>Table1[[#This Row],[Entry commission]]</f>
        <v>19</v>
      </c>
      <c r="M38" s="24">
        <f>Table1[[#This Row],[Position size]]*Table1[[#This Row],[Exit price]]-Table1[[#This Row],[Position size]]*Table1[[#This Row],[Entry price]]</f>
        <v>1380</v>
      </c>
      <c r="N38" s="37">
        <f>(Table1[[#This Row],[Entry price]]-Table1[[#This Row],[Exit price]])/Table1[[#This Row],[Entry price]]</f>
        <v>5.7499999999999961E-2</v>
      </c>
      <c r="O38" s="24">
        <f>SUM($M$10:M38)</f>
        <v>11358.410796919185</v>
      </c>
      <c r="P38" s="36">
        <f>Table1[[#This Row],[Total Return]]/$E$3</f>
        <v>0.11358410796919184</v>
      </c>
    </row>
    <row r="39" spans="2:16" ht="17" x14ac:dyDescent="0.2">
      <c r="B39" s="3" t="s">
        <v>68</v>
      </c>
      <c r="C39" s="2" t="s">
        <v>19</v>
      </c>
      <c r="D39" s="2" t="s">
        <v>11</v>
      </c>
      <c r="E39" s="4" t="s">
        <v>17</v>
      </c>
      <c r="F39" s="31">
        <v>44281</v>
      </c>
      <c r="G39" s="31">
        <v>44285</v>
      </c>
      <c r="H39" s="62">
        <v>1000</v>
      </c>
      <c r="I39" s="34">
        <v>10.1524</v>
      </c>
      <c r="J39" s="32">
        <v>19</v>
      </c>
      <c r="K39" s="30">
        <v>10.3</v>
      </c>
      <c r="L39" s="32">
        <f>Table1[[#This Row],[Entry commission]]</f>
        <v>19</v>
      </c>
      <c r="M39" s="24">
        <f>(Table1[[#This Row],[Position size]]*Table1[[#This Row],[Entry price]]-Table1[[#This Row],[Entry commission]]-Table1[[#This Row],[Exit commission]])*Table1[[#This Row],[PL% on trade]]</f>
        <v>147.04753949805033</v>
      </c>
      <c r="N39" s="37">
        <f>((Table1[[#This Row],[Exit price]]-Table1[[#This Row],[Entry price]]))/Table1[[#This Row],[Entry price]]</f>
        <v>1.4538434261849476E-2</v>
      </c>
      <c r="O39" s="24">
        <f>SUM($M$10:M39)</f>
        <v>11505.458336417234</v>
      </c>
      <c r="P39" s="36">
        <f>Table1[[#This Row],[Total Return]]/$E$3</f>
        <v>0.11505458336417235</v>
      </c>
    </row>
    <row r="40" spans="2:16" ht="17" x14ac:dyDescent="0.2">
      <c r="B40" s="3" t="s">
        <v>68</v>
      </c>
      <c r="C40" s="2" t="s">
        <v>19</v>
      </c>
      <c r="D40" s="2" t="s">
        <v>9</v>
      </c>
      <c r="E40" s="4" t="s">
        <v>17</v>
      </c>
      <c r="F40" s="31">
        <v>44286</v>
      </c>
      <c r="G40" s="31">
        <v>44293</v>
      </c>
      <c r="H40" s="62">
        <v>800</v>
      </c>
      <c r="I40" s="34">
        <v>12.032</v>
      </c>
      <c r="J40" s="32">
        <v>19</v>
      </c>
      <c r="K40" s="30">
        <v>12.13</v>
      </c>
      <c r="L40" s="32">
        <f>Table1[[#This Row],[Entry commission]]</f>
        <v>19</v>
      </c>
      <c r="M40" s="24">
        <f>(Table1[[#This Row],[Position size]]*Table1[[#This Row],[Entry price]]-Table1[[#This Row],[Entry commission]]-Table1[[#This Row],[Exit commission]])*Table1[[#This Row],[PL% on trade]]</f>
        <v>78.0904920212772</v>
      </c>
      <c r="N40" s="37">
        <f>((Table1[[#This Row],[Exit price]]-Table1[[#This Row],[Entry price]]))/Table1[[#This Row],[Entry price]]</f>
        <v>8.1449468085107012E-3</v>
      </c>
      <c r="O40" s="24">
        <f>SUM($M$10:M40)</f>
        <v>11583.548828438512</v>
      </c>
      <c r="P40" s="36">
        <f>Table1[[#This Row],[Total Return]]/$E$3</f>
        <v>0.11583548828438511</v>
      </c>
    </row>
    <row r="41" spans="2:16" ht="17" x14ac:dyDescent="0.2">
      <c r="B41" s="3" t="s">
        <v>39</v>
      </c>
      <c r="C41" s="2" t="s">
        <v>19</v>
      </c>
      <c r="D41" s="2" t="s">
        <v>27</v>
      </c>
      <c r="E41" s="4" t="s">
        <v>17</v>
      </c>
      <c r="F41" s="28">
        <v>44292</v>
      </c>
      <c r="G41" s="31">
        <v>44294</v>
      </c>
      <c r="H41" s="62">
        <v>3500</v>
      </c>
      <c r="I41" s="34">
        <v>17.899999999999999</v>
      </c>
      <c r="J41" s="32">
        <v>19</v>
      </c>
      <c r="K41" s="30">
        <v>19.399999999999999</v>
      </c>
      <c r="L41" s="32">
        <f>Table1[[#This Row],[Entry commission]]</f>
        <v>19</v>
      </c>
      <c r="M41" s="24">
        <f>(Table1[[#This Row],[Position size]]*Table1[[#This Row],[Entry price]]-Table1[[#This Row],[Entry commission]]-Table1[[#This Row],[Exit commission]])*Table1[[#This Row],[PL% on trade]]</f>
        <v>5246.8156424581002</v>
      </c>
      <c r="N41" s="37">
        <f>((Table1[[#This Row],[Exit price]]-Table1[[#This Row],[Entry price]]))/Table1[[#This Row],[Entry price]]</f>
        <v>8.3798882681564255E-2</v>
      </c>
      <c r="O41" s="24">
        <f>SUM($M$10:M41)</f>
        <v>16830.364470896613</v>
      </c>
      <c r="P41" s="36">
        <f>Table1[[#This Row],[Total Return]]/$E$3</f>
        <v>0.16830364470896614</v>
      </c>
    </row>
    <row r="42" spans="2:16" ht="17" x14ac:dyDescent="0.2">
      <c r="B42" s="3" t="s">
        <v>87</v>
      </c>
      <c r="C42" s="2" t="s">
        <v>19</v>
      </c>
      <c r="D42" s="2" t="s">
        <v>14</v>
      </c>
      <c r="E42" s="4" t="s">
        <v>17</v>
      </c>
      <c r="F42" s="28">
        <v>44292</v>
      </c>
      <c r="G42" s="31">
        <v>44294</v>
      </c>
      <c r="H42" s="62">
        <v>25000</v>
      </c>
      <c r="I42" s="34">
        <v>1.2</v>
      </c>
      <c r="J42" s="32">
        <v>19</v>
      </c>
      <c r="K42" s="30">
        <v>1.39</v>
      </c>
      <c r="L42" s="32">
        <f>Table1[[#This Row],[Entry commission]]</f>
        <v>19</v>
      </c>
      <c r="M42" s="24">
        <f>(Table1[[#This Row],[Position size]]*Table1[[#This Row],[Entry price]]-Table1[[#This Row],[Entry commission]]-Table1[[#This Row],[Exit commission]])*Table1[[#This Row],[PL% on trade]]</f>
        <v>4743.9833333333327</v>
      </c>
      <c r="N42" s="37">
        <f>((Table1[[#This Row],[Exit price]]-Table1[[#This Row],[Entry price]]))/Table1[[#This Row],[Entry price]]</f>
        <v>0.1583333333333333</v>
      </c>
      <c r="O42" s="24">
        <f>SUM($M$10:M42)</f>
        <v>21574.347804229947</v>
      </c>
      <c r="P42" s="36">
        <f>Table1[[#This Row],[Total Return]]/$E$3</f>
        <v>0.21574347804229946</v>
      </c>
    </row>
    <row r="43" spans="2:16" ht="17" x14ac:dyDescent="0.2">
      <c r="B43" s="3" t="s">
        <v>78</v>
      </c>
      <c r="C43" s="2" t="s">
        <v>19</v>
      </c>
      <c r="D43" s="2" t="s">
        <v>13</v>
      </c>
      <c r="E43" s="4" t="s">
        <v>17</v>
      </c>
      <c r="F43" s="28">
        <v>44292</v>
      </c>
      <c r="G43" s="31">
        <v>44294</v>
      </c>
      <c r="H43" s="62">
        <v>800</v>
      </c>
      <c r="I43" s="34">
        <v>40.98</v>
      </c>
      <c r="J43" s="32">
        <v>19</v>
      </c>
      <c r="K43" s="30">
        <v>42</v>
      </c>
      <c r="L43" s="32">
        <f>Table1[[#This Row],[Entry commission]]</f>
        <v>19</v>
      </c>
      <c r="M43" s="24">
        <f>(Table1[[#This Row],[Position size]]*Table1[[#This Row],[Entry price]]-Table1[[#This Row],[Entry commission]]-Table1[[#This Row],[Exit commission]])*Table1[[#This Row],[PL% on trade]]</f>
        <v>815.05417276720607</v>
      </c>
      <c r="N43" s="37">
        <f>((Table1[[#This Row],[Exit price]]-Table1[[#This Row],[Entry price]]))/Table1[[#This Row],[Entry price]]</f>
        <v>2.4890190336749711E-2</v>
      </c>
      <c r="O43" s="24">
        <f>SUM($M$10:M43)</f>
        <v>22389.401976997153</v>
      </c>
      <c r="P43" s="36">
        <f>Table1[[#This Row],[Total Return]]/$E$3</f>
        <v>0.22389401976997153</v>
      </c>
    </row>
    <row r="44" spans="2:16" ht="17" x14ac:dyDescent="0.2">
      <c r="B44" s="3" t="s">
        <v>69</v>
      </c>
      <c r="C44" s="2" t="s">
        <v>19</v>
      </c>
      <c r="D44" s="2" t="s">
        <v>10</v>
      </c>
      <c r="E44" s="4" t="s">
        <v>17</v>
      </c>
      <c r="F44" s="28">
        <v>44292</v>
      </c>
      <c r="G44" s="31">
        <v>44294</v>
      </c>
      <c r="H44" s="62">
        <v>4000</v>
      </c>
      <c r="I44" s="34">
        <f>(2000*5.45+1000*5.76+1000*5.45)/4000</f>
        <v>5.5274999999999999</v>
      </c>
      <c r="J44" s="32">
        <v>19</v>
      </c>
      <c r="K44" s="30">
        <v>5.7</v>
      </c>
      <c r="L44" s="32">
        <f>Table1[[#This Row],[Entry commission]]</f>
        <v>19</v>
      </c>
      <c r="M44" s="24">
        <f>(Table1[[#This Row],[Position size]]*Table1[[#This Row],[Entry price]]-Table1[[#This Row],[Entry commission]]-Table1[[#This Row],[Exit commission]])*Table1[[#This Row],[PL% on trade]]</f>
        <v>688.81411126187379</v>
      </c>
      <c r="N44" s="37">
        <f>((Table1[[#This Row],[Exit price]]-Table1[[#This Row],[Entry price]]))/Table1[[#This Row],[Entry price]]</f>
        <v>3.1207598371777535E-2</v>
      </c>
      <c r="O44" s="24">
        <f>SUM($M$10:M44)</f>
        <v>23078.216088259025</v>
      </c>
      <c r="P44" s="36">
        <f>Table1[[#This Row],[Total Return]]/$E$3</f>
        <v>0.23078216088259026</v>
      </c>
    </row>
    <row r="45" spans="2:16" ht="17" x14ac:dyDescent="0.2">
      <c r="B45" s="3" t="s">
        <v>58</v>
      </c>
      <c r="C45" s="2" t="s">
        <v>19</v>
      </c>
      <c r="D45" s="2" t="s">
        <v>10</v>
      </c>
      <c r="E45" s="4" t="s">
        <v>17</v>
      </c>
      <c r="F45" s="28">
        <v>44292</v>
      </c>
      <c r="G45" s="31">
        <v>44294</v>
      </c>
      <c r="H45" s="62">
        <v>119</v>
      </c>
      <c r="I45" s="34">
        <v>170.05</v>
      </c>
      <c r="J45" s="32">
        <v>15</v>
      </c>
      <c r="K45" s="30">
        <v>172.23</v>
      </c>
      <c r="L45" s="32">
        <f>Table1[[#This Row],[Entry commission]]</f>
        <v>15</v>
      </c>
      <c r="M45" s="24">
        <f>(Table1[[#This Row],[Position size]]*Table1[[#This Row],[Entry price]]-Table1[[#This Row],[Entry commission]]-Table1[[#This Row],[Exit commission]])*Table1[[#This Row],[PL% on trade]]</f>
        <v>259.03540723316416</v>
      </c>
      <c r="N45" s="37">
        <f>((Table1[[#This Row],[Exit price]]-Table1[[#This Row],[Entry price]]))/Table1[[#This Row],[Entry price]]</f>
        <v>1.2819758894442684E-2</v>
      </c>
      <c r="O45" s="24">
        <f>SUM($M$10:M45)</f>
        <v>23337.25149549219</v>
      </c>
      <c r="P45" s="36">
        <f>Table1[[#This Row],[Total Return]]/$E$3</f>
        <v>0.23337251495492189</v>
      </c>
    </row>
    <row r="46" spans="2:16" ht="17" x14ac:dyDescent="0.2">
      <c r="B46" s="3" t="s">
        <v>89</v>
      </c>
      <c r="C46" s="2" t="s">
        <v>19</v>
      </c>
      <c r="D46" s="2" t="s">
        <v>14</v>
      </c>
      <c r="E46" s="4" t="s">
        <v>17</v>
      </c>
      <c r="F46" s="28">
        <v>44292</v>
      </c>
      <c r="G46" s="31">
        <v>44294</v>
      </c>
      <c r="H46" s="62">
        <v>300</v>
      </c>
      <c r="I46" s="34">
        <v>36.5</v>
      </c>
      <c r="J46" s="32">
        <v>19</v>
      </c>
      <c r="K46" s="30">
        <v>37.1</v>
      </c>
      <c r="L46" s="32">
        <f>Table1[[#This Row],[Entry commission]]</f>
        <v>19</v>
      </c>
      <c r="M46" s="24">
        <f>(Table1[[#This Row],[Position size]]*Table1[[#This Row],[Entry price]]-Table1[[#This Row],[Entry commission]]-Table1[[#This Row],[Exit commission]])*Table1[[#This Row],[PL% on trade]]</f>
        <v>179.37534246575387</v>
      </c>
      <c r="N46" s="37">
        <f>((Table1[[#This Row],[Exit price]]-Table1[[#This Row],[Entry price]]))/Table1[[#This Row],[Entry price]]</f>
        <v>1.6438356164383602E-2</v>
      </c>
      <c r="O46" s="24">
        <f>SUM($M$10:M46)</f>
        <v>23516.626837957945</v>
      </c>
      <c r="P46" s="36">
        <f>Table1[[#This Row],[Total Return]]/$E$3</f>
        <v>0.23516626837957946</v>
      </c>
    </row>
    <row r="47" spans="2:16" ht="17" x14ac:dyDescent="0.2">
      <c r="B47" s="3" t="s">
        <v>77</v>
      </c>
      <c r="C47" s="2" t="s">
        <v>19</v>
      </c>
      <c r="D47" s="2" t="s">
        <v>10</v>
      </c>
      <c r="E47" s="4" t="s">
        <v>17</v>
      </c>
      <c r="F47" s="28">
        <v>44292</v>
      </c>
      <c r="G47" s="31">
        <v>44294</v>
      </c>
      <c r="H47" s="62">
        <v>200</v>
      </c>
      <c r="I47" s="34">
        <v>124.2</v>
      </c>
      <c r="J47" s="32">
        <v>19</v>
      </c>
      <c r="K47" s="30">
        <v>122.4</v>
      </c>
      <c r="L47" s="32">
        <f>Table1[[#This Row],[Entry commission]]</f>
        <v>19</v>
      </c>
      <c r="M47" s="24">
        <f>(Table1[[#This Row],[Position size]]*Table1[[#This Row],[Entry price]]-Table1[[#This Row],[Entry commission]]-Table1[[#This Row],[Exit commission]])*Table1[[#This Row],[PL% on trade]]</f>
        <v>-359.4492753623183</v>
      </c>
      <c r="N47" s="37">
        <f>((Table1[[#This Row],[Exit price]]-Table1[[#This Row],[Entry price]]))/Table1[[#This Row],[Entry price]]</f>
        <v>-1.4492753623188383E-2</v>
      </c>
      <c r="O47" s="24">
        <f>SUM($M$10:M47)</f>
        <v>23157.177562595625</v>
      </c>
      <c r="P47" s="36">
        <f>Table1[[#This Row],[Total Return]]/$E$3</f>
        <v>0.23157177562595624</v>
      </c>
    </row>
    <row r="48" spans="2:16" ht="17" x14ac:dyDescent="0.2">
      <c r="B48" s="3" t="s">
        <v>88</v>
      </c>
      <c r="C48" s="2" t="s">
        <v>19</v>
      </c>
      <c r="D48" s="2" t="s">
        <v>11</v>
      </c>
      <c r="E48" s="4" t="s">
        <v>17</v>
      </c>
      <c r="F48" s="28">
        <v>44293</v>
      </c>
      <c r="G48" s="31">
        <v>44295</v>
      </c>
      <c r="H48" s="62">
        <v>44</v>
      </c>
      <c r="I48" s="34">
        <v>216.52269999999999</v>
      </c>
      <c r="J48" s="32">
        <v>19</v>
      </c>
      <c r="K48" s="30">
        <v>221</v>
      </c>
      <c r="L48" s="32">
        <f>Table1[[#This Row],[Entry commission]]</f>
        <v>19</v>
      </c>
      <c r="M48" s="24">
        <f>(Table1[[#This Row],[Position size]]*Table1[[#This Row],[Entry price]]-Table1[[#This Row],[Entry commission]]-Table1[[#This Row],[Exit commission]])*Table1[[#This Row],[PL% on trade]]</f>
        <v>196.2154283464973</v>
      </c>
      <c r="N48" s="37">
        <f>((Table1[[#This Row],[Exit price]]-Table1[[#This Row],[Entry price]]))/Table1[[#This Row],[Entry price]]</f>
        <v>2.067820140798177E-2</v>
      </c>
      <c r="O48" s="24">
        <f>SUM($M$10:M48)</f>
        <v>23353.392990942124</v>
      </c>
      <c r="P48" s="36">
        <f>Table1[[#This Row],[Total Return]]/$E$3</f>
        <v>0.23353392990942123</v>
      </c>
    </row>
    <row r="49" spans="2:16" ht="17" x14ac:dyDescent="0.2">
      <c r="B49" s="3" t="s">
        <v>77</v>
      </c>
      <c r="C49" s="2" t="s">
        <v>19</v>
      </c>
      <c r="D49" s="2" t="s">
        <v>13</v>
      </c>
      <c r="E49" s="4" t="s">
        <v>17</v>
      </c>
      <c r="F49" s="28">
        <v>44293</v>
      </c>
      <c r="G49" s="31">
        <v>44295</v>
      </c>
      <c r="H49" s="62">
        <v>57</v>
      </c>
      <c r="I49" s="34">
        <v>124.255</v>
      </c>
      <c r="J49" s="32">
        <v>19</v>
      </c>
      <c r="K49" s="30">
        <v>123.6</v>
      </c>
      <c r="L49" s="32">
        <f>Table1[[#This Row],[Entry commission]]</f>
        <v>19</v>
      </c>
      <c r="M49" s="24">
        <f>(Table1[[#This Row],[Position size]]*Table1[[#This Row],[Entry price]]-Table1[[#This Row],[Entry commission]]-Table1[[#This Row],[Exit commission]])*Table1[[#This Row],[PL% on trade]]</f>
        <v>-37.134686129330881</v>
      </c>
      <c r="N49" s="37">
        <f>((Table1[[#This Row],[Exit price]]-Table1[[#This Row],[Entry price]]))/Table1[[#This Row],[Entry price]]</f>
        <v>-5.2714176491891768E-3</v>
      </c>
      <c r="O49" s="24">
        <f>SUM($M$10:M49)</f>
        <v>23316.258304812793</v>
      </c>
      <c r="P49" s="36">
        <f>Table1[[#This Row],[Total Return]]/$E$3</f>
        <v>0.23316258304812792</v>
      </c>
    </row>
    <row r="50" spans="2:16" ht="17" x14ac:dyDescent="0.2">
      <c r="B50" s="3" t="s">
        <v>76</v>
      </c>
      <c r="C50" s="2" t="s">
        <v>19</v>
      </c>
      <c r="D50" s="2" t="s">
        <v>13</v>
      </c>
      <c r="E50" s="4" t="s">
        <v>17</v>
      </c>
      <c r="F50" s="28">
        <v>44293</v>
      </c>
      <c r="G50" s="31">
        <v>44295</v>
      </c>
      <c r="H50" s="62">
        <v>440</v>
      </c>
      <c r="I50" s="34">
        <v>31.6</v>
      </c>
      <c r="J50" s="32">
        <v>19</v>
      </c>
      <c r="K50" s="30">
        <v>31.15</v>
      </c>
      <c r="L50" s="32">
        <f>Table1[[#This Row],[Entry commission]]</f>
        <v>19</v>
      </c>
      <c r="M50" s="24">
        <f>(Table1[[#This Row],[Position size]]*Table1[[#This Row],[Entry price]]-Table1[[#This Row],[Entry commission]]-Table1[[#This Row],[Exit commission]])*Table1[[#This Row],[PL% on trade]]</f>
        <v>-197.45886075949491</v>
      </c>
      <c r="N50" s="37">
        <f>((Table1[[#This Row],[Exit price]]-Table1[[#This Row],[Entry price]]))/Table1[[#This Row],[Entry price]]</f>
        <v>-1.4240506329114014E-2</v>
      </c>
      <c r="O50" s="24">
        <f>SUM($M$10:M50)</f>
        <v>23118.799444053297</v>
      </c>
      <c r="P50" s="36">
        <f>Table1[[#This Row],[Total Return]]/$E$3</f>
        <v>0.23118799444053298</v>
      </c>
    </row>
    <row r="51" spans="2:16" ht="17" x14ac:dyDescent="0.2">
      <c r="B51" s="3" t="s">
        <v>75</v>
      </c>
      <c r="C51" s="2" t="s">
        <v>19</v>
      </c>
      <c r="D51" s="2" t="s">
        <v>10</v>
      </c>
      <c r="E51" s="4" t="s">
        <v>17</v>
      </c>
      <c r="F51" s="28">
        <v>44293</v>
      </c>
      <c r="G51" s="31">
        <v>44295</v>
      </c>
      <c r="H51" s="62">
        <v>65</v>
      </c>
      <c r="I51" s="34">
        <v>164.8</v>
      </c>
      <c r="J51" s="32">
        <v>19</v>
      </c>
      <c r="K51" s="30">
        <v>160.69999999999999</v>
      </c>
      <c r="L51" s="32">
        <f>Table1[[#This Row],[Entry commission]]</f>
        <v>19</v>
      </c>
      <c r="M51" s="24">
        <f>(Table1[[#This Row],[Position size]]*Table1[[#This Row],[Entry price]]-Table1[[#This Row],[Entry commission]]-Table1[[#This Row],[Exit commission]])*Table1[[#This Row],[PL% on trade]]</f>
        <v>-265.55461165048689</v>
      </c>
      <c r="N51" s="37">
        <f>((Table1[[#This Row],[Exit price]]-Table1[[#This Row],[Entry price]]))/Table1[[#This Row],[Entry price]]</f>
        <v>-2.4878640776699164E-2</v>
      </c>
      <c r="O51" s="24">
        <f>SUM($M$10:M51)</f>
        <v>22853.244832402808</v>
      </c>
      <c r="P51" s="36">
        <f>Table1[[#This Row],[Total Return]]/$E$3</f>
        <v>0.22853244832402808</v>
      </c>
    </row>
    <row r="52" spans="2:16" ht="17" x14ac:dyDescent="0.2">
      <c r="B52" s="3" t="s">
        <v>76</v>
      </c>
      <c r="C52" s="2" t="s">
        <v>19</v>
      </c>
      <c r="D52" s="2" t="s">
        <v>26</v>
      </c>
      <c r="E52" s="4" t="s">
        <v>17</v>
      </c>
      <c r="F52" s="31">
        <v>44294</v>
      </c>
      <c r="G52" s="31">
        <v>44298</v>
      </c>
      <c r="H52" s="62">
        <v>250</v>
      </c>
      <c r="I52" s="34">
        <v>31</v>
      </c>
      <c r="J52" s="32">
        <v>19</v>
      </c>
      <c r="K52" s="30">
        <v>30.6</v>
      </c>
      <c r="L52" s="32">
        <f>Table1[[#This Row],[Entry commission]]</f>
        <v>19</v>
      </c>
      <c r="M52" s="24">
        <f>(Table1[[#This Row],[Position size]]*Table1[[#This Row],[Entry price]]-Table1[[#This Row],[Entry commission]]-Table1[[#This Row],[Exit commission]])*Table1[[#This Row],[PL% on trade]]</f>
        <v>-99.509677419354489</v>
      </c>
      <c r="N52" s="37">
        <f>((Table1[[#This Row],[Exit price]]-Table1[[#This Row],[Entry price]]))/Table1[[#This Row],[Entry price]]</f>
        <v>-1.2903225806451568E-2</v>
      </c>
      <c r="O52" s="24">
        <f>SUM($M$10:M52)</f>
        <v>22753.735154983453</v>
      </c>
      <c r="P52" s="36">
        <f>Table1[[#This Row],[Total Return]]/$E$3</f>
        <v>0.22753735154983454</v>
      </c>
    </row>
    <row r="53" spans="2:16" ht="17" x14ac:dyDescent="0.2">
      <c r="B53" s="3" t="s">
        <v>73</v>
      </c>
      <c r="C53" s="2" t="s">
        <v>19</v>
      </c>
      <c r="D53" s="2" t="s">
        <v>13</v>
      </c>
      <c r="E53" s="4" t="s">
        <v>17</v>
      </c>
      <c r="F53" s="31">
        <v>44295</v>
      </c>
      <c r="G53" s="31">
        <v>44299</v>
      </c>
      <c r="H53" s="62">
        <v>500</v>
      </c>
      <c r="I53" s="34">
        <v>27.24</v>
      </c>
      <c r="J53" s="32">
        <v>19</v>
      </c>
      <c r="K53" s="30">
        <v>27</v>
      </c>
      <c r="L53" s="32">
        <f>Table1[[#This Row],[Entry commission]]</f>
        <v>19</v>
      </c>
      <c r="M53" s="24">
        <f>(Table1[[#This Row],[Position size]]*Table1[[#This Row],[Entry price]]-Table1[[#This Row],[Entry commission]]-Table1[[#This Row],[Exit commission]])*Table1[[#This Row],[PL% on trade]]</f>
        <v>-119.6651982378847</v>
      </c>
      <c r="N53" s="37">
        <f>((Table1[[#This Row],[Exit price]]-Table1[[#This Row],[Entry price]]))/Table1[[#This Row],[Entry price]]</f>
        <v>-8.8105726872246132E-3</v>
      </c>
      <c r="O53" s="24">
        <f>SUM($M$10:M53)</f>
        <v>22634.069956745567</v>
      </c>
      <c r="P53" s="36">
        <f>Table1[[#This Row],[Total Return]]/$E$3</f>
        <v>0.22634069956745567</v>
      </c>
    </row>
    <row r="54" spans="2:16" ht="17" x14ac:dyDescent="0.2">
      <c r="B54" s="3" t="s">
        <v>56</v>
      </c>
      <c r="C54" s="2" t="s">
        <v>19</v>
      </c>
      <c r="D54" s="2" t="s">
        <v>7</v>
      </c>
      <c r="E54" s="4" t="s">
        <v>17</v>
      </c>
      <c r="F54" s="31">
        <v>44298</v>
      </c>
      <c r="G54" s="31">
        <v>44300</v>
      </c>
      <c r="H54" s="62">
        <v>270</v>
      </c>
      <c r="I54" s="34">
        <v>23.22</v>
      </c>
      <c r="J54" s="32">
        <v>19</v>
      </c>
      <c r="K54" s="30">
        <v>24.32</v>
      </c>
      <c r="L54" s="32">
        <f>Table1[[#This Row],[Entry commission]]</f>
        <v>19</v>
      </c>
      <c r="M54" s="24">
        <f>(Table1[[#This Row],[Position size]]*Table1[[#This Row],[Entry price]]-Table1[[#This Row],[Entry commission]]-Table1[[#This Row],[Exit commission]])*Table1[[#This Row],[PL% on trade]]</f>
        <v>295.19982773471185</v>
      </c>
      <c r="N54" s="37">
        <f>((Table1[[#This Row],[Exit price]]-Table1[[#This Row],[Entry price]]))/Table1[[#This Row],[Entry price]]</f>
        <v>4.7372954349698598E-2</v>
      </c>
      <c r="O54" s="24">
        <f>SUM($M$10:M54)</f>
        <v>22929.269784480279</v>
      </c>
      <c r="P54" s="36">
        <f>Table1[[#This Row],[Total Return]]/$E$3</f>
        <v>0.2292926978448028</v>
      </c>
    </row>
    <row r="55" spans="2:16" ht="17" x14ac:dyDescent="0.2">
      <c r="B55" s="3" t="s">
        <v>74</v>
      </c>
      <c r="C55" s="2" t="s">
        <v>19</v>
      </c>
      <c r="D55" s="2" t="s">
        <v>27</v>
      </c>
      <c r="E55" s="4" t="s">
        <v>17</v>
      </c>
      <c r="F55" s="31">
        <v>44298</v>
      </c>
      <c r="G55" s="31">
        <v>44300</v>
      </c>
      <c r="H55" s="62">
        <v>340</v>
      </c>
      <c r="I55" s="34">
        <v>21.95</v>
      </c>
      <c r="J55" s="32">
        <v>19</v>
      </c>
      <c r="K55" s="30">
        <v>21.9</v>
      </c>
      <c r="L55" s="32">
        <f>Table1[[#This Row],[Entry commission]]</f>
        <v>19</v>
      </c>
      <c r="M55" s="24">
        <f>(Table1[[#This Row],[Position size]]*Table1[[#This Row],[Entry price]]-Table1[[#This Row],[Entry commission]]-Table1[[#This Row],[Exit commission]])*Table1[[#This Row],[PL% on trade]]</f>
        <v>-16.91343963553555</v>
      </c>
      <c r="N55" s="37">
        <f>((Table1[[#This Row],[Exit price]]-Table1[[#This Row],[Entry price]]))/Table1[[#This Row],[Entry price]]</f>
        <v>-2.2779043280182557E-3</v>
      </c>
      <c r="O55" s="24">
        <f>SUM($M$10:M55)</f>
        <v>22912.356344844742</v>
      </c>
      <c r="P55" s="36">
        <f>Table1[[#This Row],[Total Return]]/$E$3</f>
        <v>0.22912356344844742</v>
      </c>
    </row>
    <row r="56" spans="2:16" ht="17" x14ac:dyDescent="0.2">
      <c r="B56" s="3" t="s">
        <v>39</v>
      </c>
      <c r="C56" s="2" t="s">
        <v>19</v>
      </c>
      <c r="D56" s="2" t="s">
        <v>14</v>
      </c>
      <c r="E56" s="4" t="s">
        <v>17</v>
      </c>
      <c r="F56" s="31">
        <v>44299</v>
      </c>
      <c r="G56" s="31">
        <v>44301</v>
      </c>
      <c r="H56" s="62">
        <v>2615</v>
      </c>
      <c r="I56" s="34">
        <v>17.899999999999999</v>
      </c>
      <c r="J56" s="32">
        <v>19</v>
      </c>
      <c r="K56" s="30">
        <v>21.64</v>
      </c>
      <c r="L56" s="32">
        <f>Table1[[#This Row],[Entry commission]]</f>
        <v>19</v>
      </c>
      <c r="M56" s="24">
        <f>(Table1[[#This Row],[Position size]]*Table1[[#This Row],[Entry price]]-Table1[[#This Row],[Entry commission]]-Table1[[#This Row],[Exit commission]])*Table1[[#This Row],[PL% on trade]]</f>
        <v>9772.1603351955364</v>
      </c>
      <c r="N56" s="37">
        <f>((Table1[[#This Row],[Exit price]]-Table1[[#This Row],[Entry price]]))/Table1[[#This Row],[Entry price]]</f>
        <v>0.20893854748603366</v>
      </c>
      <c r="O56" s="24">
        <f>SUM($M$10:M56)</f>
        <v>32684.51668004028</v>
      </c>
      <c r="P56" s="36">
        <f>Table1[[#This Row],[Total Return]]/$E$3</f>
        <v>0.32684516680040282</v>
      </c>
    </row>
    <row r="57" spans="2:16" ht="17" x14ac:dyDescent="0.2">
      <c r="B57" s="3" t="s">
        <v>42</v>
      </c>
      <c r="C57" s="2" t="s">
        <v>19</v>
      </c>
      <c r="D57" s="2" t="s">
        <v>13</v>
      </c>
      <c r="E57" s="4" t="s">
        <v>17</v>
      </c>
      <c r="F57" s="31">
        <v>44299</v>
      </c>
      <c r="G57" s="31">
        <v>44301</v>
      </c>
      <c r="H57" s="62">
        <v>90</v>
      </c>
      <c r="I57" s="34">
        <v>40.54</v>
      </c>
      <c r="J57" s="32">
        <v>19</v>
      </c>
      <c r="K57" s="30">
        <v>41.4</v>
      </c>
      <c r="L57" s="32">
        <f>Table1[[#This Row],[Entry commission]]</f>
        <v>19</v>
      </c>
      <c r="M57" s="24">
        <f>(Table1[[#This Row],[Position size]]*Table1[[#This Row],[Entry price]]-Table1[[#This Row],[Entry commission]]-Table1[[#This Row],[Exit commission]])*Table1[[#This Row],[PL% on trade]]</f>
        <v>76.593882585101071</v>
      </c>
      <c r="N57" s="37">
        <f>((Table1[[#This Row],[Exit price]]-Table1[[#This Row],[Entry price]]))/Table1[[#This Row],[Entry price]]</f>
        <v>2.1213616181549072E-2</v>
      </c>
      <c r="O57" s="24">
        <f>SUM($M$10:M57)</f>
        <v>32761.110562625381</v>
      </c>
      <c r="P57" s="36">
        <f>Table1[[#This Row],[Total Return]]/$E$3</f>
        <v>0.32761110562625378</v>
      </c>
    </row>
    <row r="58" spans="2:16" ht="17" x14ac:dyDescent="0.2">
      <c r="B58" s="3" t="s">
        <v>72</v>
      </c>
      <c r="C58" s="2" t="s">
        <v>19</v>
      </c>
      <c r="D58" s="2" t="s">
        <v>7</v>
      </c>
      <c r="E58" s="4" t="s">
        <v>17</v>
      </c>
      <c r="F58" s="31">
        <v>44299</v>
      </c>
      <c r="G58" s="31">
        <v>44301</v>
      </c>
      <c r="H58" s="62">
        <v>1500</v>
      </c>
      <c r="I58" s="34">
        <v>7.56</v>
      </c>
      <c r="J58" s="32">
        <v>19</v>
      </c>
      <c r="K58" s="30">
        <v>7.4</v>
      </c>
      <c r="L58" s="32">
        <f>Table1[[#This Row],[Entry commission]]</f>
        <v>19</v>
      </c>
      <c r="M58" s="24">
        <f>(Table1[[#This Row],[Position size]]*Table1[[#This Row],[Entry price]]-Table1[[#This Row],[Entry commission]]-Table1[[#This Row],[Exit commission]])*Table1[[#This Row],[PL% on trade]]</f>
        <v>-239.19576719576608</v>
      </c>
      <c r="N58" s="37">
        <f>((Table1[[#This Row],[Exit price]]-Table1[[#This Row],[Entry price]]))/Table1[[#This Row],[Entry price]]</f>
        <v>-2.1164021164021066E-2</v>
      </c>
      <c r="O58" s="24">
        <f>SUM($M$10:M58)</f>
        <v>32521.914795429617</v>
      </c>
      <c r="P58" s="36">
        <f>Table1[[#This Row],[Total Return]]/$E$3</f>
        <v>0.32521914795429618</v>
      </c>
    </row>
    <row r="59" spans="2:16" ht="17" x14ac:dyDescent="0.2">
      <c r="B59" s="3" t="s">
        <v>71</v>
      </c>
      <c r="C59" s="2" t="s">
        <v>19</v>
      </c>
      <c r="D59" s="2" t="s">
        <v>14</v>
      </c>
      <c r="E59" s="4" t="s">
        <v>17</v>
      </c>
      <c r="F59" s="31">
        <v>44301</v>
      </c>
      <c r="G59" s="31">
        <v>44305</v>
      </c>
      <c r="H59" s="62">
        <v>125</v>
      </c>
      <c r="I59" s="34">
        <f>(125.3*93.5+100*95.8)/225</f>
        <v>94.646888888888881</v>
      </c>
      <c r="J59" s="32">
        <v>19</v>
      </c>
      <c r="K59" s="30">
        <v>95.4</v>
      </c>
      <c r="L59" s="32">
        <f>Table1[[#This Row],[Entry commission]]</f>
        <v>19</v>
      </c>
      <c r="M59" s="24">
        <f>(Table1[[#This Row],[Position size]]*Table1[[#This Row],[Entry price]]-Table1[[#This Row],[Entry commission]]-Table1[[#This Row],[Exit commission]])*Table1[[#This Row],[PL% on trade]]</f>
        <v>93.836520553721911</v>
      </c>
      <c r="N59" s="37">
        <f>((Table1[[#This Row],[Exit price]]-Table1[[#This Row],[Entry price]]))/Table1[[#This Row],[Entry price]]</f>
        <v>7.957061451805799E-3</v>
      </c>
      <c r="O59" s="24">
        <f>SUM($M$10:M59)</f>
        <v>32615.75131598334</v>
      </c>
      <c r="P59" s="36">
        <f>Table1[[#This Row],[Total Return]]/$E$3</f>
        <v>0.32615751315983338</v>
      </c>
    </row>
    <row r="60" spans="2:16" ht="17" x14ac:dyDescent="0.2">
      <c r="B60" s="3" t="s">
        <v>68</v>
      </c>
      <c r="C60" s="2" t="s">
        <v>19</v>
      </c>
      <c r="D60" s="2" t="s">
        <v>8</v>
      </c>
      <c r="E60" s="4" t="s">
        <v>17</v>
      </c>
      <c r="F60" s="31">
        <v>44301</v>
      </c>
      <c r="G60" s="31">
        <v>44305</v>
      </c>
      <c r="H60" s="62">
        <v>250</v>
      </c>
      <c r="I60" s="34">
        <v>11.711</v>
      </c>
      <c r="J60" s="32">
        <v>89</v>
      </c>
      <c r="K60" s="30">
        <v>12</v>
      </c>
      <c r="L60" s="32">
        <f>Table1[[#This Row],[Entry commission]]</f>
        <v>89</v>
      </c>
      <c r="M60" s="24">
        <f>(Table1[[#This Row],[Position size]]*Table1[[#This Row],[Entry price]]-Table1[[#This Row],[Entry commission]]-Table1[[#This Row],[Exit commission]])*Table1[[#This Row],[PL% on trade]]</f>
        <v>67.857377679105042</v>
      </c>
      <c r="N60" s="37">
        <f>((Table1[[#This Row],[Exit price]]-Table1[[#This Row],[Entry price]]))/Table1[[#This Row],[Entry price]]</f>
        <v>2.4677653488173485E-2</v>
      </c>
      <c r="O60" s="24">
        <f>SUM($M$10:M60)</f>
        <v>32683.608693662445</v>
      </c>
      <c r="P60" s="36">
        <f>Table1[[#This Row],[Total Return]]/$E$3</f>
        <v>0.32683608693662447</v>
      </c>
    </row>
    <row r="61" spans="2:16" ht="17" x14ac:dyDescent="0.2">
      <c r="B61" s="3" t="s">
        <v>68</v>
      </c>
      <c r="C61" s="2" t="s">
        <v>19</v>
      </c>
      <c r="D61" s="2" t="s">
        <v>26</v>
      </c>
      <c r="E61" s="4" t="s">
        <v>17</v>
      </c>
      <c r="F61" s="31">
        <v>44306</v>
      </c>
      <c r="G61" s="31">
        <v>44308</v>
      </c>
      <c r="H61" s="62">
        <v>1900</v>
      </c>
      <c r="I61" s="34">
        <v>12.47</v>
      </c>
      <c r="J61" s="32">
        <v>19</v>
      </c>
      <c r="K61" s="30">
        <v>12.18</v>
      </c>
      <c r="L61" s="32">
        <f>Table1[[#This Row],[Entry commission]]</f>
        <v>19</v>
      </c>
      <c r="M61" s="24">
        <f>(Table1[[#This Row],[Position size]]*Table1[[#This Row],[Entry price]]-Table1[[#This Row],[Entry commission]]-Table1[[#This Row],[Exit commission]])*Table1[[#This Row],[PL% on trade]]</f>
        <v>-550.11627906976912</v>
      </c>
      <c r="N61" s="37">
        <f>((Table1[[#This Row],[Exit price]]-Table1[[#This Row],[Entry price]]))/Table1[[#This Row],[Entry price]]</f>
        <v>-2.3255813953488445E-2</v>
      </c>
      <c r="O61" s="24">
        <f>SUM($M$10:M61)</f>
        <v>32133.492414592674</v>
      </c>
      <c r="P61" s="36">
        <f>Table1[[#This Row],[Total Return]]/$E$3</f>
        <v>0.32133492414592674</v>
      </c>
    </row>
    <row r="62" spans="2:16" ht="17" x14ac:dyDescent="0.2">
      <c r="B62" s="3" t="s">
        <v>59</v>
      </c>
      <c r="C62" s="2" t="s">
        <v>19</v>
      </c>
      <c r="D62" s="2" t="s">
        <v>13</v>
      </c>
      <c r="E62" s="4" t="s">
        <v>17</v>
      </c>
      <c r="F62" s="31">
        <v>44309</v>
      </c>
      <c r="G62" s="31">
        <v>44313</v>
      </c>
      <c r="H62" s="62">
        <v>2000</v>
      </c>
      <c r="I62" s="34">
        <v>16.667999999999999</v>
      </c>
      <c r="J62" s="32">
        <v>19</v>
      </c>
      <c r="K62" s="30">
        <v>17.14</v>
      </c>
      <c r="L62" s="32">
        <f>Table1[[#This Row],[Entry commission]]</f>
        <v>19</v>
      </c>
      <c r="M62" s="24">
        <f>(Table1[[#This Row],[Position size]]*Table1[[#This Row],[Entry price]]-Table1[[#This Row],[Entry commission]]-Table1[[#This Row],[Exit commission]])*Table1[[#This Row],[PL% on trade]]</f>
        <v>942.9239260859157</v>
      </c>
      <c r="N62" s="37">
        <f>((Table1[[#This Row],[Exit price]]-Table1[[#This Row],[Entry price]]))/Table1[[#This Row],[Entry price]]</f>
        <v>2.8317734581233579E-2</v>
      </c>
      <c r="O62" s="24">
        <f>SUM($M$10:M62)</f>
        <v>33076.416340678588</v>
      </c>
      <c r="P62" s="36">
        <f>Table1[[#This Row],[Total Return]]/$E$3</f>
        <v>0.33076416340678588</v>
      </c>
    </row>
    <row r="63" spans="2:16" ht="17" x14ac:dyDescent="0.2">
      <c r="B63" s="3" t="s">
        <v>56</v>
      </c>
      <c r="C63" s="2" t="s">
        <v>19</v>
      </c>
      <c r="D63" s="2" t="s">
        <v>10</v>
      </c>
      <c r="E63" s="4" t="s">
        <v>17</v>
      </c>
      <c r="F63" s="31">
        <v>44312</v>
      </c>
      <c r="G63" s="31">
        <v>44314</v>
      </c>
      <c r="H63" s="62">
        <v>100</v>
      </c>
      <c r="I63" s="34">
        <v>48.994999999999997</v>
      </c>
      <c r="J63" s="32">
        <v>19</v>
      </c>
      <c r="K63" s="30">
        <v>48.62</v>
      </c>
      <c r="L63" s="32">
        <f>Table1[[#This Row],[Entry commission]]</f>
        <v>19</v>
      </c>
      <c r="M63" s="24">
        <f>(Table1[[#This Row],[Position size]]*Table1[[#This Row],[Entry price]]-Table1[[#This Row],[Entry commission]]-Table1[[#This Row],[Exit commission]])*Table1[[#This Row],[PL% on trade]]</f>
        <v>-37.209153995305648</v>
      </c>
      <c r="N63" s="37">
        <f>((Table1[[#This Row],[Exit price]]-Table1[[#This Row],[Entry price]]))/Table1[[#This Row],[Entry price]]</f>
        <v>-7.6538422287988576E-3</v>
      </c>
      <c r="O63" s="24">
        <f>SUM($M$10:M63)</f>
        <v>33039.207186683285</v>
      </c>
      <c r="P63" s="36">
        <f>Table1[[#This Row],[Total Return]]/$E$3</f>
        <v>0.33039207186683284</v>
      </c>
    </row>
    <row r="64" spans="2:16" ht="17" x14ac:dyDescent="0.2">
      <c r="B64" s="3" t="s">
        <v>46</v>
      </c>
      <c r="C64" s="2" t="s">
        <v>19</v>
      </c>
      <c r="D64" s="2" t="s">
        <v>27</v>
      </c>
      <c r="E64" s="4" t="s">
        <v>17</v>
      </c>
      <c r="F64" s="31">
        <v>44312</v>
      </c>
      <c r="G64" s="31">
        <v>44314</v>
      </c>
      <c r="H64" s="62">
        <v>1000</v>
      </c>
      <c r="I64" s="34">
        <v>8.84</v>
      </c>
      <c r="J64" s="32">
        <v>19</v>
      </c>
      <c r="K64" s="30">
        <v>8.33</v>
      </c>
      <c r="L64" s="32">
        <f>Table1[[#This Row],[Entry commission]]</f>
        <v>19</v>
      </c>
      <c r="M64" s="24">
        <f>(Table1[[#This Row],[Position size]]*Table1[[#This Row],[Entry price]]-Table1[[#This Row],[Entry commission]]-Table1[[#This Row],[Exit commission]])*Table1[[#This Row],[PL% on trade]]</f>
        <v>-507.80769230769209</v>
      </c>
      <c r="N64" s="37">
        <f>((Table1[[#This Row],[Exit price]]-Table1[[#This Row],[Entry price]]))/Table1[[#This Row],[Entry price]]</f>
        <v>-5.7692307692307668E-2</v>
      </c>
      <c r="O64" s="24">
        <f>SUM($M$10:M64)</f>
        <v>32531.399494375593</v>
      </c>
      <c r="P64" s="36">
        <f>Table1[[#This Row],[Total Return]]/$E$3</f>
        <v>0.32531399494375596</v>
      </c>
    </row>
    <row r="65" spans="2:16" ht="17" x14ac:dyDescent="0.2">
      <c r="B65" s="3" t="s">
        <v>58</v>
      </c>
      <c r="C65" s="2" t="s">
        <v>19</v>
      </c>
      <c r="D65" s="2" t="s">
        <v>7</v>
      </c>
      <c r="E65" s="4" t="s">
        <v>17</v>
      </c>
      <c r="F65" s="28">
        <v>44316</v>
      </c>
      <c r="G65" s="31">
        <v>44320</v>
      </c>
      <c r="H65" s="62">
        <v>252</v>
      </c>
      <c r="I65" s="34">
        <v>242.1</v>
      </c>
      <c r="J65" s="32">
        <v>19</v>
      </c>
      <c r="K65" s="30">
        <v>240.26</v>
      </c>
      <c r="L65" s="32">
        <f>Table1[[#This Row],[Entry commission]]</f>
        <v>19</v>
      </c>
      <c r="M65" s="24">
        <f>(Table1[[#This Row],[Position size]]*Table1[[#This Row],[Entry price]]-Table1[[#This Row],[Entry commission]]-Table1[[#This Row],[Exit commission]])*Table1[[#This Row],[PL% on trade]]</f>
        <v>-463.39119372160349</v>
      </c>
      <c r="N65" s="37">
        <f>((Table1[[#This Row],[Exit price]]-Table1[[#This Row],[Entry price]]))/Table1[[#This Row],[Entry price]]</f>
        <v>-7.6001652209830789E-3</v>
      </c>
      <c r="O65" s="24">
        <f>SUM($M$10:M65)</f>
        <v>32068.00830065399</v>
      </c>
      <c r="P65" s="36">
        <f>Table1[[#This Row],[Total Return]]/$E$3</f>
        <v>0.32068008300653988</v>
      </c>
    </row>
    <row r="66" spans="2:16" ht="17" x14ac:dyDescent="0.2">
      <c r="B66" s="3" t="s">
        <v>68</v>
      </c>
      <c r="C66" s="2" t="s">
        <v>19</v>
      </c>
      <c r="D66" s="2" t="s">
        <v>8</v>
      </c>
      <c r="E66" s="4" t="s">
        <v>17</v>
      </c>
      <c r="F66" s="28">
        <v>44347</v>
      </c>
      <c r="G66" s="31">
        <v>44349</v>
      </c>
      <c r="H66" s="62">
        <v>1000</v>
      </c>
      <c r="I66" s="34">
        <v>11.5</v>
      </c>
      <c r="J66" s="32">
        <v>19</v>
      </c>
      <c r="K66" s="30">
        <v>13.6</v>
      </c>
      <c r="L66" s="32">
        <f>Table1[[#This Row],[Entry commission]]</f>
        <v>19</v>
      </c>
      <c r="M66" s="24">
        <f>(Table1[[#This Row],[Position size]]*Table1[[#This Row],[Entry price]]-Table1[[#This Row],[Entry commission]]-Table1[[#This Row],[Exit commission]])*Table1[[#This Row],[PL% on trade]]</f>
        <v>2093.0608695652172</v>
      </c>
      <c r="N66" s="37">
        <f>((Table1[[#This Row],[Exit price]]-Table1[[#This Row],[Entry price]]))/Table1[[#This Row],[Entry price]]</f>
        <v>0.18260869565217389</v>
      </c>
      <c r="O66" s="24">
        <f>SUM($M$10:M66)</f>
        <v>34161.069170219205</v>
      </c>
      <c r="P66" s="36">
        <f>Table1[[#This Row],[Total Return]]/$E$3</f>
        <v>0.34161069170219205</v>
      </c>
    </row>
    <row r="67" spans="2:16" ht="17" x14ac:dyDescent="0.2">
      <c r="B67" s="3" t="s">
        <v>69</v>
      </c>
      <c r="C67" s="2" t="s">
        <v>19</v>
      </c>
      <c r="D67" s="2" t="s">
        <v>27</v>
      </c>
      <c r="E67" s="4" t="s">
        <v>17</v>
      </c>
      <c r="F67" s="28">
        <v>44371</v>
      </c>
      <c r="G67" s="31">
        <v>44375</v>
      </c>
      <c r="H67" s="62">
        <v>4000</v>
      </c>
      <c r="I67" s="34">
        <v>5.4565999999999999</v>
      </c>
      <c r="J67" s="32">
        <v>19</v>
      </c>
      <c r="K67" s="30">
        <v>5.3</v>
      </c>
      <c r="L67" s="32">
        <f>Table1[[#This Row],[Entry commission]]</f>
        <v>19</v>
      </c>
      <c r="M67" s="24">
        <f>(Table1[[#This Row],[Position size]]*Table1[[#This Row],[Entry price]]-Table1[[#This Row],[Entry commission]]-Table1[[#This Row],[Exit commission]])*Table1[[#This Row],[PL% on trade]]</f>
        <v>-625.30943078107271</v>
      </c>
      <c r="N67" s="37">
        <f>((Table1[[#This Row],[Exit price]]-Table1[[#This Row],[Entry price]]))/Table1[[#This Row],[Entry price]]</f>
        <v>-2.8699189971777311E-2</v>
      </c>
      <c r="O67" s="24">
        <f>SUM($M$10:M67)</f>
        <v>33535.75973943813</v>
      </c>
      <c r="P67" s="36">
        <f>Table1[[#This Row],[Total Return]]/$E$3</f>
        <v>0.33535759739438131</v>
      </c>
    </row>
    <row r="68" spans="2:16" ht="17" x14ac:dyDescent="0.2">
      <c r="B68" s="3" t="s">
        <v>68</v>
      </c>
      <c r="C68" s="2" t="s">
        <v>19</v>
      </c>
      <c r="D68" s="2" t="s">
        <v>26</v>
      </c>
      <c r="E68" s="4" t="s">
        <v>17</v>
      </c>
      <c r="F68" s="28">
        <v>44375</v>
      </c>
      <c r="G68" s="31">
        <v>44377</v>
      </c>
      <c r="H68" s="62">
        <v>1000</v>
      </c>
      <c r="I68" s="34">
        <v>14.68</v>
      </c>
      <c r="J68" s="32">
        <v>19</v>
      </c>
      <c r="K68" s="30">
        <v>16.57</v>
      </c>
      <c r="L68" s="32">
        <f>Table1[[#This Row],[Entry commission]]</f>
        <v>19</v>
      </c>
      <c r="M68" s="24">
        <f>(Table1[[#This Row],[Position size]]*Table1[[#This Row],[Entry price]]-Table1[[#This Row],[Entry commission]]-Table1[[#This Row],[Exit commission]])*Table1[[#This Row],[PL% on trade]]</f>
        <v>1885.1076294277934</v>
      </c>
      <c r="N68" s="37">
        <f>((Table1[[#This Row],[Exit price]]-Table1[[#This Row],[Entry price]]))/Table1[[#This Row],[Entry price]]</f>
        <v>0.12874659400544963</v>
      </c>
      <c r="O68" s="24">
        <f>SUM($M$10:M68)</f>
        <v>35420.867368865926</v>
      </c>
      <c r="P68" s="36">
        <f>Table1[[#This Row],[Total Return]]/$E$3</f>
        <v>0.35420867368865927</v>
      </c>
    </row>
    <row r="69" spans="2:16" ht="17" x14ac:dyDescent="0.2">
      <c r="B69" s="3" t="s">
        <v>59</v>
      </c>
      <c r="C69" s="2" t="s">
        <v>19</v>
      </c>
      <c r="D69" s="2" t="s">
        <v>10</v>
      </c>
      <c r="E69" s="4" t="s">
        <v>17</v>
      </c>
      <c r="F69" s="31">
        <v>44376</v>
      </c>
      <c r="G69" s="31">
        <v>44378</v>
      </c>
      <c r="H69" s="62">
        <v>1900</v>
      </c>
      <c r="I69" s="34">
        <v>18.32</v>
      </c>
      <c r="J69" s="32">
        <v>19</v>
      </c>
      <c r="K69" s="30">
        <v>18.39</v>
      </c>
      <c r="L69" s="32">
        <f>Table1[[#This Row],[Entry commission]]</f>
        <v>19</v>
      </c>
      <c r="M69" s="24">
        <f>(Table1[[#This Row],[Position size]]*Table1[[#This Row],[Entry price]]-Table1[[#This Row],[Entry commission]]-Table1[[#This Row],[Exit commission]])*Table1[[#This Row],[PL% on trade]]</f>
        <v>132.85480349345031</v>
      </c>
      <c r="N69" s="37">
        <f>((Table1[[#This Row],[Exit price]]-Table1[[#This Row],[Entry price]]))/Table1[[#This Row],[Entry price]]</f>
        <v>3.8209606986899717E-3</v>
      </c>
      <c r="O69" s="24">
        <f>SUM($M$10:M69)</f>
        <v>35553.722172359376</v>
      </c>
      <c r="P69" s="36">
        <f>Table1[[#This Row],[Total Return]]/$E$3</f>
        <v>0.35553722172359375</v>
      </c>
    </row>
    <row r="70" spans="2:16" ht="17" x14ac:dyDescent="0.2">
      <c r="B70" s="3" t="s">
        <v>87</v>
      </c>
      <c r="C70" s="2" t="s">
        <v>19</v>
      </c>
      <c r="D70" s="2" t="s">
        <v>13</v>
      </c>
      <c r="E70" s="4" t="s">
        <v>17</v>
      </c>
      <c r="F70" s="31">
        <v>44377</v>
      </c>
      <c r="G70" s="31">
        <v>44379</v>
      </c>
      <c r="H70" s="62">
        <v>10000</v>
      </c>
      <c r="I70" s="34">
        <v>1.1639999999999999</v>
      </c>
      <c r="J70" s="32">
        <v>19</v>
      </c>
      <c r="K70" s="30">
        <v>1.1100000000000001</v>
      </c>
      <c r="L70" s="32">
        <f>Table1[[#This Row],[Entry commission]]</f>
        <v>19</v>
      </c>
      <c r="M70" s="24">
        <f>(Table1[[#This Row],[Position size]]*Table1[[#This Row],[Entry price]]-Table1[[#This Row],[Entry commission]]-Table1[[#This Row],[Exit commission]])*Table1[[#This Row],[PL% on trade]]</f>
        <v>-538.23711340206023</v>
      </c>
      <c r="N70" s="37">
        <f>((Table1[[#This Row],[Exit price]]-Table1[[#This Row],[Entry price]]))/Table1[[#This Row],[Entry price]]</f>
        <v>-4.6391752577319444E-2</v>
      </c>
      <c r="O70" s="24">
        <f>SUM($M$10:M70)</f>
        <v>35015.485058957318</v>
      </c>
      <c r="P70" s="36">
        <f>Table1[[#This Row],[Total Return]]/$E$3</f>
        <v>0.35015485058957319</v>
      </c>
    </row>
    <row r="71" spans="2:16" ht="17" x14ac:dyDescent="0.2">
      <c r="B71" s="3" t="s">
        <v>68</v>
      </c>
      <c r="C71" s="2" t="s">
        <v>19</v>
      </c>
      <c r="D71" s="2" t="s">
        <v>27</v>
      </c>
      <c r="E71" s="4" t="s">
        <v>17</v>
      </c>
      <c r="F71" s="31">
        <v>44378</v>
      </c>
      <c r="G71" s="31">
        <v>44382</v>
      </c>
      <c r="H71" s="62">
        <v>2375</v>
      </c>
      <c r="I71" s="34">
        <v>16.687999999999999</v>
      </c>
      <c r="J71" s="32">
        <v>19</v>
      </c>
      <c r="K71" s="30">
        <v>17.2</v>
      </c>
      <c r="L71" s="32">
        <f>Table1[[#This Row],[Entry commission]]</f>
        <v>19</v>
      </c>
      <c r="M71" s="24">
        <f>(Table1[[#This Row],[Position size]]*Table1[[#This Row],[Entry price]]-Table1[[#This Row],[Entry commission]]-Table1[[#This Row],[Exit commission]])*Table1[[#This Row],[PL% on trade]]</f>
        <v>1214.8341323106436</v>
      </c>
      <c r="N71" s="37">
        <f>((Table1[[#This Row],[Exit price]]-Table1[[#This Row],[Entry price]]))/Table1[[#This Row],[Entry price]]</f>
        <v>3.0680728667305878E-2</v>
      </c>
      <c r="O71" s="24">
        <f>SUM($M$10:M71)</f>
        <v>36230.319191267961</v>
      </c>
      <c r="P71" s="36">
        <f>Table1[[#This Row],[Total Return]]/$E$3</f>
        <v>0.36230319191267962</v>
      </c>
    </row>
    <row r="72" spans="2:16" ht="17" x14ac:dyDescent="0.2">
      <c r="B72" s="3" t="s">
        <v>87</v>
      </c>
      <c r="C72" s="2" t="s">
        <v>19</v>
      </c>
      <c r="D72" s="2" t="s">
        <v>26</v>
      </c>
      <c r="E72" s="4" t="s">
        <v>17</v>
      </c>
      <c r="F72" s="31">
        <v>44385</v>
      </c>
      <c r="G72" s="31">
        <v>44389</v>
      </c>
      <c r="H72" s="62">
        <v>10000</v>
      </c>
      <c r="I72" s="34">
        <v>1.1299999999999999</v>
      </c>
      <c r="J72" s="32">
        <v>19</v>
      </c>
      <c r="K72" s="30">
        <v>1.1100000000000001</v>
      </c>
      <c r="L72" s="32">
        <f>Table1[[#This Row],[Entry commission]]</f>
        <v>19</v>
      </c>
      <c r="M72" s="24">
        <f>(Table1[[#This Row],[Position size]]*Table1[[#This Row],[Entry price]]-Table1[[#This Row],[Entry commission]]-Table1[[#This Row],[Exit commission]])*Table1[[#This Row],[PL% on trade]]</f>
        <v>-199.32743362831653</v>
      </c>
      <c r="N72" s="37">
        <f>((Table1[[#This Row],[Exit price]]-Table1[[#This Row],[Entry price]]))/Table1[[#This Row],[Entry price]]</f>
        <v>-1.7699115044247607E-2</v>
      </c>
      <c r="O72" s="24">
        <f>SUM($M$10:M72)</f>
        <v>36030.991757639647</v>
      </c>
      <c r="P72" s="36">
        <f>Table1[[#This Row],[Total Return]]/$E$3</f>
        <v>0.36030991757639647</v>
      </c>
    </row>
    <row r="73" spans="2:16" ht="17" x14ac:dyDescent="0.2">
      <c r="B73" s="3" t="s">
        <v>46</v>
      </c>
      <c r="C73" s="2" t="s">
        <v>19</v>
      </c>
      <c r="D73" s="2" t="s">
        <v>10</v>
      </c>
      <c r="E73" s="4" t="s">
        <v>17</v>
      </c>
      <c r="F73" s="31">
        <v>44393</v>
      </c>
      <c r="G73" s="31">
        <v>44427</v>
      </c>
      <c r="H73" s="62">
        <v>2000</v>
      </c>
      <c r="I73" s="34">
        <v>8.15</v>
      </c>
      <c r="J73" s="32">
        <v>15</v>
      </c>
      <c r="K73" s="30">
        <v>9.3800000000000008</v>
      </c>
      <c r="L73" s="32">
        <f>Table1[[#This Row],[Entry commission]]</f>
        <v>15</v>
      </c>
      <c r="M73" s="24">
        <f>(Table1[[#This Row],[Position size]]*Table1[[#This Row],[Entry price]]-Table1[[#This Row],[Entry commission]]-Table1[[#This Row],[Exit commission]])*Table1[[#This Row],[PL% on trade]]</f>
        <v>2455.4723926380375</v>
      </c>
      <c r="N73" s="37">
        <f>((Table1[[#This Row],[Exit price]]-Table1[[#This Row],[Entry price]]))/Table1[[#This Row],[Entry price]]</f>
        <v>0.15092024539877305</v>
      </c>
      <c r="O73" s="24">
        <f>SUM($M$10:M73)</f>
        <v>38486.464150277687</v>
      </c>
      <c r="P73" s="36">
        <f>Table1[[#This Row],[Total Return]]/$E$3</f>
        <v>0.38486464150277688</v>
      </c>
    </row>
    <row r="74" spans="2:16" ht="17" x14ac:dyDescent="0.2">
      <c r="B74" s="3" t="s">
        <v>66</v>
      </c>
      <c r="C74" s="2" t="s">
        <v>19</v>
      </c>
      <c r="D74" s="2" t="s">
        <v>11</v>
      </c>
      <c r="E74" s="4" t="s">
        <v>17</v>
      </c>
      <c r="F74" s="4">
        <v>44395</v>
      </c>
      <c r="G74" s="4">
        <v>44428</v>
      </c>
      <c r="H74" s="7">
        <v>225</v>
      </c>
      <c r="I74" s="34">
        <v>43.659300000000002</v>
      </c>
      <c r="J74" s="32">
        <v>89</v>
      </c>
      <c r="K74" s="30">
        <v>43.01</v>
      </c>
      <c r="L74" s="32">
        <f>Table1[[#This Row],[Entry commission]]</f>
        <v>89</v>
      </c>
      <c r="M74" s="24">
        <f>(Table1[[#This Row],[Position size]]*Table1[[#This Row],[Entry price]]-Table1[[#This Row],[Entry commission]]-Table1[[#This Row],[Exit commission]])*Table1[[#This Row],[PL% on trade]]</f>
        <v>-143.44528852386631</v>
      </c>
      <c r="N74" s="37">
        <f>((Table1[[#This Row],[Exit price]]-Table1[[#This Row],[Entry price]]))/Table1[[#This Row],[Entry price]]</f>
        <v>-1.4871974585025498E-2</v>
      </c>
      <c r="O74" s="24">
        <f>SUM($M$10:M74)</f>
        <v>38343.018861753822</v>
      </c>
      <c r="P74" s="36">
        <f>Table1[[#This Row],[Total Return]]/$E$3</f>
        <v>0.38343018861753825</v>
      </c>
    </row>
    <row r="75" spans="2:16" ht="17" x14ac:dyDescent="0.2">
      <c r="B75" s="3" t="s">
        <v>67</v>
      </c>
      <c r="C75" s="2" t="s">
        <v>19</v>
      </c>
      <c r="D75" s="2" t="s">
        <v>13</v>
      </c>
      <c r="E75" s="4" t="s">
        <v>17</v>
      </c>
      <c r="F75" s="31">
        <v>44427</v>
      </c>
      <c r="G75" s="31">
        <v>44431</v>
      </c>
      <c r="H75" s="62">
        <v>100</v>
      </c>
      <c r="I75" s="34">
        <v>78.7</v>
      </c>
      <c r="J75" s="32">
        <v>89</v>
      </c>
      <c r="K75" s="30">
        <v>82.9</v>
      </c>
      <c r="L75" s="32">
        <f>Table1[[#This Row],[Entry commission]]</f>
        <v>89</v>
      </c>
      <c r="M75" s="24">
        <f>(Table1[[#This Row],[Position size]]*Table1[[#This Row],[Entry price]]-Table1[[#This Row],[Entry commission]]-Table1[[#This Row],[Exit commission]])*Table1[[#This Row],[PL% on trade]]</f>
        <v>410.50063532401549</v>
      </c>
      <c r="N75" s="37">
        <f>((Table1[[#This Row],[Exit price]]-Table1[[#This Row],[Entry price]]))/Table1[[#This Row],[Entry price]]</f>
        <v>5.3367217280813249E-2</v>
      </c>
      <c r="O75" s="24">
        <f>SUM($M$10:M75)</f>
        <v>38753.519497077839</v>
      </c>
      <c r="P75" s="36">
        <f>Table1[[#This Row],[Total Return]]/$E$3</f>
        <v>0.38753519497077837</v>
      </c>
    </row>
    <row r="76" spans="2:16" ht="17" x14ac:dyDescent="0.2">
      <c r="B76" s="3" t="s">
        <v>60</v>
      </c>
      <c r="C76" s="2" t="s">
        <v>19</v>
      </c>
      <c r="D76" s="2" t="s">
        <v>12</v>
      </c>
      <c r="E76" s="4" t="s">
        <v>17</v>
      </c>
      <c r="F76" s="28">
        <v>44435</v>
      </c>
      <c r="G76" s="31">
        <v>44439</v>
      </c>
      <c r="H76" s="62">
        <v>500</v>
      </c>
      <c r="I76" s="34">
        <v>19.84</v>
      </c>
      <c r="J76" s="32">
        <v>19</v>
      </c>
      <c r="K76" s="30">
        <v>20.02</v>
      </c>
      <c r="L76" s="32">
        <f>Table1[[#This Row],[Entry commission]]</f>
        <v>19</v>
      </c>
      <c r="M76" s="24">
        <f>(Table1[[#This Row],[Position size]]*Table1[[#This Row],[Entry price]]-Table1[[#This Row],[Entry commission]]-Table1[[#This Row],[Exit commission]])*Table1[[#This Row],[PL% on trade]]</f>
        <v>89.65524193548373</v>
      </c>
      <c r="N76" s="37">
        <f>((Table1[[#This Row],[Exit price]]-Table1[[#This Row],[Entry price]]))/Table1[[#This Row],[Entry price]]</f>
        <v>9.0725806451612753E-3</v>
      </c>
      <c r="O76" s="24">
        <f>SUM($M$10:M76)</f>
        <v>38843.174739013324</v>
      </c>
      <c r="P76" s="36">
        <f>Table1[[#This Row],[Total Return]]/$E$3</f>
        <v>0.38843174739013325</v>
      </c>
    </row>
    <row r="77" spans="2:16" ht="17" x14ac:dyDescent="0.2">
      <c r="B77" s="3" t="s">
        <v>63</v>
      </c>
      <c r="C77" s="2" t="s">
        <v>19</v>
      </c>
      <c r="D77" s="2" t="s">
        <v>14</v>
      </c>
      <c r="E77" s="4" t="s">
        <v>17</v>
      </c>
      <c r="F77" s="28">
        <v>44441</v>
      </c>
      <c r="G77" s="31">
        <v>44445</v>
      </c>
      <c r="H77" s="62">
        <v>800</v>
      </c>
      <c r="I77" s="34">
        <f>(500*35.3+300*34.8)/800</f>
        <v>35.112499999999997</v>
      </c>
      <c r="J77" s="32">
        <v>19</v>
      </c>
      <c r="K77" s="30">
        <v>37</v>
      </c>
      <c r="L77" s="32">
        <f>Table1[[#This Row],[Entry commission]]</f>
        <v>19</v>
      </c>
      <c r="M77" s="24">
        <f>(Table1[[#This Row],[Position size]]*Table1[[#This Row],[Entry price]]-Table1[[#This Row],[Entry commission]]-Table1[[#This Row],[Exit commission]])*Table1[[#This Row],[PL% on trade]]</f>
        <v>1507.9572801708814</v>
      </c>
      <c r="N77" s="37">
        <f>((Table1[[#This Row],[Exit price]]-Table1[[#This Row],[Entry price]]))/Table1[[#This Row],[Entry price]]</f>
        <v>5.3755784976860177E-2</v>
      </c>
      <c r="O77" s="24">
        <f>SUM($M$10:M77)</f>
        <v>40351.132019184202</v>
      </c>
      <c r="P77" s="36">
        <f>Table1[[#This Row],[Total Return]]/$E$3</f>
        <v>0.40351132019184205</v>
      </c>
    </row>
    <row r="78" spans="2:16" ht="17" x14ac:dyDescent="0.2">
      <c r="B78" s="3" t="s">
        <v>65</v>
      </c>
      <c r="C78" s="2" t="s">
        <v>19</v>
      </c>
      <c r="D78" s="2" t="s">
        <v>14</v>
      </c>
      <c r="E78" s="4" t="s">
        <v>17</v>
      </c>
      <c r="F78" s="28">
        <v>44441</v>
      </c>
      <c r="G78" s="31">
        <v>44445</v>
      </c>
      <c r="H78" s="62">
        <v>2000</v>
      </c>
      <c r="I78" s="34">
        <v>4.03</v>
      </c>
      <c r="J78" s="32">
        <v>19</v>
      </c>
      <c r="K78" s="30">
        <v>4.03</v>
      </c>
      <c r="L78" s="32">
        <f>Table1[[#This Row],[Entry commission]]</f>
        <v>19</v>
      </c>
      <c r="M78" s="24">
        <f>(Table1[[#This Row],[Position size]]*Table1[[#This Row],[Entry price]]-Table1[[#This Row],[Entry commission]]-Table1[[#This Row],[Exit commission]])*Table1[[#This Row],[PL% on trade]]</f>
        <v>0</v>
      </c>
      <c r="N78" s="37">
        <f>((Table1[[#This Row],[Exit price]]-Table1[[#This Row],[Entry price]]))/Table1[[#This Row],[Entry price]]</f>
        <v>0</v>
      </c>
      <c r="O78" s="24">
        <f>SUM($M$10:M78)</f>
        <v>40351.132019184202</v>
      </c>
      <c r="P78" s="36">
        <f>Table1[[#This Row],[Total Return]]/$E$3</f>
        <v>0.40351132019184205</v>
      </c>
    </row>
    <row r="79" spans="2:16" ht="17" x14ac:dyDescent="0.2">
      <c r="B79" s="3" t="s">
        <v>39</v>
      </c>
      <c r="C79" s="2" t="s">
        <v>19</v>
      </c>
      <c r="D79" s="2" t="s">
        <v>8</v>
      </c>
      <c r="E79" s="4" t="s">
        <v>17</v>
      </c>
      <c r="F79" s="28">
        <v>44441</v>
      </c>
      <c r="G79" s="31">
        <v>44445</v>
      </c>
      <c r="H79" s="62">
        <v>2050</v>
      </c>
      <c r="I79" s="34">
        <v>17.05</v>
      </c>
      <c r="J79" s="32">
        <v>19</v>
      </c>
      <c r="K79" s="30">
        <v>16.850000000000001</v>
      </c>
      <c r="L79" s="32">
        <f>Table1[[#This Row],[Entry commission]]</f>
        <v>19</v>
      </c>
      <c r="M79" s="24">
        <f>(Table1[[#This Row],[Position size]]*Table1[[#This Row],[Entry price]]-Table1[[#This Row],[Entry commission]]-Table1[[#This Row],[Exit commission]])*Table1[[#This Row],[PL% on trade]]</f>
        <v>-409.55425219941202</v>
      </c>
      <c r="N79" s="37">
        <f>((Table1[[#This Row],[Exit price]]-Table1[[#This Row],[Entry price]]))/Table1[[#This Row],[Entry price]]</f>
        <v>-1.1730205278592334E-2</v>
      </c>
      <c r="O79" s="24">
        <f>SUM($M$10:M79)</f>
        <v>39941.577766984788</v>
      </c>
      <c r="P79" s="36">
        <f>Table1[[#This Row],[Total Return]]/$E$3</f>
        <v>0.39941577766984787</v>
      </c>
    </row>
    <row r="80" spans="2:16" ht="17" x14ac:dyDescent="0.2">
      <c r="B80" s="3" t="s">
        <v>62</v>
      </c>
      <c r="C80" s="2" t="s">
        <v>19</v>
      </c>
      <c r="D80" s="2" t="s">
        <v>10</v>
      </c>
      <c r="E80" s="4" t="s">
        <v>17</v>
      </c>
      <c r="F80" s="28">
        <v>44442</v>
      </c>
      <c r="G80" s="31">
        <v>44446</v>
      </c>
      <c r="H80" s="62">
        <v>319</v>
      </c>
      <c r="I80" s="34">
        <v>29.73</v>
      </c>
      <c r="J80" s="32">
        <v>19</v>
      </c>
      <c r="K80" s="30">
        <v>30.8</v>
      </c>
      <c r="L80" s="32">
        <f>Table1[[#This Row],[Entry commission]]</f>
        <v>19</v>
      </c>
      <c r="M80" s="24">
        <f>(Table1[[#This Row],[Position size]]*Table1[[#This Row],[Entry price]]-Table1[[#This Row],[Entry commission]]-Table1[[#This Row],[Exit commission]])*Table1[[#This Row],[PL% on trade]]</f>
        <v>339.96235788765568</v>
      </c>
      <c r="N80" s="37">
        <f>((Table1[[#This Row],[Exit price]]-Table1[[#This Row],[Entry price]]))/Table1[[#This Row],[Entry price]]</f>
        <v>3.5990581903800882E-2</v>
      </c>
      <c r="O80" s="24">
        <f>SUM($M$10:M80)</f>
        <v>40281.540124872445</v>
      </c>
      <c r="P80" s="36">
        <f>Table1[[#This Row],[Total Return]]/$E$3</f>
        <v>0.40281540124872445</v>
      </c>
    </row>
    <row r="81" spans="2:16" ht="17" x14ac:dyDescent="0.2">
      <c r="B81" s="3" t="s">
        <v>86</v>
      </c>
      <c r="C81" s="2" t="s">
        <v>19</v>
      </c>
      <c r="D81" s="2" t="s">
        <v>13</v>
      </c>
      <c r="E81" s="4" t="s">
        <v>17</v>
      </c>
      <c r="F81" s="31">
        <v>44448</v>
      </c>
      <c r="G81" s="31">
        <v>44452</v>
      </c>
      <c r="H81" s="62">
        <v>10000</v>
      </c>
      <c r="I81" s="34">
        <v>0.75</v>
      </c>
      <c r="J81" s="32">
        <v>19</v>
      </c>
      <c r="K81" s="30">
        <v>0.76</v>
      </c>
      <c r="L81" s="32">
        <f>Table1[[#This Row],[Entry commission]]</f>
        <v>19</v>
      </c>
      <c r="M81" s="24">
        <f>(Table1[[#This Row],[Position size]]*Table1[[#This Row],[Entry price]]-Table1[[#This Row],[Entry commission]]-Table1[[#This Row],[Exit commission]])*Table1[[#This Row],[PL% on trade]]</f>
        <v>99.49333333333341</v>
      </c>
      <c r="N81" s="37">
        <f>((Table1[[#This Row],[Exit price]]-Table1[[#This Row],[Entry price]]))/Table1[[#This Row],[Entry price]]</f>
        <v>1.3333333333333345E-2</v>
      </c>
      <c r="O81" s="24">
        <f>SUM($M$10:M81)</f>
        <v>40381.033458205777</v>
      </c>
      <c r="P81" s="36">
        <f>Table1[[#This Row],[Total Return]]/$E$3</f>
        <v>0.40381033458205778</v>
      </c>
    </row>
    <row r="82" spans="2:16" ht="17" x14ac:dyDescent="0.2">
      <c r="B82" s="3" t="s">
        <v>61</v>
      </c>
      <c r="C82" s="2" t="s">
        <v>19</v>
      </c>
      <c r="D82" s="2" t="s">
        <v>27</v>
      </c>
      <c r="E82" s="4" t="s">
        <v>17</v>
      </c>
      <c r="F82" s="31">
        <v>44452</v>
      </c>
      <c r="G82" s="31">
        <v>44454</v>
      </c>
      <c r="H82" s="62">
        <v>300</v>
      </c>
      <c r="I82" s="34">
        <v>7.36</v>
      </c>
      <c r="J82" s="32">
        <v>19</v>
      </c>
      <c r="K82" s="30">
        <v>6.9</v>
      </c>
      <c r="L82" s="32">
        <f>Table1[[#This Row],[Entry commission]]</f>
        <v>19</v>
      </c>
      <c r="M82" s="24">
        <f>(Table1[[#This Row],[Position size]]*Table1[[#This Row],[Entry price]]-Table1[[#This Row],[Entry commission]]-Table1[[#This Row],[Exit commission]])*Table1[[#This Row],[PL% on trade]]</f>
        <v>-135.62499999999997</v>
      </c>
      <c r="N82" s="37">
        <f>((Table1[[#This Row],[Exit price]]-Table1[[#This Row],[Entry price]]))/Table1[[#This Row],[Entry price]]</f>
        <v>-6.2499999999999993E-2</v>
      </c>
      <c r="O82" s="24">
        <f>SUM($M$10:M82)</f>
        <v>40245.408458205777</v>
      </c>
      <c r="P82" s="36">
        <f>Table1[[#This Row],[Total Return]]/$E$3</f>
        <v>0.40245408458205778</v>
      </c>
    </row>
    <row r="83" spans="2:16" ht="17" x14ac:dyDescent="0.2">
      <c r="B83" s="3" t="s">
        <v>49</v>
      </c>
      <c r="C83" s="2" t="s">
        <v>19</v>
      </c>
      <c r="D83" s="2" t="s">
        <v>7</v>
      </c>
      <c r="E83" s="4" t="s">
        <v>17</v>
      </c>
      <c r="F83" s="31">
        <v>44452</v>
      </c>
      <c r="G83" s="31">
        <v>44454</v>
      </c>
      <c r="H83" s="62">
        <v>5000</v>
      </c>
      <c r="I83" s="34">
        <v>2.9750000000000001</v>
      </c>
      <c r="J83" s="32">
        <v>19</v>
      </c>
      <c r="K83" s="30">
        <v>2.94</v>
      </c>
      <c r="L83" s="32">
        <f>Table1[[#This Row],[Entry commission]]</f>
        <v>19</v>
      </c>
      <c r="M83" s="24">
        <f>(Table1[[#This Row],[Position size]]*Table1[[#This Row],[Entry price]]-Table1[[#This Row],[Entry commission]]-Table1[[#This Row],[Exit commission]])*Table1[[#This Row],[PL% on trade]]</f>
        <v>-174.55294117647128</v>
      </c>
      <c r="N83" s="37">
        <f>((Table1[[#This Row],[Exit price]]-Table1[[#This Row],[Entry price]]))/Table1[[#This Row],[Entry price]]</f>
        <v>-1.1764705882352988E-2</v>
      </c>
      <c r="O83" s="24">
        <f>SUM($M$10:M83)</f>
        <v>40070.855517029304</v>
      </c>
      <c r="P83" s="36">
        <f>Table1[[#This Row],[Total Return]]/$E$3</f>
        <v>0.40070855517029302</v>
      </c>
    </row>
    <row r="84" spans="2:16" ht="17" x14ac:dyDescent="0.2">
      <c r="B84" s="3" t="s">
        <v>44</v>
      </c>
      <c r="C84" s="2" t="s">
        <v>19</v>
      </c>
      <c r="D84" s="2" t="s">
        <v>26</v>
      </c>
      <c r="E84" s="4" t="s">
        <v>17</v>
      </c>
      <c r="F84" s="31">
        <v>44453</v>
      </c>
      <c r="G84" s="31">
        <v>44455</v>
      </c>
      <c r="H84" s="62">
        <v>300</v>
      </c>
      <c r="I84" s="34">
        <v>44.04</v>
      </c>
      <c r="J84" s="32">
        <v>19</v>
      </c>
      <c r="K84" s="30">
        <v>44</v>
      </c>
      <c r="L84" s="32">
        <f>Table1[[#This Row],[Entry commission]]</f>
        <v>19</v>
      </c>
      <c r="M84" s="24">
        <f>(Table1[[#This Row],[Position size]]*Table1[[#This Row],[Entry price]]-Table1[[#This Row],[Entry commission]]-Table1[[#This Row],[Exit commission]])*Table1[[#This Row],[PL% on trade]]</f>
        <v>-11.965485921888938</v>
      </c>
      <c r="N84" s="37">
        <f>((Table1[[#This Row],[Exit price]]-Table1[[#This Row],[Entry price]]))/Table1[[#This Row],[Entry price]]</f>
        <v>-9.0826521344230583E-4</v>
      </c>
      <c r="O84" s="24">
        <f>SUM($M$10:M84)</f>
        <v>40058.890031107418</v>
      </c>
      <c r="P84" s="36">
        <f>Table1[[#This Row],[Total Return]]/$E$3</f>
        <v>0.40058890031107419</v>
      </c>
    </row>
    <row r="85" spans="2:16" ht="17" x14ac:dyDescent="0.2">
      <c r="B85" s="3" t="s">
        <v>55</v>
      </c>
      <c r="C85" s="2" t="s">
        <v>19</v>
      </c>
      <c r="D85" s="2" t="s">
        <v>13</v>
      </c>
      <c r="E85" s="4" t="s">
        <v>17</v>
      </c>
      <c r="F85" s="31">
        <v>44454</v>
      </c>
      <c r="G85" s="31">
        <v>44456</v>
      </c>
      <c r="H85" s="62">
        <v>3100</v>
      </c>
      <c r="I85" s="34">
        <v>11.2</v>
      </c>
      <c r="J85" s="32">
        <v>19</v>
      </c>
      <c r="K85" s="30">
        <v>13.9</v>
      </c>
      <c r="L85" s="32">
        <f>Table1[[#This Row],[Entry commission]]</f>
        <v>19</v>
      </c>
      <c r="M85" s="24">
        <f>(Table1[[#This Row],[Position size]]*Table1[[#This Row],[Entry price]]-Table1[[#This Row],[Entry commission]]-Table1[[#This Row],[Exit commission]])*Table1[[#This Row],[PL% on trade]]</f>
        <v>8360.8392857142899</v>
      </c>
      <c r="N85" s="37">
        <f>((Table1[[#This Row],[Exit price]]-Table1[[#This Row],[Entry price]]))/Table1[[#This Row],[Entry price]]</f>
        <v>0.24107142857142869</v>
      </c>
      <c r="O85" s="24">
        <f>SUM($M$10:M85)</f>
        <v>48419.729316821707</v>
      </c>
      <c r="P85" s="36">
        <f>Table1[[#This Row],[Total Return]]/$E$3</f>
        <v>0.48419729316821708</v>
      </c>
    </row>
    <row r="86" spans="2:16" ht="17" x14ac:dyDescent="0.2">
      <c r="B86" s="3" t="s">
        <v>42</v>
      </c>
      <c r="C86" s="2" t="s">
        <v>19</v>
      </c>
      <c r="D86" s="2" t="s">
        <v>26</v>
      </c>
      <c r="E86" s="4" t="s">
        <v>17</v>
      </c>
      <c r="F86" s="31">
        <v>44455</v>
      </c>
      <c r="G86" s="31">
        <v>44459</v>
      </c>
      <c r="H86" s="62">
        <v>200</v>
      </c>
      <c r="I86" s="34">
        <v>40.18</v>
      </c>
      <c r="J86" s="32">
        <v>19</v>
      </c>
      <c r="K86" s="30">
        <v>44.72</v>
      </c>
      <c r="L86" s="32">
        <f>Table1[[#This Row],[Entry commission]]</f>
        <v>19</v>
      </c>
      <c r="M86" s="24">
        <f>(Table1[[#This Row],[Position size]]*Table1[[#This Row],[Entry price]]-Table1[[#This Row],[Entry commission]]-Table1[[#This Row],[Exit commission]])*Table1[[#This Row],[PL% on trade]]</f>
        <v>903.70632155301132</v>
      </c>
      <c r="N86" s="37">
        <f>((Table1[[#This Row],[Exit price]]-Table1[[#This Row],[Entry price]]))/Table1[[#This Row],[Entry price]]</f>
        <v>0.11299153807864608</v>
      </c>
      <c r="O86" s="24">
        <f>SUM($M$10:M86)</f>
        <v>49323.435638374722</v>
      </c>
      <c r="P86" s="36">
        <f>Table1[[#This Row],[Total Return]]/$E$3</f>
        <v>0.49323435638374724</v>
      </c>
    </row>
    <row r="87" spans="2:16" ht="17" x14ac:dyDescent="0.2">
      <c r="B87" s="3" t="s">
        <v>59</v>
      </c>
      <c r="C87" s="2" t="s">
        <v>19</v>
      </c>
      <c r="D87" s="2" t="s">
        <v>7</v>
      </c>
      <c r="E87" s="4" t="s">
        <v>17</v>
      </c>
      <c r="F87" s="31">
        <v>44456</v>
      </c>
      <c r="G87" s="31">
        <v>44460</v>
      </c>
      <c r="H87" s="62">
        <v>500</v>
      </c>
      <c r="I87" s="34">
        <v>19.91</v>
      </c>
      <c r="J87" s="32">
        <v>19</v>
      </c>
      <c r="K87" s="30">
        <v>19.66</v>
      </c>
      <c r="L87" s="32">
        <f>Table1[[#This Row],[Entry commission]]</f>
        <v>19</v>
      </c>
      <c r="M87" s="24">
        <f>(Table1[[#This Row],[Position size]]*Table1[[#This Row],[Entry price]]-Table1[[#This Row],[Entry commission]]-Table1[[#This Row],[Exit commission]])*Table1[[#This Row],[PL% on trade]]</f>
        <v>-124.52285283776996</v>
      </c>
      <c r="N87" s="37">
        <f>((Table1[[#This Row],[Exit price]]-Table1[[#This Row],[Entry price]]))/Table1[[#This Row],[Entry price]]</f>
        <v>-1.2556504269211451E-2</v>
      </c>
      <c r="O87" s="24">
        <f>SUM($M$10:M87)</f>
        <v>49198.912785536952</v>
      </c>
      <c r="P87" s="36">
        <f>Table1[[#This Row],[Total Return]]/$E$3</f>
        <v>0.49198912785536952</v>
      </c>
    </row>
    <row r="88" spans="2:16" ht="17" x14ac:dyDescent="0.2">
      <c r="B88" s="3" t="s">
        <v>85</v>
      </c>
      <c r="C88" s="2" t="s">
        <v>90</v>
      </c>
      <c r="D88" s="2" t="s">
        <v>7</v>
      </c>
      <c r="E88" s="4" t="s">
        <v>17</v>
      </c>
      <c r="F88" s="31">
        <v>44459</v>
      </c>
      <c r="G88" s="31">
        <v>44461</v>
      </c>
      <c r="H88" s="62">
        <v>300</v>
      </c>
      <c r="I88" s="30">
        <f>(200*28.98+100*27.01)/300</f>
        <v>28.323333333333334</v>
      </c>
      <c r="J88" s="32">
        <v>19</v>
      </c>
      <c r="K88" s="30">
        <f>(100*27+37+100*27.37+29.73*100)/300</f>
        <v>28.156666666666666</v>
      </c>
      <c r="L88" s="32">
        <f>Table1[[#This Row],[Entry commission]]</f>
        <v>19</v>
      </c>
      <c r="M88" s="24">
        <f>(Table1[[#This Row],[Position size]]*Table1[[#This Row],[Entry price]]-Table1[[#This Row],[Entry commission]]-Table1[[#This Row],[Exit commission]])*Table1[[#This Row],[PL% on trade]]</f>
        <v>-49.776391667647758</v>
      </c>
      <c r="N88" s="37">
        <f>((Table1[[#This Row],[Exit price]]-Table1[[#This Row],[Entry price]]))/Table1[[#This Row],[Entry price]]</f>
        <v>-5.8844297987525425E-3</v>
      </c>
      <c r="O88" s="24">
        <f>SUM($M$10:M88)</f>
        <v>49149.136393869303</v>
      </c>
      <c r="P88" s="36">
        <f>Table1[[#This Row],[Total Return]]/$E$3</f>
        <v>0.49149136393869303</v>
      </c>
    </row>
    <row r="89" spans="2:16" ht="17" x14ac:dyDescent="0.2">
      <c r="B89" s="3" t="s">
        <v>42</v>
      </c>
      <c r="C89" s="2" t="s">
        <v>19</v>
      </c>
      <c r="D89" s="2" t="s">
        <v>13</v>
      </c>
      <c r="E89" s="4" t="s">
        <v>17</v>
      </c>
      <c r="F89" s="31">
        <v>44460</v>
      </c>
      <c r="G89" s="31">
        <v>44462</v>
      </c>
      <c r="H89" s="62">
        <v>300</v>
      </c>
      <c r="I89" s="34">
        <v>39.94</v>
      </c>
      <c r="J89" s="32">
        <v>19</v>
      </c>
      <c r="K89" s="30">
        <v>40</v>
      </c>
      <c r="L89" s="32">
        <f>Table1[[#This Row],[Entry commission]]</f>
        <v>19</v>
      </c>
      <c r="M89" s="24">
        <f>(Table1[[#This Row],[Position size]]*Table1[[#This Row],[Entry price]]-Table1[[#This Row],[Entry commission]]-Table1[[#This Row],[Exit commission]])*Table1[[#This Row],[PL% on trade]]</f>
        <v>17.942914371558018</v>
      </c>
      <c r="N89" s="37">
        <f>((Table1[[#This Row],[Exit price]]-Table1[[#This Row],[Entry price]]))/Table1[[#This Row],[Entry price]]</f>
        <v>1.5022533800701622E-3</v>
      </c>
      <c r="O89" s="24">
        <f>SUM($M$10:M89)</f>
        <v>49167.079308240864</v>
      </c>
      <c r="P89" s="36">
        <f>Table1[[#This Row],[Total Return]]/$E$3</f>
        <v>0.49167079308240863</v>
      </c>
    </row>
    <row r="90" spans="2:16" ht="17" x14ac:dyDescent="0.2">
      <c r="B90" s="3" t="s">
        <v>85</v>
      </c>
      <c r="C90" s="2" t="s">
        <v>90</v>
      </c>
      <c r="D90" s="2" t="s">
        <v>10</v>
      </c>
      <c r="E90" s="4" t="s">
        <v>17</v>
      </c>
      <c r="F90" s="31">
        <v>44460</v>
      </c>
      <c r="G90" s="31">
        <v>44462</v>
      </c>
      <c r="H90" s="62">
        <v>230</v>
      </c>
      <c r="I90" s="34">
        <v>27.18</v>
      </c>
      <c r="J90" s="32">
        <v>19</v>
      </c>
      <c r="K90" s="30">
        <v>27.22</v>
      </c>
      <c r="L90" s="32">
        <f>Table1[[#This Row],[Entry commission]]</f>
        <v>19</v>
      </c>
      <c r="M90" s="24">
        <f>(Table1[[#This Row],[Position size]]*Table1[[#This Row],[Entry price]]-Table1[[#This Row],[Entry commission]]-Table1[[#This Row],[Exit commission]])*Table1[[#This Row],[PL% on trade]]</f>
        <v>9.1440765268577877</v>
      </c>
      <c r="N90" s="37">
        <f>((Table1[[#This Row],[Exit price]]-Table1[[#This Row],[Entry price]]))/Table1[[#This Row],[Entry price]]</f>
        <v>1.4716703458424998E-3</v>
      </c>
      <c r="O90" s="24">
        <f>SUM($M$10:M90)</f>
        <v>49176.22338476772</v>
      </c>
      <c r="P90" s="36">
        <f>Table1[[#This Row],[Total Return]]/$E$3</f>
        <v>0.4917622338476772</v>
      </c>
    </row>
    <row r="91" spans="2:16" ht="17" x14ac:dyDescent="0.2">
      <c r="B91" s="3" t="s">
        <v>58</v>
      </c>
      <c r="C91" s="2" t="s">
        <v>19</v>
      </c>
      <c r="D91" s="2" t="s">
        <v>14</v>
      </c>
      <c r="E91" s="4" t="s">
        <v>17</v>
      </c>
      <c r="F91" s="31">
        <v>44460</v>
      </c>
      <c r="G91" s="31">
        <v>44462</v>
      </c>
      <c r="H91" s="62">
        <v>135</v>
      </c>
      <c r="I91" s="34">
        <v>252.2</v>
      </c>
      <c r="J91" s="32">
        <v>15</v>
      </c>
      <c r="K91" s="30">
        <v>251.4</v>
      </c>
      <c r="L91" s="32">
        <f>Table1[[#This Row],[Entry commission]]</f>
        <v>15</v>
      </c>
      <c r="M91" s="24">
        <f>(Table1[[#This Row],[Position size]]*Table1[[#This Row],[Entry price]]-Table1[[#This Row],[Entry commission]]-Table1[[#This Row],[Exit commission]])*Table1[[#This Row],[PL% on trade]]</f>
        <v>-107.90483743060832</v>
      </c>
      <c r="N91" s="37">
        <f>((Table1[[#This Row],[Exit price]]-Table1[[#This Row],[Entry price]]))/Table1[[#This Row],[Entry price]]</f>
        <v>-3.1720856463123828E-3</v>
      </c>
      <c r="O91" s="24">
        <f>SUM($M$10:M91)</f>
        <v>49068.318547337112</v>
      </c>
      <c r="P91" s="36">
        <f>Table1[[#This Row],[Total Return]]/$E$3</f>
        <v>0.49068318547337114</v>
      </c>
    </row>
    <row r="92" spans="2:16" ht="17" x14ac:dyDescent="0.2">
      <c r="B92" s="3" t="s">
        <v>56</v>
      </c>
      <c r="C92" s="2" t="s">
        <v>19</v>
      </c>
      <c r="D92" s="2" t="s">
        <v>26</v>
      </c>
      <c r="E92" s="4" t="s">
        <v>17</v>
      </c>
      <c r="F92" s="31">
        <v>44460</v>
      </c>
      <c r="G92" s="31">
        <v>44462</v>
      </c>
      <c r="H92" s="62">
        <v>250</v>
      </c>
      <c r="I92" s="34">
        <v>48.204999999999998</v>
      </c>
      <c r="J92" s="32">
        <v>19</v>
      </c>
      <c r="K92" s="30">
        <v>47</v>
      </c>
      <c r="L92" s="32">
        <f>Table1[[#This Row],[Entry commission]]</f>
        <v>19</v>
      </c>
      <c r="M92" s="24">
        <f>(Table1[[#This Row],[Position size]]*Table1[[#This Row],[Entry price]]-Table1[[#This Row],[Entry commission]]-Table1[[#This Row],[Exit commission]])*Table1[[#This Row],[PL% on trade]]</f>
        <v>-300.30009853749573</v>
      </c>
      <c r="N92" s="37">
        <f>((Table1[[#This Row],[Exit price]]-Table1[[#This Row],[Entry price]]))/Table1[[#This Row],[Entry price]]</f>
        <v>-2.4997406907997063E-2</v>
      </c>
      <c r="O92" s="24">
        <f>SUM($M$10:M92)</f>
        <v>48768.018448799616</v>
      </c>
      <c r="P92" s="36">
        <f>Table1[[#This Row],[Total Return]]/$E$3</f>
        <v>0.48768018448799616</v>
      </c>
    </row>
    <row r="93" spans="2:16" ht="17" x14ac:dyDescent="0.2">
      <c r="B93" s="3" t="s">
        <v>57</v>
      </c>
      <c r="C93" s="2" t="s">
        <v>19</v>
      </c>
      <c r="D93" s="2" t="s">
        <v>10</v>
      </c>
      <c r="E93" s="4" t="s">
        <v>17</v>
      </c>
      <c r="F93" s="31">
        <v>44461</v>
      </c>
      <c r="G93" s="31">
        <v>44463</v>
      </c>
      <c r="H93" s="62">
        <v>1500</v>
      </c>
      <c r="I93" s="34">
        <v>15.14</v>
      </c>
      <c r="J93" s="32">
        <v>19</v>
      </c>
      <c r="K93" s="30">
        <v>15</v>
      </c>
      <c r="L93" s="32">
        <f>Table1[[#This Row],[Entry commission]]</f>
        <v>19</v>
      </c>
      <c r="M93" s="24">
        <f>(Table1[[#This Row],[Position size]]*Table1[[#This Row],[Entry price]]-Table1[[#This Row],[Entry commission]]-Table1[[#This Row],[Exit commission]])*Table1[[#This Row],[PL% on trade]]</f>
        <v>-209.64861294583969</v>
      </c>
      <c r="N93" s="37">
        <f>((Table1[[#This Row],[Exit price]]-Table1[[#This Row],[Entry price]]))/Table1[[#This Row],[Entry price]]</f>
        <v>-9.2470277410832604E-3</v>
      </c>
      <c r="O93" s="24">
        <f>SUM($M$10:M93)</f>
        <v>48558.369835853773</v>
      </c>
      <c r="P93" s="36">
        <f>Table1[[#This Row],[Total Return]]/$E$3</f>
        <v>0.48558369835853771</v>
      </c>
    </row>
    <row r="94" spans="2:16" ht="17" x14ac:dyDescent="0.2">
      <c r="B94" s="3" t="s">
        <v>54</v>
      </c>
      <c r="C94" s="2" t="s">
        <v>19</v>
      </c>
      <c r="D94" s="2" t="s">
        <v>13</v>
      </c>
      <c r="E94" s="4" t="s">
        <v>17</v>
      </c>
      <c r="F94" s="31">
        <v>44467</v>
      </c>
      <c r="G94" s="31">
        <v>44478</v>
      </c>
      <c r="H94" s="62">
        <v>150</v>
      </c>
      <c r="I94" s="34">
        <v>76.260000000000005</v>
      </c>
      <c r="J94" s="32">
        <v>19</v>
      </c>
      <c r="K94" s="30">
        <v>76.8</v>
      </c>
      <c r="L94" s="32">
        <f>Table1[[#This Row],[Entry commission]]</f>
        <v>19</v>
      </c>
      <c r="M94" s="24">
        <f>(Table1[[#This Row],[Position size]]*Table1[[#This Row],[Entry price]]-Table1[[#This Row],[Entry commission]]-Table1[[#This Row],[Exit commission]])*Table1[[#This Row],[PL% on trade]]</f>
        <v>80.730920535010611</v>
      </c>
      <c r="N94" s="37">
        <f>((Table1[[#This Row],[Exit price]]-Table1[[#This Row],[Entry price]]))/Table1[[#This Row],[Entry price]]</f>
        <v>7.0810385523209021E-3</v>
      </c>
      <c r="O94" s="24">
        <f>SUM($M$10:M94)</f>
        <v>48639.100756388783</v>
      </c>
      <c r="P94" s="36">
        <f>Table1[[#This Row],[Total Return]]/$E$3</f>
        <v>0.48639100756388781</v>
      </c>
    </row>
    <row r="95" spans="2:16" ht="17" x14ac:dyDescent="0.2">
      <c r="B95" s="3" t="s">
        <v>43</v>
      </c>
      <c r="C95" s="2" t="s">
        <v>19</v>
      </c>
      <c r="D95" s="2" t="s">
        <v>27</v>
      </c>
      <c r="E95" s="4" t="s">
        <v>17</v>
      </c>
      <c r="F95" s="28">
        <v>44481</v>
      </c>
      <c r="G95" s="31">
        <v>44483</v>
      </c>
      <c r="H95" s="62">
        <v>800</v>
      </c>
      <c r="I95" s="34">
        <f>(300*30+500*30.16)/800</f>
        <v>30.1</v>
      </c>
      <c r="J95" s="32">
        <v>19</v>
      </c>
      <c r="K95" s="30">
        <v>33.4</v>
      </c>
      <c r="L95" s="32">
        <f>Table1[[#This Row],[Entry commission]]</f>
        <v>19</v>
      </c>
      <c r="M95" s="24">
        <f>(Table1[[#This Row],[Position size]]*Table1[[#This Row],[Entry price]]-Table1[[#This Row],[Entry commission]]-Table1[[#This Row],[Exit commission]])*Table1[[#This Row],[PL% on trade]]</f>
        <v>2635.8338870431871</v>
      </c>
      <c r="N95" s="37">
        <f>((Table1[[#This Row],[Exit price]]-Table1[[#This Row],[Entry price]]))/Table1[[#This Row],[Entry price]]</f>
        <v>0.10963455149501651</v>
      </c>
      <c r="O95" s="24">
        <f>SUM($M$10:M95)</f>
        <v>51274.934643431974</v>
      </c>
      <c r="P95" s="36">
        <f>Table1[[#This Row],[Total Return]]/$E$3</f>
        <v>0.51274934643431969</v>
      </c>
    </row>
    <row r="96" spans="2:16" ht="17" x14ac:dyDescent="0.2">
      <c r="B96" s="3" t="s">
        <v>39</v>
      </c>
      <c r="C96" s="2" t="s">
        <v>19</v>
      </c>
      <c r="D96" s="2" t="s">
        <v>11</v>
      </c>
      <c r="E96" s="4" t="s">
        <v>17</v>
      </c>
      <c r="F96" s="4">
        <v>44497</v>
      </c>
      <c r="G96" s="4">
        <v>44501</v>
      </c>
      <c r="H96" s="7">
        <v>2050</v>
      </c>
      <c r="I96" s="34">
        <v>15.01</v>
      </c>
      <c r="J96" s="32">
        <v>19</v>
      </c>
      <c r="K96" s="30">
        <v>23.26</v>
      </c>
      <c r="L96" s="32">
        <f>Table1[[#This Row],[Entry commission]]</f>
        <v>19</v>
      </c>
      <c r="M96" s="24">
        <f>(Table1[[#This Row],[Position size]]*Table1[[#This Row],[Entry price]]-Table1[[#This Row],[Entry commission]]-Table1[[#This Row],[Exit commission]])*Table1[[#This Row],[PL% on trade]]</f>
        <v>16891.613924050635</v>
      </c>
      <c r="N96" s="37">
        <f>((Table1[[#This Row],[Exit price]]-Table1[[#This Row],[Entry price]]))/Table1[[#This Row],[Entry price]]</f>
        <v>0.54963357761492349</v>
      </c>
      <c r="O96" s="24">
        <f>SUM($M$10:M96)</f>
        <v>68166.548567482605</v>
      </c>
      <c r="P96" s="36">
        <f>Table1[[#This Row],[Total Return]]/$E$3</f>
        <v>0.6816654856748261</v>
      </c>
    </row>
    <row r="97" spans="2:16" ht="17" x14ac:dyDescent="0.2">
      <c r="B97" s="3" t="s">
        <v>50</v>
      </c>
      <c r="C97" s="2" t="s">
        <v>19</v>
      </c>
      <c r="D97" s="2" t="s">
        <v>13</v>
      </c>
      <c r="E97" s="4" t="s">
        <v>17</v>
      </c>
      <c r="F97" s="28">
        <v>44497</v>
      </c>
      <c r="G97" s="31">
        <v>44501</v>
      </c>
      <c r="H97" s="62">
        <v>900</v>
      </c>
      <c r="I97" s="34">
        <v>33.299999999999997</v>
      </c>
      <c r="J97" s="32">
        <v>19</v>
      </c>
      <c r="K97" s="30">
        <v>33.340000000000003</v>
      </c>
      <c r="L97" s="32">
        <f>Table1[[#This Row],[Entry commission]]</f>
        <v>19</v>
      </c>
      <c r="M97" s="24">
        <f>(Table1[[#This Row],[Position size]]*Table1[[#This Row],[Entry price]]-Table1[[#This Row],[Entry commission]]-Table1[[#This Row],[Exit commission]])*Table1[[#This Row],[PL% on trade]]</f>
        <v>35.954354354359978</v>
      </c>
      <c r="N97" s="37">
        <f>((Table1[[#This Row],[Exit price]]-Table1[[#This Row],[Entry price]]))/Table1[[#This Row],[Entry price]]</f>
        <v>1.2012012012013891E-3</v>
      </c>
      <c r="O97" s="24">
        <f>SUM($M$10:M97)</f>
        <v>68202.50292183696</v>
      </c>
      <c r="P97" s="36">
        <f>Table1[[#This Row],[Total Return]]/$E$3</f>
        <v>0.68202502921836961</v>
      </c>
    </row>
    <row r="98" spans="2:16" ht="17" x14ac:dyDescent="0.2">
      <c r="B98" s="3" t="s">
        <v>51</v>
      </c>
      <c r="C98" s="2" t="s">
        <v>19</v>
      </c>
      <c r="D98" s="2" t="s">
        <v>13</v>
      </c>
      <c r="E98" s="4" t="s">
        <v>17</v>
      </c>
      <c r="F98" s="28">
        <v>44497</v>
      </c>
      <c r="G98" s="31">
        <v>44501</v>
      </c>
      <c r="H98" s="62">
        <v>100</v>
      </c>
      <c r="I98" s="34">
        <v>219.85</v>
      </c>
      <c r="J98" s="32">
        <v>19</v>
      </c>
      <c r="K98" s="30">
        <v>220</v>
      </c>
      <c r="L98" s="32">
        <f>Table1[[#This Row],[Entry commission]]</f>
        <v>19</v>
      </c>
      <c r="M98" s="24">
        <f>(Table1[[#This Row],[Position size]]*Table1[[#This Row],[Entry price]]-Table1[[#This Row],[Entry commission]]-Table1[[#This Row],[Exit commission]])*Table1[[#This Row],[PL% on trade]]</f>
        <v>14.974073231749488</v>
      </c>
      <c r="N98" s="37">
        <f>((Table1[[#This Row],[Exit price]]-Table1[[#This Row],[Entry price]]))/Table1[[#This Row],[Entry price]]</f>
        <v>6.8228337502845436E-4</v>
      </c>
      <c r="O98" s="24">
        <f>SUM($M$10:M98)</f>
        <v>68217.476995068704</v>
      </c>
      <c r="P98" s="36">
        <f>Table1[[#This Row],[Total Return]]/$E$3</f>
        <v>0.68217476995068704</v>
      </c>
    </row>
    <row r="99" spans="2:16" ht="17" x14ac:dyDescent="0.2">
      <c r="B99" s="3" t="s">
        <v>44</v>
      </c>
      <c r="C99" s="2" t="s">
        <v>19</v>
      </c>
      <c r="D99" s="2" t="s">
        <v>7</v>
      </c>
      <c r="E99" s="4" t="s">
        <v>17</v>
      </c>
      <c r="F99" s="28">
        <v>44497</v>
      </c>
      <c r="G99" s="31">
        <v>44501</v>
      </c>
      <c r="H99" s="62">
        <v>300</v>
      </c>
      <c r="I99" s="34">
        <f>(180*46.12+50*43+70*49.85)/300</f>
        <v>46.470333333333336</v>
      </c>
      <c r="J99" s="32">
        <v>19</v>
      </c>
      <c r="K99" s="30">
        <v>42.99</v>
      </c>
      <c r="L99" s="32">
        <f>Table1[[#This Row],[Entry commission]]</f>
        <v>19</v>
      </c>
      <c r="M99" s="24">
        <f>(Table1[[#This Row],[Position size]]*Table1[[#This Row],[Entry price]]-Table1[[#This Row],[Entry commission]]-Table1[[#This Row],[Exit commission]])*Table1[[#This Row],[PL% on trade]]</f>
        <v>-1041.2540409293385</v>
      </c>
      <c r="N99" s="37">
        <f>((Table1[[#This Row],[Exit price]]-Table1[[#This Row],[Entry price]]))/Table1[[#This Row],[Entry price]]</f>
        <v>-7.4893659754251829E-2</v>
      </c>
      <c r="O99" s="24">
        <f>SUM($M$10:M99)</f>
        <v>67176.222954139361</v>
      </c>
      <c r="P99" s="36">
        <f>Table1[[#This Row],[Total Return]]/$E$3</f>
        <v>0.67176222954139364</v>
      </c>
    </row>
    <row r="100" spans="2:16" ht="16" customHeight="1" x14ac:dyDescent="0.2">
      <c r="B100" s="3" t="s">
        <v>42</v>
      </c>
      <c r="C100" s="2" t="s">
        <v>19</v>
      </c>
      <c r="D100" s="2" t="s">
        <v>26</v>
      </c>
      <c r="E100" s="4" t="s">
        <v>18</v>
      </c>
      <c r="F100" s="28">
        <v>44498</v>
      </c>
      <c r="G100" s="31">
        <v>44502</v>
      </c>
      <c r="H100" s="62">
        <v>-197</v>
      </c>
      <c r="I100" s="34">
        <v>78.099999999999994</v>
      </c>
      <c r="J100" s="32">
        <v>19</v>
      </c>
      <c r="K100" s="30">
        <v>61.05</v>
      </c>
      <c r="L100" s="32">
        <f>Table1[[#This Row],[Entry commission]]</f>
        <v>19</v>
      </c>
      <c r="M100" s="24">
        <f>Table1[[#This Row],[Position size]]*Table1[[#This Row],[Exit price]]-Table1[[#This Row],[Position size]]*Table1[[#This Row],[Entry price]]</f>
        <v>3358.8500000000004</v>
      </c>
      <c r="N100" s="37">
        <f>(Table1[[#This Row],[Entry price]]-Table1[[#This Row],[Exit price]])/Table1[[#This Row],[Entry price]]</f>
        <v>0.21830985915492956</v>
      </c>
      <c r="O100" s="24">
        <f>SUM($M$10:M100)</f>
        <v>70535.072954139367</v>
      </c>
      <c r="P100" s="36">
        <f>Table1[[#This Row],[Total Return]]/$E$3</f>
        <v>0.70535072954139366</v>
      </c>
    </row>
    <row r="101" spans="2:16" ht="17" x14ac:dyDescent="0.2">
      <c r="B101" s="3" t="s">
        <v>48</v>
      </c>
      <c r="C101" s="2" t="s">
        <v>19</v>
      </c>
      <c r="D101" s="2" t="s">
        <v>13</v>
      </c>
      <c r="E101" s="4" t="s">
        <v>17</v>
      </c>
      <c r="F101" s="28">
        <v>44508</v>
      </c>
      <c r="G101" s="31">
        <v>44510</v>
      </c>
      <c r="H101" s="62">
        <v>200</v>
      </c>
      <c r="I101" s="34">
        <v>26.164999999999999</v>
      </c>
      <c r="J101" s="32">
        <v>19</v>
      </c>
      <c r="K101" s="30">
        <v>26.86</v>
      </c>
      <c r="L101" s="32">
        <f>Table1[[#This Row],[Entry commission]]</f>
        <v>19</v>
      </c>
      <c r="M101" s="24">
        <f>(Table1[[#This Row],[Position size]]*Table1[[#This Row],[Entry price]]-Table1[[#This Row],[Entry commission]]-Table1[[#This Row],[Exit commission]])*Table1[[#This Row],[PL% on trade]]</f>
        <v>137.99063634626415</v>
      </c>
      <c r="N101" s="37">
        <f>((Table1[[#This Row],[Exit price]]-Table1[[#This Row],[Entry price]]))/Table1[[#This Row],[Entry price]]</f>
        <v>2.6562201414102822E-2</v>
      </c>
      <c r="O101" s="24">
        <f>SUM($M$10:M101)</f>
        <v>70673.063590485632</v>
      </c>
      <c r="P101" s="36">
        <f>Table1[[#This Row],[Total Return]]/$E$3</f>
        <v>0.7067306359048563</v>
      </c>
    </row>
    <row r="102" spans="2:16" ht="17" x14ac:dyDescent="0.2">
      <c r="B102" s="3" t="s">
        <v>45</v>
      </c>
      <c r="C102" s="2" t="s">
        <v>19</v>
      </c>
      <c r="D102" s="2" t="s">
        <v>27</v>
      </c>
      <c r="E102" s="4" t="s">
        <v>17</v>
      </c>
      <c r="F102" s="28">
        <v>44508</v>
      </c>
      <c r="G102" s="31">
        <v>44510</v>
      </c>
      <c r="H102" s="62">
        <v>400</v>
      </c>
      <c r="I102" s="34">
        <f>(200*47.7+200*48.42)/400</f>
        <v>48.06</v>
      </c>
      <c r="J102" s="32">
        <v>19</v>
      </c>
      <c r="K102" s="30">
        <v>46</v>
      </c>
      <c r="L102" s="32">
        <f>Table1[[#This Row],[Entry commission]]</f>
        <v>19</v>
      </c>
      <c r="M102" s="24">
        <f>(Table1[[#This Row],[Position size]]*Table1[[#This Row],[Entry price]]-Table1[[#This Row],[Entry commission]]-Table1[[#This Row],[Exit commission]])*Table1[[#This Row],[PL% on trade]]</f>
        <v>-822.37120266333829</v>
      </c>
      <c r="N102" s="37">
        <f>((Table1[[#This Row],[Exit price]]-Table1[[#This Row],[Entry price]]))/Table1[[#This Row],[Entry price]]</f>
        <v>-4.2863087806908076E-2</v>
      </c>
      <c r="O102" s="24">
        <f>SUM($M$10:M102)</f>
        <v>69850.692387822288</v>
      </c>
      <c r="P102" s="36">
        <f>Table1[[#This Row],[Total Return]]/$E$3</f>
        <v>0.69850692387822289</v>
      </c>
    </row>
    <row r="103" spans="2:16" ht="17" x14ac:dyDescent="0.2">
      <c r="B103" s="3" t="s">
        <v>49</v>
      </c>
      <c r="C103" s="2" t="s">
        <v>19</v>
      </c>
      <c r="D103" s="2" t="s">
        <v>26</v>
      </c>
      <c r="E103" s="4" t="s">
        <v>17</v>
      </c>
      <c r="F103" s="28">
        <v>44510</v>
      </c>
      <c r="G103" s="31">
        <v>44512</v>
      </c>
      <c r="H103" s="62">
        <v>3000</v>
      </c>
      <c r="I103" s="34">
        <v>3</v>
      </c>
      <c r="J103" s="32">
        <v>19</v>
      </c>
      <c r="K103" s="30">
        <v>2.89</v>
      </c>
      <c r="L103" s="32">
        <f>Table1[[#This Row],[Entry commission]]</f>
        <v>19</v>
      </c>
      <c r="M103" s="24">
        <f>(Table1[[#This Row],[Position size]]*Table1[[#This Row],[Entry price]]-Table1[[#This Row],[Entry commission]]-Table1[[#This Row],[Exit commission]])*Table1[[#This Row],[PL% on trade]]</f>
        <v>-328.60666666666629</v>
      </c>
      <c r="N103" s="37">
        <f>((Table1[[#This Row],[Exit price]]-Table1[[#This Row],[Entry price]]))/Table1[[#This Row],[Entry price]]</f>
        <v>-3.6666666666666625E-2</v>
      </c>
      <c r="O103" s="24">
        <f>SUM($M$10:M103)</f>
        <v>69522.085721155629</v>
      </c>
      <c r="P103" s="36">
        <f>Table1[[#This Row],[Total Return]]/$E$3</f>
        <v>0.69522085721155624</v>
      </c>
    </row>
    <row r="104" spans="2:16" ht="17" x14ac:dyDescent="0.2">
      <c r="B104" s="3" t="s">
        <v>40</v>
      </c>
      <c r="C104" s="2" t="s">
        <v>19</v>
      </c>
      <c r="D104" s="2" t="s">
        <v>10</v>
      </c>
      <c r="E104" s="4" t="s">
        <v>17</v>
      </c>
      <c r="F104" s="28">
        <v>44511</v>
      </c>
      <c r="G104" s="31">
        <v>44515</v>
      </c>
      <c r="H104" s="62">
        <v>100</v>
      </c>
      <c r="I104" s="34">
        <f>(30*286.5+30*289.8+30*287.8+10*287.8)/100</f>
        <v>288.01</v>
      </c>
      <c r="J104" s="32">
        <v>19</v>
      </c>
      <c r="K104" s="30">
        <v>291.8</v>
      </c>
      <c r="L104" s="32">
        <f>Table1[[#This Row],[Entry commission]]</f>
        <v>19</v>
      </c>
      <c r="M104" s="24">
        <f>(Table1[[#This Row],[Position size]]*Table1[[#This Row],[Entry price]]-Table1[[#This Row],[Entry commission]]-Table1[[#This Row],[Exit commission]])*Table1[[#This Row],[PL% on trade]]</f>
        <v>378.49994791847712</v>
      </c>
      <c r="N104" s="37">
        <f>((Table1[[#This Row],[Exit price]]-Table1[[#This Row],[Entry price]]))/Table1[[#This Row],[Entry price]]</f>
        <v>1.3159265303288151E-2</v>
      </c>
      <c r="O104" s="24">
        <f>SUM($M$10:M104)</f>
        <v>69900.585669074106</v>
      </c>
      <c r="P104" s="36">
        <f>Table1[[#This Row],[Total Return]]/$E$3</f>
        <v>0.69900585669074111</v>
      </c>
    </row>
    <row r="105" spans="2:16" ht="17" x14ac:dyDescent="0.2">
      <c r="B105" s="3" t="s">
        <v>47</v>
      </c>
      <c r="C105" s="2" t="s">
        <v>19</v>
      </c>
      <c r="D105" s="2" t="s">
        <v>27</v>
      </c>
      <c r="E105" s="4" t="s">
        <v>17</v>
      </c>
      <c r="F105" s="31">
        <v>44515</v>
      </c>
      <c r="G105" s="31">
        <v>44517</v>
      </c>
      <c r="H105" s="62">
        <v>250</v>
      </c>
      <c r="I105" s="34">
        <v>20</v>
      </c>
      <c r="J105" s="32">
        <v>19</v>
      </c>
      <c r="K105" s="30">
        <v>19.54</v>
      </c>
      <c r="L105" s="32">
        <f>Table1[[#This Row],[Entry commission]]</f>
        <v>19</v>
      </c>
      <c r="M105" s="24">
        <f>(Table1[[#This Row],[Position size]]*Table1[[#This Row],[Entry price]]-Table1[[#This Row],[Entry commission]]-Table1[[#This Row],[Exit commission]])*Table1[[#This Row],[PL% on trade]]</f>
        <v>-114.1260000000002</v>
      </c>
      <c r="N105" s="37">
        <f>((Table1[[#This Row],[Exit price]]-Table1[[#This Row],[Entry price]]))/Table1[[#This Row],[Entry price]]</f>
        <v>-2.3000000000000041E-2</v>
      </c>
      <c r="O105" s="24">
        <f>SUM($M$10:M105)</f>
        <v>69786.459669074102</v>
      </c>
      <c r="P105" s="36">
        <f>Table1[[#This Row],[Total Return]]/$E$3</f>
        <v>0.69786459669074097</v>
      </c>
    </row>
    <row r="106" spans="2:16" ht="17" x14ac:dyDescent="0.2">
      <c r="B106" s="3" t="s">
        <v>42</v>
      </c>
      <c r="C106" s="2" t="s">
        <v>19</v>
      </c>
      <c r="D106" s="2" t="s">
        <v>27</v>
      </c>
      <c r="E106" s="4" t="s">
        <v>17</v>
      </c>
      <c r="F106" s="31">
        <v>44516</v>
      </c>
      <c r="G106" s="31">
        <v>44518</v>
      </c>
      <c r="H106" s="62">
        <v>250</v>
      </c>
      <c r="I106" s="34">
        <v>85</v>
      </c>
      <c r="J106" s="32">
        <v>19</v>
      </c>
      <c r="K106" s="30">
        <v>85.95</v>
      </c>
      <c r="L106" s="32">
        <f>Table1[[#This Row],[Entry commission]]</f>
        <v>19</v>
      </c>
      <c r="M106" s="24">
        <f>(Table1[[#This Row],[Position size]]*Table1[[#This Row],[Entry price]]-Table1[[#This Row],[Entry commission]]-Table1[[#This Row],[Exit commission]])*Table1[[#This Row],[PL% on trade]]</f>
        <v>237.07529411764776</v>
      </c>
      <c r="N106" s="37">
        <f>((Table1[[#This Row],[Exit price]]-Table1[[#This Row],[Entry price]]))/Table1[[#This Row],[Entry price]]</f>
        <v>1.1176470588235328E-2</v>
      </c>
      <c r="O106" s="24">
        <f>SUM($M$10:M106)</f>
        <v>70023.534963191749</v>
      </c>
      <c r="P106" s="36">
        <f>Table1[[#This Row],[Total Return]]/$E$3</f>
        <v>0.70023534963191747</v>
      </c>
    </row>
    <row r="107" spans="2:16" ht="17" x14ac:dyDescent="0.2">
      <c r="B107" s="3" t="s">
        <v>40</v>
      </c>
      <c r="C107" s="2" t="s">
        <v>19</v>
      </c>
      <c r="D107" s="2" t="s">
        <v>14</v>
      </c>
      <c r="E107" s="4" t="s">
        <v>17</v>
      </c>
      <c r="F107" s="31">
        <v>44523</v>
      </c>
      <c r="G107" s="31">
        <v>44528</v>
      </c>
      <c r="H107" s="62">
        <v>238</v>
      </c>
      <c r="I107" s="34">
        <f>(200*289.8+38*288)/238</f>
        <v>289.51260504201679</v>
      </c>
      <c r="J107" s="32">
        <v>19</v>
      </c>
      <c r="K107" s="30">
        <v>293</v>
      </c>
      <c r="L107" s="32">
        <f>Table1[[#This Row],[Entry commission]]</f>
        <v>19</v>
      </c>
      <c r="M107" s="24">
        <f>(Table1[[#This Row],[Position size]]*Table1[[#This Row],[Entry price]]-Table1[[#This Row],[Entry commission]]-Table1[[#This Row],[Exit commission]])*Table1[[#This Row],[PL% on trade]]</f>
        <v>829.54226169743879</v>
      </c>
      <c r="N107" s="37">
        <f>((Table1[[#This Row],[Exit price]]-Table1[[#This Row],[Entry price]]))/Table1[[#This Row],[Entry price]]</f>
        <v>1.2045744804365563E-2</v>
      </c>
      <c r="O107" s="24">
        <f>SUM($M$10:M107)</f>
        <v>70853.077224889188</v>
      </c>
      <c r="P107" s="36">
        <f>Table1[[#This Row],[Total Return]]/$E$3</f>
        <v>0.70853077224889183</v>
      </c>
    </row>
    <row r="108" spans="2:16" ht="17" x14ac:dyDescent="0.2">
      <c r="B108" s="3" t="s">
        <v>40</v>
      </c>
      <c r="C108" s="2" t="s">
        <v>19</v>
      </c>
      <c r="D108" s="2" t="s">
        <v>11</v>
      </c>
      <c r="E108" s="4" t="s">
        <v>17</v>
      </c>
      <c r="F108" s="4">
        <v>44524</v>
      </c>
      <c r="G108" s="4">
        <v>44526</v>
      </c>
      <c r="H108" s="7">
        <v>200</v>
      </c>
      <c r="I108" s="34">
        <f>(200*298.7+40*299)/240</f>
        <v>298.75</v>
      </c>
      <c r="J108" s="32">
        <v>19</v>
      </c>
      <c r="K108" s="30">
        <v>296</v>
      </c>
      <c r="L108" s="32">
        <f>Table1[[#This Row],[Entry commission]]</f>
        <v>19</v>
      </c>
      <c r="M108" s="24">
        <f>(Table1[[#This Row],[Position size]]*Table1[[#This Row],[Entry price]]-Table1[[#This Row],[Entry commission]]-Table1[[#This Row],[Exit commission]])*Table1[[#This Row],[PL% on trade]]</f>
        <v>-549.65020920502093</v>
      </c>
      <c r="N108" s="37">
        <f>((Table1[[#This Row],[Exit price]]-Table1[[#This Row],[Entry price]]))/Table1[[#This Row],[Entry price]]</f>
        <v>-9.2050209205020925E-3</v>
      </c>
      <c r="O108" s="24">
        <f>SUM($M$10:M108)</f>
        <v>70303.427015684167</v>
      </c>
      <c r="P108" s="36">
        <f>Table1[[#This Row],[Total Return]]/$E$3</f>
        <v>0.70303427015684161</v>
      </c>
    </row>
    <row r="109" spans="2:16" ht="17" x14ac:dyDescent="0.2">
      <c r="B109" s="3" t="s">
        <v>40</v>
      </c>
      <c r="C109" s="2" t="s">
        <v>19</v>
      </c>
      <c r="D109" s="2" t="s">
        <v>27</v>
      </c>
      <c r="E109" s="4" t="s">
        <v>17</v>
      </c>
      <c r="F109" s="31">
        <v>44526</v>
      </c>
      <c r="G109" s="31">
        <v>44535</v>
      </c>
      <c r="H109" s="62">
        <v>200</v>
      </c>
      <c r="I109" s="34">
        <f>(200*293.7+100*310+50*310+20)/350</f>
        <v>300.74285714285713</v>
      </c>
      <c r="J109" s="32">
        <v>19</v>
      </c>
      <c r="K109" s="30">
        <v>309.8</v>
      </c>
      <c r="L109" s="32">
        <f>Table1[[#This Row],[Entry commission]]</f>
        <v>19</v>
      </c>
      <c r="M109" s="24">
        <f>(Table1[[#This Row],[Position size]]*Table1[[#This Row],[Entry price]]-Table1[[#This Row],[Entry commission]]-Table1[[#This Row],[Exit commission]])*Table1[[#This Row],[PL% on trade]]</f>
        <v>1810.2841670964456</v>
      </c>
      <c r="N109" s="37">
        <f>((Table1[[#This Row],[Exit price]]-Table1[[#This Row],[Entry price]]))/Table1[[#This Row],[Entry price]]</f>
        <v>3.0115903477104383E-2</v>
      </c>
      <c r="O109" s="24">
        <f>SUM($M$10:M109)</f>
        <v>72113.711182780607</v>
      </c>
      <c r="P109" s="36">
        <f>Table1[[#This Row],[Total Return]]/$E$3</f>
        <v>0.72113711182780604</v>
      </c>
    </row>
    <row r="110" spans="2:16" ht="17" x14ac:dyDescent="0.2">
      <c r="B110" s="3" t="s">
        <v>41</v>
      </c>
      <c r="C110" s="2" t="s">
        <v>19</v>
      </c>
      <c r="D110" s="2" t="s">
        <v>14</v>
      </c>
      <c r="E110" s="4" t="s">
        <v>17</v>
      </c>
      <c r="F110" s="28">
        <v>44529</v>
      </c>
      <c r="G110" s="31">
        <v>44536</v>
      </c>
      <c r="H110" s="62">
        <v>2500</v>
      </c>
      <c r="I110" s="34">
        <v>10.695</v>
      </c>
      <c r="J110" s="32">
        <v>19</v>
      </c>
      <c r="K110" s="30">
        <v>10.6</v>
      </c>
      <c r="L110" s="32">
        <f>Table1[[#This Row],[Entry commission]]</f>
        <v>19</v>
      </c>
      <c r="M110" s="24">
        <f>(Table1[[#This Row],[Position size]]*Table1[[#This Row],[Entry price]]-Table1[[#This Row],[Entry commission]]-Table1[[#This Row],[Exit commission]])*Table1[[#This Row],[PL% on trade]]</f>
        <v>-237.16245909303572</v>
      </c>
      <c r="N110" s="37">
        <f>((Table1[[#This Row],[Exit price]]-Table1[[#This Row],[Entry price]]))/Table1[[#This Row],[Entry price]]</f>
        <v>-8.8826554464703725E-3</v>
      </c>
      <c r="O110" s="24">
        <f>SUM($M$10:M110)</f>
        <v>71876.548723687578</v>
      </c>
      <c r="P110" s="36">
        <f>Table1[[#This Row],[Total Return]]/$E$3</f>
        <v>0.71876548723687583</v>
      </c>
    </row>
    <row r="111" spans="2:16" ht="17" x14ac:dyDescent="0.2">
      <c r="B111" s="3" t="s">
        <v>42</v>
      </c>
      <c r="C111" s="2" t="s">
        <v>19</v>
      </c>
      <c r="D111" s="2" t="s">
        <v>13</v>
      </c>
      <c r="E111" s="4" t="s">
        <v>17</v>
      </c>
      <c r="F111" s="28">
        <v>44529</v>
      </c>
      <c r="G111" s="31">
        <v>44539</v>
      </c>
      <c r="H111" s="62">
        <v>630</v>
      </c>
      <c r="I111" s="34">
        <v>86.6</v>
      </c>
      <c r="J111" s="32">
        <v>19</v>
      </c>
      <c r="K111" s="30">
        <v>86.05</v>
      </c>
      <c r="L111" s="32">
        <f>Table1[[#This Row],[Entry commission]]</f>
        <v>19</v>
      </c>
      <c r="M111" s="24">
        <f>(Table1[[#This Row],[Position size]]*Table1[[#This Row],[Entry price]]-Table1[[#This Row],[Entry commission]]-Table1[[#This Row],[Exit commission]])*Table1[[#This Row],[PL% on trade]]</f>
        <v>-346.25866050808139</v>
      </c>
      <c r="N111" s="37">
        <f>((Table1[[#This Row],[Exit price]]-Table1[[#This Row],[Entry price]]))/Table1[[#This Row],[Entry price]]</f>
        <v>-6.3510392609699446E-3</v>
      </c>
      <c r="O111" s="24">
        <f>SUM($M$10:M111)</f>
        <v>71530.290063179491</v>
      </c>
      <c r="P111" s="36">
        <f>Table1[[#This Row],[Total Return]]/$E$3</f>
        <v>0.71530290063179491</v>
      </c>
    </row>
    <row r="112" spans="2:16" ht="17" x14ac:dyDescent="0.2">
      <c r="B112" s="3" t="s">
        <v>38</v>
      </c>
      <c r="C112" s="2" t="s">
        <v>19</v>
      </c>
      <c r="D112" s="2" t="s">
        <v>10</v>
      </c>
      <c r="E112" s="4" t="s">
        <v>17</v>
      </c>
      <c r="F112" s="28">
        <v>44536</v>
      </c>
      <c r="G112" s="4">
        <v>44536</v>
      </c>
      <c r="H112" s="7">
        <v>40</v>
      </c>
      <c r="I112" s="30">
        <v>376</v>
      </c>
      <c r="J112" s="24">
        <v>19</v>
      </c>
      <c r="K112" s="29">
        <v>403</v>
      </c>
      <c r="L112" s="24">
        <v>19</v>
      </c>
      <c r="M112" s="24">
        <f>(Table1[[#This Row],[Position size]]*Table1[[#This Row],[Entry price]]-Table1[[#This Row],[Entry commission]]-Table1[[#This Row],[Exit commission]])*Table1[[#This Row],[PL% on trade]]</f>
        <v>1077.2712765957447</v>
      </c>
      <c r="N112" s="37">
        <f>((Table1[[#This Row],[Exit price]]-Table1[[#This Row],[Entry price]]))/Table1[[#This Row],[Entry price]]</f>
        <v>7.1808510638297879E-2</v>
      </c>
      <c r="O112" s="24">
        <f>SUM($M$10:M112)</f>
        <v>72607.561339775231</v>
      </c>
      <c r="P112" s="36">
        <f>Table1[[#This Row],[Total Return]]/$E$3</f>
        <v>0.72607561339775228</v>
      </c>
    </row>
    <row r="113" spans="2:16" ht="17" x14ac:dyDescent="0.2">
      <c r="B113" s="2" t="s">
        <v>6</v>
      </c>
      <c r="C113" s="2"/>
      <c r="D113" s="2"/>
      <c r="E113" s="2">
        <f>SUBTOTAL(103,Table1[Long/Short])</f>
        <v>103</v>
      </c>
      <c r="F113" s="4"/>
      <c r="G113" s="23"/>
      <c r="H113" s="7"/>
      <c r="I113" s="65"/>
      <c r="J113" s="26"/>
      <c r="K113" s="2"/>
      <c r="L113" s="26"/>
      <c r="M113" s="26">
        <f>SUBTOTAL(101,Table1[PL])</f>
        <v>704.92777999781777</v>
      </c>
      <c r="N113" s="38">
        <f>SUBTOTAL(101,Table1[PL% on trade])</f>
        <v>2.6466480321683573E-2</v>
      </c>
      <c r="O113" s="73"/>
      <c r="P113" s="75"/>
    </row>
    <row r="114" spans="2:16" x14ac:dyDescent="0.2">
      <c r="N114" s="39"/>
    </row>
  </sheetData>
  <mergeCells count="5">
    <mergeCell ref="B1:G1"/>
    <mergeCell ref="B2:C2"/>
    <mergeCell ref="D2:E2"/>
    <mergeCell ref="F2:G2"/>
    <mergeCell ref="I2:J5"/>
  </mergeCells>
  <phoneticPr fontId="5" type="noConversion"/>
  <conditionalFormatting sqref="N10:N112">
    <cfRule type="cellIs" dxfId="55" priority="1" stopIfTrue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B58D0C5-71B7-DC49-98DD-81861B7A79A0}">
          <x14:formula1>
            <xm:f>'Background Information'!$B$2:$B$11</xm:f>
          </x14:formula1>
          <xm:sqref>C10:C112</xm:sqref>
        </x14:dataValidation>
        <x14:dataValidation type="list" allowBlank="1" showInputMessage="1" showErrorMessage="1" xr:uid="{D22C9486-EA33-0441-BD0C-02248CCA2D5E}">
          <x14:formula1>
            <xm:f>'Background Information'!$F$2:$F$3</xm:f>
          </x14:formula1>
          <xm:sqref>E10:E112</xm:sqref>
        </x14:dataValidation>
        <x14:dataValidation type="list" allowBlank="1" showInputMessage="1" showErrorMessage="1" xr:uid="{E190A8DE-7A1A-9746-BB30-9942219D1400}">
          <x14:formula1>
            <xm:f>'Background Information'!$D$2:$D$11</xm:f>
          </x14:formula1>
          <xm:sqref>D10:D112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C17F-7FF0-DE43-9D9B-0F441A5708A6}">
  <dimension ref="B1:F14"/>
  <sheetViews>
    <sheetView showGridLines="0" zoomScale="90" zoomScaleNormal="90" workbookViewId="0">
      <selection activeCell="F17" sqref="F17"/>
    </sheetView>
  </sheetViews>
  <sheetFormatPr baseColWidth="10" defaultRowHeight="16" x14ac:dyDescent="0.2"/>
  <cols>
    <col min="1" max="1" width="1.83203125" customWidth="1"/>
    <col min="2" max="2" width="25.83203125" style="5" customWidth="1"/>
    <col min="3" max="3" width="1.83203125" customWidth="1"/>
    <col min="4" max="4" width="25.83203125" customWidth="1"/>
    <col min="5" max="5" width="1.83203125" customWidth="1"/>
    <col min="6" max="6" width="25.83203125" customWidth="1"/>
  </cols>
  <sheetData>
    <row r="1" spans="2:6" x14ac:dyDescent="0.2">
      <c r="B1" s="10" t="s">
        <v>25</v>
      </c>
      <c r="D1" s="16" t="s">
        <v>109</v>
      </c>
      <c r="F1" s="16" t="s">
        <v>108</v>
      </c>
    </row>
    <row r="2" spans="2:6" ht="17" x14ac:dyDescent="0.2">
      <c r="B2" s="11" t="s">
        <v>22</v>
      </c>
      <c r="D2" s="12" t="s">
        <v>8</v>
      </c>
      <c r="F2" s="12" t="s">
        <v>17</v>
      </c>
    </row>
    <row r="3" spans="2:6" ht="17" x14ac:dyDescent="0.2">
      <c r="B3" s="11" t="s">
        <v>24</v>
      </c>
      <c r="D3" s="13" t="s">
        <v>13</v>
      </c>
      <c r="F3" s="17" t="s">
        <v>18</v>
      </c>
    </row>
    <row r="4" spans="2:6" ht="17" x14ac:dyDescent="0.2">
      <c r="B4" s="11" t="s">
        <v>21</v>
      </c>
      <c r="D4" s="12" t="s">
        <v>9</v>
      </c>
      <c r="F4" s="9"/>
    </row>
    <row r="5" spans="2:6" ht="17" x14ac:dyDescent="0.2">
      <c r="B5" s="19" t="s">
        <v>29</v>
      </c>
      <c r="D5" s="13" t="s">
        <v>10</v>
      </c>
      <c r="F5" s="9"/>
    </row>
    <row r="6" spans="2:6" ht="17" x14ac:dyDescent="0.2">
      <c r="B6" s="19" t="s">
        <v>90</v>
      </c>
      <c r="D6" s="12" t="s">
        <v>26</v>
      </c>
      <c r="F6" s="9"/>
    </row>
    <row r="7" spans="2:6" ht="17" x14ac:dyDescent="0.2">
      <c r="B7" s="33" t="s">
        <v>20</v>
      </c>
      <c r="D7" s="13" t="s">
        <v>12</v>
      </c>
      <c r="F7" s="9"/>
    </row>
    <row r="8" spans="2:6" ht="17" x14ac:dyDescent="0.2">
      <c r="B8" s="18" t="s">
        <v>30</v>
      </c>
      <c r="D8" s="12" t="s">
        <v>14</v>
      </c>
      <c r="F8" s="9"/>
    </row>
    <row r="9" spans="2:6" ht="17" x14ac:dyDescent="0.2">
      <c r="B9" s="20" t="s">
        <v>23</v>
      </c>
      <c r="D9" s="14" t="s">
        <v>7</v>
      </c>
      <c r="F9" s="9"/>
    </row>
    <row r="10" spans="2:6" ht="17" x14ac:dyDescent="0.2">
      <c r="B10" s="20" t="s">
        <v>19</v>
      </c>
      <c r="D10" s="15" t="s">
        <v>27</v>
      </c>
      <c r="F10" s="9"/>
    </row>
    <row r="11" spans="2:6" ht="17" x14ac:dyDescent="0.2">
      <c r="B11" s="18" t="s">
        <v>31</v>
      </c>
      <c r="D11" s="17" t="s">
        <v>11</v>
      </c>
      <c r="F11" s="9"/>
    </row>
    <row r="12" spans="2:6" x14ac:dyDescent="0.2">
      <c r="B12" s="9"/>
    </row>
    <row r="13" spans="2:6" x14ac:dyDescent="0.2">
      <c r="B13" s="9"/>
    </row>
    <row r="14" spans="2:6" x14ac:dyDescent="0.2">
      <c r="B14" s="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Trading Information Dashboard</vt:lpstr>
      <vt:lpstr>Dashboard calculations</vt:lpstr>
      <vt:lpstr>Pivot tables</vt:lpstr>
      <vt:lpstr>Dataset</vt:lpstr>
      <vt:lpstr>Background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Ulrik Daae Bjørndal</dc:creator>
  <cp:lastModifiedBy>Ivar Ulrik Daae Bjørndal</cp:lastModifiedBy>
  <dcterms:created xsi:type="dcterms:W3CDTF">2022-09-29T09:47:03Z</dcterms:created>
  <dcterms:modified xsi:type="dcterms:W3CDTF">2023-01-05T13:39:13Z</dcterms:modified>
</cp:coreProperties>
</file>