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OneDrive\Uni Freiburg\Semester III\Wearable Computing Systems\UltimateCyclingTrainingSystem\Hardware-Design\Documents\"/>
    </mc:Choice>
  </mc:AlternateContent>
  <bookViews>
    <workbookView xWindow="0" yWindow="0" windowWidth="20490" windowHeight="7905"/>
  </bookViews>
  <sheets>
    <sheet name="470_Ohm_Meas" sheetId="1" r:id="rId1"/>
    <sheet name="750_Ohm_Meas" sheetId="4" r:id="rId2"/>
    <sheet name="9V_Battery_Calibration" sheetId="7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B21" i="7"/>
  <c r="D21" i="7" s="1"/>
  <c r="D20" i="7"/>
  <c r="C20" i="7"/>
  <c r="B20" i="7"/>
  <c r="D19" i="7"/>
  <c r="C19" i="7"/>
  <c r="B19" i="7"/>
  <c r="C18" i="7"/>
  <c r="B18" i="7"/>
  <c r="D18" i="7" s="1"/>
  <c r="C17" i="7"/>
  <c r="B17" i="7"/>
  <c r="D17" i="7" s="1"/>
  <c r="D16" i="7"/>
  <c r="C16" i="7"/>
  <c r="B16" i="7"/>
  <c r="D15" i="7"/>
  <c r="C15" i="7"/>
  <c r="B15" i="7"/>
  <c r="C14" i="7"/>
  <c r="B14" i="7"/>
  <c r="D14" i="7" s="1"/>
  <c r="C13" i="7"/>
  <c r="B13" i="7"/>
  <c r="D13" i="7" s="1"/>
  <c r="D12" i="7"/>
  <c r="C12" i="7"/>
  <c r="B12" i="7"/>
  <c r="D11" i="7"/>
  <c r="C11" i="7"/>
  <c r="B11" i="7"/>
  <c r="C10" i="7"/>
  <c r="B10" i="7"/>
  <c r="D10" i="7" s="1"/>
  <c r="C9" i="7"/>
  <c r="B9" i="7"/>
  <c r="D9" i="7" s="1"/>
  <c r="D8" i="7"/>
  <c r="C8" i="7"/>
  <c r="B8" i="7"/>
  <c r="D7" i="7"/>
  <c r="C7" i="7"/>
  <c r="B7" i="7"/>
  <c r="C6" i="7"/>
  <c r="B6" i="7"/>
  <c r="D6" i="7" s="1"/>
  <c r="C5" i="7"/>
  <c r="B5" i="7"/>
  <c r="D5" i="7" s="1"/>
  <c r="D4" i="7"/>
  <c r="C4" i="7"/>
  <c r="B4" i="7"/>
  <c r="D3" i="7"/>
  <c r="C3" i="7"/>
  <c r="B3" i="7"/>
  <c r="D2" i="7"/>
  <c r="C2" i="7"/>
  <c r="B2" i="7"/>
  <c r="I3" i="7" l="1"/>
  <c r="I1" i="7"/>
  <c r="I2" i="7"/>
  <c r="P17" i="1" l="1"/>
  <c r="P16" i="1"/>
  <c r="P8" i="1"/>
  <c r="P7" i="1"/>
  <c r="Q6" i="1"/>
  <c r="Q5" i="1"/>
  <c r="Q4" i="1"/>
  <c r="Q3" i="1"/>
  <c r="Q2" i="1"/>
  <c r="P3" i="1"/>
  <c r="P2" i="1"/>
  <c r="O3" i="1"/>
  <c r="O2" i="1"/>
  <c r="O6" i="1"/>
  <c r="P6" i="1"/>
  <c r="O4" i="1"/>
  <c r="O5" i="1"/>
  <c r="P5" i="1" s="1"/>
  <c r="P15" i="1"/>
  <c r="Q15" i="1"/>
  <c r="K15" i="1"/>
  <c r="L15" i="1" s="1"/>
  <c r="L14" i="1"/>
  <c r="L13" i="1"/>
  <c r="L12" i="1"/>
  <c r="L11" i="1"/>
  <c r="K6" i="1"/>
  <c r="L6" i="1" s="1"/>
  <c r="L5" i="1"/>
  <c r="L4" i="1"/>
  <c r="L3" i="1"/>
  <c r="L2" i="1"/>
  <c r="Q14" i="1"/>
  <c r="P14" i="1"/>
  <c r="Q13" i="1"/>
  <c r="P13" i="1"/>
  <c r="Q12" i="1"/>
  <c r="P12" i="1"/>
  <c r="Q11" i="1"/>
  <c r="P11" i="1"/>
  <c r="P15" i="4"/>
  <c r="P14" i="4"/>
  <c r="Q13" i="4"/>
  <c r="L13" i="4"/>
  <c r="P12" i="4"/>
  <c r="Q12" i="4"/>
  <c r="L12" i="4"/>
  <c r="P11" i="4"/>
  <c r="Q11" i="4"/>
  <c r="L11" i="4"/>
  <c r="P10" i="4"/>
  <c r="Q10" i="4"/>
  <c r="L10" i="4"/>
  <c r="O3" i="4"/>
  <c r="P3" i="4" s="1"/>
  <c r="O4" i="4"/>
  <c r="Q4" i="4" s="1"/>
  <c r="O2" i="4"/>
  <c r="P2" i="4" s="1"/>
  <c r="L5" i="4"/>
  <c r="L4" i="4"/>
  <c r="L3" i="4"/>
  <c r="L2" i="4"/>
  <c r="Q3" i="4"/>
  <c r="Q2" i="4"/>
  <c r="B23" i="4"/>
  <c r="O5" i="4" s="1"/>
  <c r="B21" i="4"/>
  <c r="B20" i="4"/>
  <c r="B19" i="4"/>
  <c r="B23" i="1"/>
  <c r="E19" i="1"/>
  <c r="H5" i="4" l="1"/>
  <c r="I5" i="4" s="1"/>
  <c r="H51" i="4"/>
  <c r="I51" i="4" s="1"/>
  <c r="H47" i="4"/>
  <c r="I47" i="4" s="1"/>
  <c r="H43" i="4"/>
  <c r="I43" i="4" s="1"/>
  <c r="H39" i="4"/>
  <c r="I39" i="4" s="1"/>
  <c r="H35" i="4"/>
  <c r="I35" i="4" s="1"/>
  <c r="H31" i="4"/>
  <c r="I31" i="4" s="1"/>
  <c r="H27" i="4"/>
  <c r="I27" i="4" s="1"/>
  <c r="H23" i="4"/>
  <c r="I23" i="4" s="1"/>
  <c r="H19" i="4"/>
  <c r="I19" i="4" s="1"/>
  <c r="H15" i="4"/>
  <c r="I15" i="4" s="1"/>
  <c r="H11" i="4"/>
  <c r="I11" i="4" s="1"/>
  <c r="H7" i="4"/>
  <c r="I7" i="4" s="1"/>
  <c r="H3" i="4"/>
  <c r="I3" i="4" s="1"/>
  <c r="H50" i="4"/>
  <c r="I50" i="4" s="1"/>
  <c r="H46" i="4"/>
  <c r="I46" i="4" s="1"/>
  <c r="H42" i="4"/>
  <c r="I42" i="4" s="1"/>
  <c r="H38" i="4"/>
  <c r="I38" i="4" s="1"/>
  <c r="H34" i="4"/>
  <c r="I34" i="4" s="1"/>
  <c r="H30" i="4"/>
  <c r="I30" i="4" s="1"/>
  <c r="H26" i="4"/>
  <c r="I26" i="4" s="1"/>
  <c r="H22" i="4"/>
  <c r="I22" i="4" s="1"/>
  <c r="H18" i="4"/>
  <c r="I18" i="4" s="1"/>
  <c r="H14" i="4"/>
  <c r="I14" i="4" s="1"/>
  <c r="H10" i="4"/>
  <c r="I10" i="4" s="1"/>
  <c r="H6" i="4"/>
  <c r="I6" i="4" s="1"/>
  <c r="H52" i="4"/>
  <c r="I52" i="4" s="1"/>
  <c r="H48" i="4"/>
  <c r="I48" i="4" s="1"/>
  <c r="H44" i="4"/>
  <c r="I44" i="4" s="1"/>
  <c r="H40" i="4"/>
  <c r="I40" i="4" s="1"/>
  <c r="H36" i="4"/>
  <c r="I36" i="4" s="1"/>
  <c r="H32" i="4"/>
  <c r="I32" i="4" s="1"/>
  <c r="H28" i="4"/>
  <c r="I28" i="4" s="1"/>
  <c r="H24" i="4"/>
  <c r="I24" i="4" s="1"/>
  <c r="H20" i="4"/>
  <c r="I20" i="4" s="1"/>
  <c r="H16" i="4"/>
  <c r="I16" i="4" s="1"/>
  <c r="H12" i="4"/>
  <c r="I12" i="4" s="1"/>
  <c r="H8" i="4"/>
  <c r="I8" i="4" s="1"/>
  <c r="H4" i="4"/>
  <c r="I4" i="4" s="1"/>
  <c r="H2" i="4"/>
  <c r="I2" i="4" s="1"/>
  <c r="H49" i="4"/>
  <c r="I49" i="4" s="1"/>
  <c r="H45" i="4"/>
  <c r="I45" i="4" s="1"/>
  <c r="H41" i="4"/>
  <c r="I41" i="4" s="1"/>
  <c r="H37" i="4"/>
  <c r="I37" i="4" s="1"/>
  <c r="H33" i="4"/>
  <c r="I33" i="4" s="1"/>
  <c r="H29" i="4"/>
  <c r="I29" i="4" s="1"/>
  <c r="H25" i="4"/>
  <c r="I25" i="4" s="1"/>
  <c r="H21" i="4"/>
  <c r="I21" i="4" s="1"/>
  <c r="H17" i="4"/>
  <c r="I17" i="4" s="1"/>
  <c r="H13" i="4"/>
  <c r="I13" i="4" s="1"/>
  <c r="H9" i="4"/>
  <c r="I9" i="4" s="1"/>
  <c r="Q5" i="4"/>
  <c r="P5" i="4"/>
  <c r="P6" i="4" s="1"/>
  <c r="P4" i="4"/>
  <c r="P7" i="4" s="1"/>
  <c r="P4" i="1"/>
  <c r="P13" i="4"/>
  <c r="B5" i="4"/>
  <c r="B4" i="4"/>
  <c r="B3" i="4"/>
  <c r="B2" i="4"/>
  <c r="A6" i="1"/>
  <c r="B6" i="1" s="1"/>
  <c r="B5" i="1"/>
  <c r="B4" i="1"/>
  <c r="B3" i="1"/>
  <c r="B2" i="1"/>
  <c r="H3" i="1" l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10" i="1"/>
  <c r="I10" i="1" s="1"/>
  <c r="H18" i="1"/>
  <c r="I18" i="1" s="1"/>
  <c r="H22" i="1"/>
  <c r="I22" i="1" s="1"/>
  <c r="H30" i="1"/>
  <c r="I30" i="1" s="1"/>
  <c r="H38" i="1"/>
  <c r="I38" i="1" s="1"/>
  <c r="H46" i="1"/>
  <c r="I46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" i="1"/>
  <c r="I5" i="1" s="1"/>
  <c r="H13" i="1"/>
  <c r="I13" i="1" s="1"/>
  <c r="H21" i="1"/>
  <c r="I21" i="1" s="1"/>
  <c r="H29" i="1"/>
  <c r="I29" i="1" s="1"/>
  <c r="H37" i="1"/>
  <c r="I37" i="1" s="1"/>
  <c r="H45" i="1"/>
  <c r="I45" i="1" s="1"/>
  <c r="H2" i="1"/>
  <c r="I2" i="1" s="1"/>
  <c r="H6" i="1"/>
  <c r="I6" i="1" s="1"/>
  <c r="H14" i="1"/>
  <c r="I14" i="1" s="1"/>
  <c r="H26" i="1"/>
  <c r="I26" i="1" s="1"/>
  <c r="H34" i="1"/>
  <c r="I34" i="1" s="1"/>
  <c r="H42" i="1"/>
  <c r="I42" i="1" s="1"/>
  <c r="H50" i="1"/>
  <c r="I50" i="1" s="1"/>
  <c r="B19" i="1"/>
  <c r="B21" i="1"/>
  <c r="B20" i="1"/>
</calcChain>
</file>

<file path=xl/sharedStrings.xml><?xml version="1.0" encoding="utf-8"?>
<sst xmlns="http://schemas.openxmlformats.org/spreadsheetml/2006/main" count="73" uniqueCount="29">
  <si>
    <t>Force [N]</t>
  </si>
  <si>
    <t>Dif. Voltage [V]</t>
  </si>
  <si>
    <t>Amp. Voltage [V]</t>
  </si>
  <si>
    <t>Rg</t>
  </si>
  <si>
    <t>G</t>
  </si>
  <si>
    <t>Slope a</t>
  </si>
  <si>
    <t>Offset b</t>
  </si>
  <si>
    <t>R2</t>
  </si>
  <si>
    <t>Arduino [V]</t>
  </si>
  <si>
    <t>Est. Force [N]</t>
  </si>
  <si>
    <t>Est. Torque [Nm]</t>
  </si>
  <si>
    <t xml:space="preserve"> Crank length [m]</t>
  </si>
  <si>
    <t>Amp. Volt. Ist [V]</t>
  </si>
  <si>
    <t>Amp. Volt. Soll [V]</t>
  </si>
  <si>
    <t>Mass [kg]</t>
  </si>
  <si>
    <t>Mass [Kg]</t>
  </si>
  <si>
    <t>Crank Length [m]</t>
  </si>
  <si>
    <t>Abs. Error [V]</t>
  </si>
  <si>
    <t>Rel. Error</t>
  </si>
  <si>
    <t>Arduino Ist [V]</t>
  </si>
  <si>
    <t>Error Mean</t>
  </si>
  <si>
    <t>Error Std.</t>
  </si>
  <si>
    <t>Weigth [Kg]</t>
  </si>
  <si>
    <t>Weigth/2 [Kg]</t>
  </si>
  <si>
    <t>Force/2 [N]</t>
  </si>
  <si>
    <t>Arduino Int []</t>
  </si>
  <si>
    <t>Arduino Volt. [N]</t>
  </si>
  <si>
    <t>Slope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</si>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</sst>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1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10" fontId="0" fillId="0" borderId="6" xfId="1" applyNumberFormat="1" applyFont="1" applyBorder="1"/>
  </cellXfs>
  <cellStyles count="2">
    <cellStyle name="Normal" xfId="0" builtinId="0"/>
    <cellStyle name="Percent" xfId="1" builtinId="5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Force(Voltage)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'470_Ohm_Meas'!$E$2:$E$6</c:f>
              <c:numCache>
                <c:formatCode>General</c:formatCode>
                <c:ptCount val="5"/>
                <c:pt idx="0" formatCode="0.00">
                  <c:v>1.1000000000000001</c:v>
                </c:pt>
                <c:pt idx="1">
                  <c:v>1.45</c:v>
                </c:pt>
                <c:pt idx="2">
                  <c:v>1.66</c:v>
                </c:pt>
                <c:pt idx="3">
                  <c:v>2.04</c:v>
                </c:pt>
                <c:pt idx="4">
                  <c:v>2.33</c:v>
                </c:pt>
              </c:numCache>
            </c:numRef>
          </c:xVal>
          <c:yVal>
            <c:numRef>
              <c:f>'470_Ohm_Meas'!$B$2:$B$6</c:f>
              <c:numCache>
                <c:formatCode>General</c:formatCode>
                <c:ptCount val="5"/>
                <c:pt idx="0">
                  <c:v>0</c:v>
                </c:pt>
                <c:pt idx="1">
                  <c:v>64.745999999999995</c:v>
                </c:pt>
                <c:pt idx="2">
                  <c:v>103.00500000000001</c:v>
                </c:pt>
                <c:pt idx="3">
                  <c:v>169.71300000000002</c:v>
                </c:pt>
                <c:pt idx="4">
                  <c:v>226.61100000000002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648"/>
        <c:axId val="1228099504"/>
      </c:scatterChart>
      <c:valAx>
        <c:axId val="10583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099504"/>
        <c:crosses val="autoZero"/>
        <c:crossBetween val="midCat"/>
      </c:valAx>
      <c:valAx>
        <c:axId val="1228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3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Forve(Voltage)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'750_Ohm_Meas'!$E$2:$E$5</c:f>
              <c:numCache>
                <c:formatCode>General</c:formatCode>
                <c:ptCount val="4"/>
                <c:pt idx="0" formatCode="0.00">
                  <c:v>0.65</c:v>
                </c:pt>
                <c:pt idx="1">
                  <c:v>0.86</c:v>
                </c:pt>
                <c:pt idx="2">
                  <c:v>1.1000000000000001</c:v>
                </c:pt>
                <c:pt idx="3">
                  <c:v>1.23</c:v>
                </c:pt>
              </c:numCache>
            </c:numRef>
          </c:xVal>
          <c:yVal>
            <c:numRef>
              <c:f>'750_Ohm_Meas'!$B$2:$B$5</c:f>
              <c:numCache>
                <c:formatCode>General</c:formatCode>
                <c:ptCount val="4"/>
                <c:pt idx="0">
                  <c:v>0</c:v>
                </c:pt>
                <c:pt idx="1">
                  <c:v>64.745999999999995</c:v>
                </c:pt>
                <c:pt idx="2">
                  <c:v>130.47300000000001</c:v>
                </c:pt>
                <c:pt idx="3">
                  <c:v>169.71300000000002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094608"/>
        <c:axId val="1228102224"/>
      </c:scatterChart>
      <c:valAx>
        <c:axId val="12280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2224"/>
        <c:crosses val="autoZero"/>
        <c:crossBetween val="midCat"/>
      </c:valAx>
      <c:valAx>
        <c:axId val="12281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0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[N] as function of Voltage [V]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[1]Calibration_9V_Battery!$F$1</c:f>
              <c:strCache>
                <c:ptCount val="1"/>
                <c:pt idx="0">
                  <c:v>Arduino Volt. 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[1]Calibration_9V_Battery!$F$2:$F$21</c:f>
              <c:numCache>
                <c:formatCode>General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0.69</c:v>
                </c:pt>
                <c:pt idx="3">
                  <c:v>0.7</c:v>
                </c:pt>
                <c:pt idx="4">
                  <c:v>0.7</c:v>
                </c:pt>
                <c:pt idx="5">
                  <c:v>2.34</c:v>
                </c:pt>
                <c:pt idx="6">
                  <c:v>2.33</c:v>
                </c:pt>
                <c:pt idx="7">
                  <c:v>2.34</c:v>
                </c:pt>
                <c:pt idx="8">
                  <c:v>1.94</c:v>
                </c:pt>
                <c:pt idx="9">
                  <c:v>1.95</c:v>
                </c:pt>
                <c:pt idx="10">
                  <c:v>1.93</c:v>
                </c:pt>
                <c:pt idx="11">
                  <c:v>2.4500000000000002</c:v>
                </c:pt>
                <c:pt idx="12">
                  <c:v>2.46</c:v>
                </c:pt>
                <c:pt idx="13">
                  <c:v>2.44</c:v>
                </c:pt>
                <c:pt idx="14">
                  <c:v>2.41</c:v>
                </c:pt>
                <c:pt idx="15">
                  <c:v>2.39</c:v>
                </c:pt>
                <c:pt idx="16">
                  <c:v>2.38</c:v>
                </c:pt>
                <c:pt idx="17">
                  <c:v>1.8</c:v>
                </c:pt>
                <c:pt idx="18">
                  <c:v>1.81</c:v>
                </c:pt>
                <c:pt idx="19">
                  <c:v>1.79</c:v>
                </c:pt>
              </c:numCache>
            </c:numRef>
          </c:xVal>
          <c:yVal>
            <c:numRef>
              <c:f>[1]Calibration_9V_Battery!$D$2:$D$21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428.69700000000006</c:v>
                </c:pt>
                <c:pt idx="6">
                  <c:v>428.69700000000006</c:v>
                </c:pt>
                <c:pt idx="7">
                  <c:v>428.69700000000006</c:v>
                </c:pt>
                <c:pt idx="8">
                  <c:v>320.78700000000003</c:v>
                </c:pt>
                <c:pt idx="9">
                  <c:v>320.78700000000003</c:v>
                </c:pt>
                <c:pt idx="10">
                  <c:v>320.78700000000003</c:v>
                </c:pt>
                <c:pt idx="11">
                  <c:v>462.05100000000004</c:v>
                </c:pt>
                <c:pt idx="12">
                  <c:v>462.05100000000004</c:v>
                </c:pt>
                <c:pt idx="13">
                  <c:v>462.05100000000004</c:v>
                </c:pt>
                <c:pt idx="14">
                  <c:v>441.45000000000005</c:v>
                </c:pt>
                <c:pt idx="15">
                  <c:v>441.45000000000005</c:v>
                </c:pt>
                <c:pt idx="16">
                  <c:v>441.45000000000005</c:v>
                </c:pt>
                <c:pt idx="17">
                  <c:v>296.7525</c:v>
                </c:pt>
                <c:pt idx="18">
                  <c:v>296.7525</c:v>
                </c:pt>
                <c:pt idx="19">
                  <c:v>296.7525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04400"/>
        <c:axId val="1228090256"/>
      </c:scatterChart>
      <c:valAx>
        <c:axId val="12281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Voltage Measured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090256"/>
        <c:crosses val="autoZero"/>
        <c:crossBetween val="midCat"/>
      </c:valAx>
      <c:valAx>
        <c:axId val="1228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190499</xdr:rowOff>
    </xdr:from>
    <xdr:to>
      <xdr:col>6</xdr:col>
      <xdr:colOff>9525</xdr:colOff>
      <xdr:row>18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14287</xdr:rowOff>
    </xdr:from>
    <xdr:to>
      <xdr:col>5</xdr:col>
      <xdr:colOff>180975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3</xdr:row>
      <xdr:rowOff>85723</xdr:rowOff>
    </xdr:from>
    <xdr:to>
      <xdr:col>16</xdr:col>
      <xdr:colOff>38101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ge\Desktop\New%20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_9V_Battery"/>
    </sheetNames>
    <sheetDataSet>
      <sheetData sheetId="0">
        <row r="1">
          <cell r="F1" t="str">
            <v>Arduino Volt. [N]</v>
          </cell>
        </row>
        <row r="2">
          <cell r="D2">
            <v>0</v>
          </cell>
          <cell r="F2">
            <v>0.71</v>
          </cell>
        </row>
        <row r="3">
          <cell r="D3">
            <v>0</v>
          </cell>
          <cell r="F3">
            <v>0.69</v>
          </cell>
        </row>
        <row r="4">
          <cell r="D4">
            <v>0</v>
          </cell>
          <cell r="F4">
            <v>0.69</v>
          </cell>
        </row>
        <row r="5">
          <cell r="D5">
            <v>0</v>
          </cell>
          <cell r="F5">
            <v>0.7</v>
          </cell>
        </row>
        <row r="6">
          <cell r="D6">
            <v>0</v>
          </cell>
          <cell r="F6">
            <v>0.7</v>
          </cell>
        </row>
        <row r="7">
          <cell r="D7">
            <v>428.69700000000006</v>
          </cell>
          <cell r="F7">
            <v>2.34</v>
          </cell>
        </row>
        <row r="8">
          <cell r="D8">
            <v>428.69700000000006</v>
          </cell>
          <cell r="F8">
            <v>2.33</v>
          </cell>
        </row>
        <row r="9">
          <cell r="D9">
            <v>428.69700000000006</v>
          </cell>
          <cell r="F9">
            <v>2.34</v>
          </cell>
        </row>
        <row r="10">
          <cell r="D10">
            <v>320.78700000000003</v>
          </cell>
          <cell r="F10">
            <v>1.94</v>
          </cell>
        </row>
        <row r="11">
          <cell r="D11">
            <v>320.78700000000003</v>
          </cell>
          <cell r="F11">
            <v>1.95</v>
          </cell>
        </row>
        <row r="12">
          <cell r="D12">
            <v>320.78700000000003</v>
          </cell>
          <cell r="F12">
            <v>1.93</v>
          </cell>
        </row>
        <row r="13">
          <cell r="D13">
            <v>462.05100000000004</v>
          </cell>
          <cell r="F13">
            <v>2.4500000000000002</v>
          </cell>
        </row>
        <row r="14">
          <cell r="D14">
            <v>462.05100000000004</v>
          </cell>
          <cell r="F14">
            <v>2.46</v>
          </cell>
        </row>
        <row r="15">
          <cell r="D15">
            <v>462.05100000000004</v>
          </cell>
          <cell r="F15">
            <v>2.44</v>
          </cell>
        </row>
        <row r="16">
          <cell r="D16">
            <v>441.45000000000005</v>
          </cell>
          <cell r="F16">
            <v>2.41</v>
          </cell>
        </row>
        <row r="17">
          <cell r="D17">
            <v>441.45000000000005</v>
          </cell>
          <cell r="F17">
            <v>2.39</v>
          </cell>
        </row>
        <row r="18">
          <cell r="D18">
            <v>441.45000000000005</v>
          </cell>
          <cell r="F18">
            <v>2.38</v>
          </cell>
        </row>
        <row r="19">
          <cell r="D19">
            <v>296.7525</v>
          </cell>
          <cell r="F19">
            <v>1.8</v>
          </cell>
        </row>
        <row r="20">
          <cell r="D20">
            <v>296.7525</v>
          </cell>
          <cell r="F20">
            <v>1.81</v>
          </cell>
        </row>
        <row r="21">
          <cell r="D21">
            <v>296.7525</v>
          </cell>
          <cell r="F21">
            <v>1.79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21" totalsRowShown="0" headerRowDxfId="5">
  <autoFilter ref="A1:F21"/>
  <tableColumns count="6">
    <tableColumn id="1" name="Weigth [Kg]" dataDxfId="4"/>
    <tableColumn id="2" name="Force [N]" dataDxfId="3">
      <calculatedColumnFormula>9.81*A2</calculatedColumnFormula>
    </tableColumn>
    <tableColumn id="3" name="Weigth/2 [Kg]" dataDxfId="2">
      <calculatedColumnFormula>A2/2</calculatedColumnFormula>
    </tableColumn>
    <tableColumn id="4" name="Force/2 [N]" dataDxfId="1">
      <calculatedColumnFormula>B2/2</calculatedColumnFormula>
    </tableColumn>
    <tableColumn id="5" name="Arduino Int []"/>
    <tableColumn id="6" name="Arduino Volt. [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M19" sqref="M19"/>
    </sheetView>
  </sheetViews>
  <sheetFormatPr defaultRowHeight="15" x14ac:dyDescent="0.25"/>
  <cols>
    <col min="1" max="1" width="9.42578125" bestFit="1" customWidth="1"/>
    <col min="2" max="2" width="9.140625" bestFit="1" customWidth="1"/>
    <col min="3" max="3" width="14.7109375" bestFit="1" customWidth="1"/>
    <col min="4" max="4" width="16.28515625" bestFit="1" customWidth="1"/>
    <col min="5" max="5" width="11.28515625" bestFit="1" customWidth="1"/>
    <col min="6" max="6" width="1.85546875" customWidth="1"/>
    <col min="7" max="7" width="11.28515625" bestFit="1" customWidth="1"/>
    <col min="8" max="8" width="12.7109375" bestFit="1" customWidth="1"/>
    <col min="9" max="9" width="16" bestFit="1" customWidth="1"/>
    <col min="10" max="10" width="2.28515625" customWidth="1"/>
    <col min="11" max="11" width="9.42578125" bestFit="1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8</v>
      </c>
      <c r="F1" s="1"/>
      <c r="G1" s="1" t="s">
        <v>8</v>
      </c>
      <c r="H1" s="1" t="s">
        <v>9</v>
      </c>
      <c r="I1" s="1" t="s">
        <v>10</v>
      </c>
      <c r="K1" s="1" t="s">
        <v>14</v>
      </c>
      <c r="L1" s="1" t="s">
        <v>0</v>
      </c>
      <c r="M1" s="1" t="s">
        <v>1</v>
      </c>
      <c r="N1" s="1" t="s">
        <v>12</v>
      </c>
      <c r="O1" s="1" t="s">
        <v>13</v>
      </c>
      <c r="P1" s="1" t="s">
        <v>17</v>
      </c>
      <c r="Q1" s="1" t="s">
        <v>18</v>
      </c>
    </row>
    <row r="2" spans="1:17" x14ac:dyDescent="0.25">
      <c r="A2">
        <v>0</v>
      </c>
      <c r="B2">
        <f>A2*9.81</f>
        <v>0</v>
      </c>
      <c r="C2" s="2">
        <v>1.8E-3</v>
      </c>
      <c r="D2">
        <v>0.71</v>
      </c>
      <c r="E2" s="3">
        <v>1.1000000000000001</v>
      </c>
      <c r="F2" s="1"/>
      <c r="G2">
        <v>0</v>
      </c>
      <c r="H2">
        <f>FORECAST(G2,$B$2:$B$6,$E$2:$E$6)</f>
        <v>-201.16142753282304</v>
      </c>
      <c r="I2">
        <f>H2*$E$19</f>
        <v>-34.197442680579918</v>
      </c>
      <c r="K2">
        <v>0</v>
      </c>
      <c r="L2">
        <f>K2*9.81</f>
        <v>0</v>
      </c>
      <c r="M2" s="2">
        <v>1.8E-3</v>
      </c>
      <c r="N2">
        <v>0.71</v>
      </c>
      <c r="O2" s="3">
        <f>M2*$B$23</f>
        <v>0.77495744680851053</v>
      </c>
      <c r="P2" s="3">
        <f>O2-N2</f>
        <v>6.4957446808510566E-2</v>
      </c>
      <c r="Q2" s="4">
        <f>(O2-N2)/O2</f>
        <v>8.3820662768031101E-2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0.96</v>
      </c>
      <c r="E3">
        <v>1.45</v>
      </c>
      <c r="G3">
        <v>0.1</v>
      </c>
      <c r="H3">
        <f t="shared" ref="H3:H52" si="0">FORECAST(G3,$B$2:$B$6,$E$2:$E$6)</f>
        <v>-182.86443292135317</v>
      </c>
      <c r="I3">
        <f t="shared" ref="I3:I52" si="1">H3*$E$19</f>
        <v>-31.086953596630043</v>
      </c>
      <c r="K3">
        <v>6.6</v>
      </c>
      <c r="L3">
        <f>K3*9.81</f>
        <v>64.745999999999995</v>
      </c>
      <c r="M3" s="2">
        <v>2.3E-3</v>
      </c>
      <c r="N3">
        <v>0.96</v>
      </c>
      <c r="O3" s="3">
        <f>M3*$B$23</f>
        <v>0.99022340425531907</v>
      </c>
      <c r="P3" s="3">
        <f>O3-N3</f>
        <v>3.0223404255319108E-2</v>
      </c>
      <c r="Q3" s="4">
        <f>(O3-N3)/O3</f>
        <v>3.0521803590421209E-2</v>
      </c>
    </row>
    <row r="4" spans="1:17" x14ac:dyDescent="0.25">
      <c r="A4">
        <v>10.5</v>
      </c>
      <c r="B4">
        <f>A4*9.81</f>
        <v>103.00500000000001</v>
      </c>
      <c r="C4" s="2">
        <v>2.5999999999999999E-3</v>
      </c>
      <c r="D4">
        <v>1.1100000000000001</v>
      </c>
      <c r="E4">
        <v>1.66</v>
      </c>
      <c r="G4">
        <v>0.2</v>
      </c>
      <c r="H4">
        <f t="shared" si="0"/>
        <v>-164.5674383098833</v>
      </c>
      <c r="I4">
        <f t="shared" si="1"/>
        <v>-27.976464512680163</v>
      </c>
      <c r="K4">
        <v>10.5</v>
      </c>
      <c r="L4">
        <f>K4*9.81</f>
        <v>103.00500000000001</v>
      </c>
      <c r="M4" s="2">
        <v>2.5999999999999999E-3</v>
      </c>
      <c r="N4">
        <v>1.1100000000000001</v>
      </c>
      <c r="O4" s="3">
        <f t="shared" ref="O4:O5" si="2">M4*$B$23</f>
        <v>1.1193829787234042</v>
      </c>
      <c r="P4" s="3">
        <f t="shared" ref="P4:P5" si="3">O4-N4</f>
        <v>9.3829787234041007E-3</v>
      </c>
      <c r="Q4" s="4">
        <f>(O4-N4)/O4</f>
        <v>8.3822774704908239E-3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1.34</v>
      </c>
      <c r="E5">
        <v>2.04</v>
      </c>
      <c r="G5">
        <v>0.3</v>
      </c>
      <c r="H5">
        <f t="shared" si="0"/>
        <v>-146.27044369841343</v>
      </c>
      <c r="I5">
        <f t="shared" si="1"/>
        <v>-24.865975428730284</v>
      </c>
      <c r="K5">
        <v>17.3</v>
      </c>
      <c r="L5">
        <f>K5*9.81</f>
        <v>169.71300000000002</v>
      </c>
      <c r="M5" s="2">
        <v>3.2000000000000002E-3</v>
      </c>
      <c r="N5">
        <v>1.34</v>
      </c>
      <c r="O5" s="3">
        <f t="shared" si="2"/>
        <v>1.3777021276595744</v>
      </c>
      <c r="P5" s="3">
        <f t="shared" si="3"/>
        <v>3.7702127659574369E-2</v>
      </c>
      <c r="Q5" s="4">
        <f>(O5-N5)/O5</f>
        <v>2.7365950086483744E-2</v>
      </c>
    </row>
    <row r="6" spans="1:17" x14ac:dyDescent="0.25">
      <c r="A6">
        <f>A5+5.8</f>
        <v>23.1</v>
      </c>
      <c r="B6">
        <f>A6*9.81</f>
        <v>226.61100000000002</v>
      </c>
      <c r="C6" s="2">
        <v>3.7000000000000002E-3</v>
      </c>
      <c r="D6">
        <v>1.56</v>
      </c>
      <c r="E6">
        <v>2.33</v>
      </c>
      <c r="G6">
        <v>0.4</v>
      </c>
      <c r="H6">
        <f t="shared" si="0"/>
        <v>-127.97344908694353</v>
      </c>
      <c r="I6">
        <f t="shared" si="1"/>
        <v>-21.755486344780401</v>
      </c>
      <c r="K6">
        <f>K5+5.8</f>
        <v>23.1</v>
      </c>
      <c r="L6">
        <f>K6*9.81</f>
        <v>226.61100000000002</v>
      </c>
      <c r="M6" s="2">
        <v>3.7000000000000002E-3</v>
      </c>
      <c r="N6">
        <v>1.56</v>
      </c>
      <c r="O6" s="3">
        <f t="shared" ref="O6" si="4">M6*$B$23</f>
        <v>1.592968085106383</v>
      </c>
      <c r="P6" s="3">
        <f t="shared" ref="P6" si="5">O6-N6</f>
        <v>3.2968085106382938E-2</v>
      </c>
      <c r="Q6" s="4">
        <f>(O6-N6)/O6</f>
        <v>2.0696011059243059E-2</v>
      </c>
    </row>
    <row r="7" spans="1:17" x14ac:dyDescent="0.25">
      <c r="G7">
        <v>0.5</v>
      </c>
      <c r="H7">
        <f t="shared" si="0"/>
        <v>-109.67645447547366</v>
      </c>
      <c r="I7">
        <f t="shared" si="1"/>
        <v>-18.644997260830525</v>
      </c>
      <c r="M7" s="2"/>
      <c r="O7" s="6" t="s">
        <v>20</v>
      </c>
      <c r="P7" s="5">
        <f>AVERAGE(P2:P6)</f>
        <v>3.5046808510638218E-2</v>
      </c>
      <c r="Q7" s="4"/>
    </row>
    <row r="8" spans="1:17" x14ac:dyDescent="0.25">
      <c r="G8">
        <v>0.6</v>
      </c>
      <c r="H8">
        <f t="shared" si="0"/>
        <v>-91.379459864003792</v>
      </c>
      <c r="I8">
        <f t="shared" si="1"/>
        <v>-15.534508176880646</v>
      </c>
      <c r="O8" s="1" t="s">
        <v>21</v>
      </c>
      <c r="P8" s="5">
        <f>_xlfn.STDEV.S(P2:P6)</f>
        <v>1.992432860925689E-2</v>
      </c>
    </row>
    <row r="9" spans="1:17" x14ac:dyDescent="0.25">
      <c r="G9">
        <v>0.7</v>
      </c>
      <c r="H9">
        <f t="shared" si="0"/>
        <v>-73.082465252533922</v>
      </c>
      <c r="I9">
        <f t="shared" si="1"/>
        <v>-12.424019092930768</v>
      </c>
    </row>
    <row r="10" spans="1:17" x14ac:dyDescent="0.25">
      <c r="G10">
        <v>0.8</v>
      </c>
      <c r="H10">
        <f t="shared" si="0"/>
        <v>-54.785470641064023</v>
      </c>
      <c r="I10">
        <f t="shared" si="1"/>
        <v>-9.3135300089808855</v>
      </c>
      <c r="K10" s="1" t="s">
        <v>14</v>
      </c>
      <c r="L10" s="1" t="s">
        <v>0</v>
      </c>
      <c r="M10" s="1" t="s">
        <v>1</v>
      </c>
      <c r="N10" s="1" t="s">
        <v>12</v>
      </c>
      <c r="O10" s="1" t="s">
        <v>19</v>
      </c>
      <c r="P10" s="1" t="s">
        <v>17</v>
      </c>
      <c r="Q10" s="1" t="s">
        <v>18</v>
      </c>
    </row>
    <row r="11" spans="1:17" x14ac:dyDescent="0.25">
      <c r="G11">
        <v>0.9</v>
      </c>
      <c r="H11">
        <f t="shared" si="0"/>
        <v>-36.488476029594153</v>
      </c>
      <c r="I11">
        <f t="shared" si="1"/>
        <v>-6.2030409250310061</v>
      </c>
      <c r="K11">
        <v>0</v>
      </c>
      <c r="L11">
        <f>K11*9.81</f>
        <v>0</v>
      </c>
      <c r="M11" s="2">
        <v>1.8E-3</v>
      </c>
      <c r="N11">
        <v>0.71</v>
      </c>
      <c r="O11" s="3">
        <v>1.1000000000000001</v>
      </c>
      <c r="P11" s="3">
        <f>O11-N11</f>
        <v>0.39000000000000012</v>
      </c>
      <c r="Q11" s="4">
        <f>(O11-N11)/O11</f>
        <v>0.35454545454545461</v>
      </c>
    </row>
    <row r="12" spans="1:17" x14ac:dyDescent="0.25">
      <c r="G12">
        <v>1</v>
      </c>
      <c r="H12">
        <f t="shared" si="0"/>
        <v>-18.191481418124283</v>
      </c>
      <c r="I12">
        <f t="shared" si="1"/>
        <v>-3.0925518410811286</v>
      </c>
      <c r="K12">
        <v>6.6</v>
      </c>
      <c r="L12">
        <f>K12*9.81</f>
        <v>64.745999999999995</v>
      </c>
      <c r="M12" s="2">
        <v>2.3E-3</v>
      </c>
      <c r="N12">
        <v>0.96</v>
      </c>
      <c r="O12">
        <v>1.45</v>
      </c>
      <c r="P12" s="3">
        <f t="shared" ref="P12:P14" si="6">O12-N12</f>
        <v>0.49</v>
      </c>
      <c r="Q12" s="4">
        <f>(O12-N12)/O12</f>
        <v>0.33793103448275863</v>
      </c>
    </row>
    <row r="13" spans="1:17" x14ac:dyDescent="0.25">
      <c r="G13">
        <v>1.1000000000000001</v>
      </c>
      <c r="H13">
        <f t="shared" si="0"/>
        <v>0.10551319334561526</v>
      </c>
      <c r="I13">
        <f t="shared" si="1"/>
        <v>1.7937242868754595E-2</v>
      </c>
      <c r="K13">
        <v>10.5</v>
      </c>
      <c r="L13">
        <f>K13*9.81</f>
        <v>103.00500000000001</v>
      </c>
      <c r="M13" s="2">
        <v>2.5999999999999999E-3</v>
      </c>
      <c r="N13">
        <v>1.1100000000000001</v>
      </c>
      <c r="O13">
        <v>1.66</v>
      </c>
      <c r="P13" s="3">
        <f t="shared" si="6"/>
        <v>0.54999999999999982</v>
      </c>
      <c r="Q13" s="4">
        <f>(O13-N13)/O13</f>
        <v>0.33132530120481918</v>
      </c>
    </row>
    <row r="14" spans="1:17" x14ac:dyDescent="0.25">
      <c r="G14">
        <v>1.2</v>
      </c>
      <c r="H14">
        <f t="shared" si="0"/>
        <v>18.402507804815457</v>
      </c>
      <c r="I14">
        <f t="shared" si="1"/>
        <v>3.1284263268186279</v>
      </c>
      <c r="K14">
        <v>17.3</v>
      </c>
      <c r="L14">
        <f>K14*9.81</f>
        <v>169.71300000000002</v>
      </c>
      <c r="M14" s="2">
        <v>3.2000000000000002E-3</v>
      </c>
      <c r="N14">
        <v>1.34</v>
      </c>
      <c r="O14">
        <v>2.04</v>
      </c>
      <c r="P14" s="3">
        <f t="shared" si="6"/>
        <v>0.7</v>
      </c>
      <c r="Q14" s="4">
        <f>(O14-N14)/O14</f>
        <v>0.34313725490196073</v>
      </c>
    </row>
    <row r="15" spans="1:17" x14ac:dyDescent="0.25">
      <c r="G15">
        <v>1.3</v>
      </c>
      <c r="H15">
        <f t="shared" si="0"/>
        <v>36.699502416285355</v>
      </c>
      <c r="I15">
        <f t="shared" si="1"/>
        <v>6.2389154107685112</v>
      </c>
      <c r="K15">
        <f>K14+5.8</f>
        <v>23.1</v>
      </c>
      <c r="L15">
        <f>K15*9.81</f>
        <v>226.61100000000002</v>
      </c>
      <c r="M15" s="2">
        <v>3.7000000000000002E-3</v>
      </c>
      <c r="N15">
        <v>1.56</v>
      </c>
      <c r="O15">
        <v>2.33</v>
      </c>
      <c r="P15" s="3">
        <f t="shared" ref="P15" si="7">O15-N15</f>
        <v>0.77</v>
      </c>
      <c r="Q15" s="4">
        <f>(O15-N15)/O15</f>
        <v>0.33047210300429186</v>
      </c>
    </row>
    <row r="16" spans="1:17" x14ac:dyDescent="0.25">
      <c r="G16">
        <v>1.4</v>
      </c>
      <c r="H16">
        <f t="shared" si="0"/>
        <v>54.996497027755197</v>
      </c>
      <c r="I16">
        <f t="shared" si="1"/>
        <v>9.3494044947183834</v>
      </c>
      <c r="O16" s="6" t="s">
        <v>20</v>
      </c>
      <c r="P16" s="5">
        <f>AVERAGE(P11:P15)</f>
        <v>0.57999999999999996</v>
      </c>
    </row>
    <row r="17" spans="1:16" x14ac:dyDescent="0.25">
      <c r="G17">
        <v>1.5</v>
      </c>
      <c r="H17">
        <f t="shared" si="0"/>
        <v>73.293491639225067</v>
      </c>
      <c r="I17">
        <f t="shared" si="1"/>
        <v>12.459893578668263</v>
      </c>
      <c r="O17" s="1" t="s">
        <v>21</v>
      </c>
      <c r="P17" s="5">
        <f>_xlfn.STDEV.S(P11:P15)</f>
        <v>0.15459624833740299</v>
      </c>
    </row>
    <row r="18" spans="1:16" x14ac:dyDescent="0.25">
      <c r="G18">
        <v>1.6</v>
      </c>
      <c r="H18">
        <f t="shared" si="0"/>
        <v>91.590486250694994</v>
      </c>
      <c r="I18">
        <f t="shared" si="1"/>
        <v>15.570382662618151</v>
      </c>
    </row>
    <row r="19" spans="1:16" x14ac:dyDescent="0.25">
      <c r="A19" s="1" t="s">
        <v>5</v>
      </c>
      <c r="B19" s="3">
        <f>SLOPE(B2:B6,E2:E6)</f>
        <v>182.96994611469876</v>
      </c>
      <c r="D19" s="1" t="s">
        <v>11</v>
      </c>
      <c r="E19">
        <f>0.17</f>
        <v>0.17</v>
      </c>
      <c r="G19">
        <v>1.7</v>
      </c>
      <c r="H19">
        <f t="shared" si="0"/>
        <v>109.88748086216486</v>
      </c>
      <c r="I19">
        <f t="shared" si="1"/>
        <v>18.680871746568027</v>
      </c>
    </row>
    <row r="20" spans="1:16" x14ac:dyDescent="0.25">
      <c r="A20" s="1" t="s">
        <v>6</v>
      </c>
      <c r="B20" s="3">
        <f>INTERCEPT(B2:B6,E2:E6)</f>
        <v>-201.16142753282304</v>
      </c>
      <c r="G20">
        <v>1.8</v>
      </c>
      <c r="H20">
        <f t="shared" si="0"/>
        <v>128.18447547363473</v>
      </c>
      <c r="I20">
        <f t="shared" si="1"/>
        <v>21.791360830517906</v>
      </c>
    </row>
    <row r="21" spans="1:16" x14ac:dyDescent="0.25">
      <c r="A21" s="1" t="s">
        <v>7</v>
      </c>
      <c r="B21" s="4">
        <f>RSQ(B2:B6,E2:E6)</f>
        <v>0.9997331809044997</v>
      </c>
      <c r="G21">
        <v>1.9</v>
      </c>
      <c r="H21">
        <f t="shared" si="0"/>
        <v>146.4814700851046</v>
      </c>
      <c r="I21">
        <f t="shared" si="1"/>
        <v>24.901849914467785</v>
      </c>
    </row>
    <row r="22" spans="1:16" x14ac:dyDescent="0.25">
      <c r="A22" s="1" t="s">
        <v>3</v>
      </c>
      <c r="B22">
        <v>470</v>
      </c>
      <c r="G22">
        <v>2</v>
      </c>
      <c r="H22">
        <f t="shared" si="0"/>
        <v>164.77846469657447</v>
      </c>
      <c r="I22">
        <f t="shared" si="1"/>
        <v>28.012338998417661</v>
      </c>
    </row>
    <row r="23" spans="1:16" x14ac:dyDescent="0.25">
      <c r="A23" s="1" t="s">
        <v>4</v>
      </c>
      <c r="B23" s="3">
        <f>5+200000/B22</f>
        <v>430.531914893617</v>
      </c>
      <c r="G23">
        <v>2.1</v>
      </c>
      <c r="H23">
        <f t="shared" si="0"/>
        <v>183.07545930804434</v>
      </c>
      <c r="I23">
        <f t="shared" si="1"/>
        <v>31.122828082367541</v>
      </c>
    </row>
    <row r="24" spans="1:16" x14ac:dyDescent="0.25">
      <c r="G24">
        <v>2.2000000000000002</v>
      </c>
      <c r="H24">
        <f t="shared" si="0"/>
        <v>201.37245391951427</v>
      </c>
      <c r="I24">
        <f t="shared" si="1"/>
        <v>34.233317166317427</v>
      </c>
    </row>
    <row r="25" spans="1:16" x14ac:dyDescent="0.25">
      <c r="G25">
        <v>2.2999999999999998</v>
      </c>
      <c r="H25">
        <f t="shared" si="0"/>
        <v>219.66944853098408</v>
      </c>
      <c r="I25">
        <f t="shared" si="1"/>
        <v>37.343806250267299</v>
      </c>
    </row>
    <row r="26" spans="1:16" x14ac:dyDescent="0.25">
      <c r="G26">
        <v>2.4</v>
      </c>
      <c r="H26">
        <f t="shared" si="0"/>
        <v>237.96644314245395</v>
      </c>
      <c r="I26">
        <f t="shared" si="1"/>
        <v>40.454295334217178</v>
      </c>
    </row>
    <row r="27" spans="1:16" x14ac:dyDescent="0.25">
      <c r="G27">
        <v>2.5</v>
      </c>
      <c r="H27">
        <f t="shared" si="0"/>
        <v>256.26343775392388</v>
      </c>
      <c r="I27">
        <f t="shared" si="1"/>
        <v>43.564784418167065</v>
      </c>
    </row>
    <row r="28" spans="1:16" x14ac:dyDescent="0.25">
      <c r="G28">
        <v>2.6</v>
      </c>
      <c r="H28">
        <f t="shared" si="0"/>
        <v>274.56043236539375</v>
      </c>
      <c r="I28">
        <f t="shared" si="1"/>
        <v>46.675273502116944</v>
      </c>
    </row>
    <row r="29" spans="1:16" x14ac:dyDescent="0.25">
      <c r="G29">
        <v>2.7</v>
      </c>
      <c r="H29">
        <f t="shared" si="0"/>
        <v>292.85742697686362</v>
      </c>
      <c r="I29">
        <f t="shared" si="1"/>
        <v>49.785762586066816</v>
      </c>
    </row>
    <row r="30" spans="1:16" x14ac:dyDescent="0.25">
      <c r="G30">
        <v>2.8</v>
      </c>
      <c r="H30">
        <f t="shared" si="0"/>
        <v>311.15442158833343</v>
      </c>
      <c r="I30">
        <f t="shared" si="1"/>
        <v>52.896251670016689</v>
      </c>
    </row>
    <row r="31" spans="1:16" x14ac:dyDescent="0.25">
      <c r="G31">
        <v>2.9</v>
      </c>
      <c r="H31">
        <f t="shared" si="0"/>
        <v>329.45141619980336</v>
      </c>
      <c r="I31">
        <f t="shared" si="1"/>
        <v>56.006740753966575</v>
      </c>
    </row>
    <row r="32" spans="1:16" x14ac:dyDescent="0.25">
      <c r="G32">
        <v>3</v>
      </c>
      <c r="H32">
        <f t="shared" si="0"/>
        <v>347.74841081127317</v>
      </c>
      <c r="I32">
        <f t="shared" si="1"/>
        <v>59.117229837916447</v>
      </c>
    </row>
    <row r="33" spans="7:9" x14ac:dyDescent="0.25">
      <c r="G33">
        <v>3.1</v>
      </c>
      <c r="H33">
        <f t="shared" si="0"/>
        <v>366.0454054227431</v>
      </c>
      <c r="I33">
        <f t="shared" si="1"/>
        <v>62.227718921866334</v>
      </c>
    </row>
    <row r="34" spans="7:9" x14ac:dyDescent="0.25">
      <c r="G34">
        <v>3.2</v>
      </c>
      <c r="H34">
        <f t="shared" si="0"/>
        <v>384.34240003421303</v>
      </c>
      <c r="I34">
        <f t="shared" si="1"/>
        <v>65.338208005816213</v>
      </c>
    </row>
    <row r="35" spans="7:9" x14ac:dyDescent="0.25">
      <c r="G35">
        <v>3.3</v>
      </c>
      <c r="H35">
        <f t="shared" si="0"/>
        <v>402.63939464568284</v>
      </c>
      <c r="I35">
        <f t="shared" si="1"/>
        <v>68.448697089766085</v>
      </c>
    </row>
    <row r="36" spans="7:9" x14ac:dyDescent="0.25">
      <c r="G36">
        <v>3.4</v>
      </c>
      <c r="H36">
        <f t="shared" si="0"/>
        <v>420.93638925715277</v>
      </c>
      <c r="I36">
        <f t="shared" si="1"/>
        <v>71.559186173715972</v>
      </c>
    </row>
    <row r="37" spans="7:9" x14ac:dyDescent="0.25">
      <c r="G37">
        <v>3.5</v>
      </c>
      <c r="H37">
        <f t="shared" si="0"/>
        <v>439.23338386862258</v>
      </c>
      <c r="I37">
        <f t="shared" si="1"/>
        <v>74.669675257665844</v>
      </c>
    </row>
    <row r="38" spans="7:9" x14ac:dyDescent="0.25">
      <c r="G38">
        <v>3.6</v>
      </c>
      <c r="H38">
        <f t="shared" si="0"/>
        <v>457.53037848009251</v>
      </c>
      <c r="I38">
        <f t="shared" si="1"/>
        <v>77.78016434161573</v>
      </c>
    </row>
    <row r="39" spans="7:9" x14ac:dyDescent="0.25">
      <c r="G39">
        <v>3.7</v>
      </c>
      <c r="H39">
        <f t="shared" si="0"/>
        <v>475.82737309156244</v>
      </c>
      <c r="I39">
        <f t="shared" si="1"/>
        <v>80.890653425565617</v>
      </c>
    </row>
    <row r="40" spans="7:9" x14ac:dyDescent="0.25">
      <c r="G40">
        <v>3.8</v>
      </c>
      <c r="H40">
        <f t="shared" si="0"/>
        <v>494.12436770303225</v>
      </c>
      <c r="I40">
        <f t="shared" si="1"/>
        <v>84.001142509515489</v>
      </c>
    </row>
    <row r="41" spans="7:9" x14ac:dyDescent="0.25">
      <c r="G41">
        <v>3.9</v>
      </c>
      <c r="H41">
        <f t="shared" si="0"/>
        <v>512.42136231450206</v>
      </c>
      <c r="I41">
        <f t="shared" si="1"/>
        <v>87.111631593465361</v>
      </c>
    </row>
    <row r="42" spans="7:9" x14ac:dyDescent="0.25">
      <c r="G42">
        <v>4</v>
      </c>
      <c r="H42">
        <f t="shared" si="0"/>
        <v>530.71835692597199</v>
      </c>
      <c r="I42">
        <f t="shared" si="1"/>
        <v>90.222120677415248</v>
      </c>
    </row>
    <row r="43" spans="7:9" x14ac:dyDescent="0.25">
      <c r="G43">
        <v>4.0999999999999996</v>
      </c>
      <c r="H43">
        <f t="shared" si="0"/>
        <v>549.0153515374418</v>
      </c>
      <c r="I43">
        <f t="shared" si="1"/>
        <v>93.33260976136512</v>
      </c>
    </row>
    <row r="44" spans="7:9" x14ac:dyDescent="0.25">
      <c r="G44">
        <v>4.2</v>
      </c>
      <c r="H44">
        <f t="shared" si="0"/>
        <v>567.31234614891173</v>
      </c>
      <c r="I44">
        <f t="shared" si="1"/>
        <v>96.443098845315006</v>
      </c>
    </row>
    <row r="45" spans="7:9" x14ac:dyDescent="0.25">
      <c r="G45">
        <v>4.3</v>
      </c>
      <c r="H45">
        <f t="shared" si="0"/>
        <v>585.60934076038154</v>
      </c>
      <c r="I45">
        <f t="shared" si="1"/>
        <v>99.553587929264864</v>
      </c>
    </row>
    <row r="46" spans="7:9" x14ac:dyDescent="0.25">
      <c r="G46">
        <v>4.4000000000000004</v>
      </c>
      <c r="H46">
        <f t="shared" si="0"/>
        <v>603.90633537185158</v>
      </c>
      <c r="I46">
        <f t="shared" si="1"/>
        <v>102.66407701321478</v>
      </c>
    </row>
    <row r="47" spans="7:9" x14ac:dyDescent="0.25">
      <c r="G47">
        <v>4.5</v>
      </c>
      <c r="H47">
        <f t="shared" si="0"/>
        <v>622.2033299833214</v>
      </c>
      <c r="I47">
        <f t="shared" si="1"/>
        <v>105.77456609716465</v>
      </c>
    </row>
    <row r="48" spans="7:9" x14ac:dyDescent="0.25">
      <c r="G48">
        <v>4.5999999999999996</v>
      </c>
      <c r="H48">
        <f t="shared" si="0"/>
        <v>640.50032459479121</v>
      </c>
      <c r="I48">
        <f t="shared" si="1"/>
        <v>108.88505518111451</v>
      </c>
    </row>
    <row r="49" spans="7:9" x14ac:dyDescent="0.25">
      <c r="G49">
        <v>4.7</v>
      </c>
      <c r="H49">
        <f t="shared" si="0"/>
        <v>658.79731920626114</v>
      </c>
      <c r="I49">
        <f t="shared" si="1"/>
        <v>111.9955442650644</v>
      </c>
    </row>
    <row r="50" spans="7:9" x14ac:dyDescent="0.25">
      <c r="G50">
        <v>4.8</v>
      </c>
      <c r="H50">
        <f t="shared" si="0"/>
        <v>677.09431381773095</v>
      </c>
      <c r="I50">
        <f t="shared" si="1"/>
        <v>115.10603334901427</v>
      </c>
    </row>
    <row r="51" spans="7:9" x14ac:dyDescent="0.25">
      <c r="G51">
        <v>4.9000000000000004</v>
      </c>
      <c r="H51">
        <f t="shared" si="0"/>
        <v>695.39130842920099</v>
      </c>
      <c r="I51">
        <f t="shared" si="1"/>
        <v>118.21652243296418</v>
      </c>
    </row>
    <row r="52" spans="7:9" x14ac:dyDescent="0.25">
      <c r="G52">
        <v>5</v>
      </c>
      <c r="H52">
        <f t="shared" si="0"/>
        <v>713.6883030406708</v>
      </c>
      <c r="I52">
        <f t="shared" si="1"/>
        <v>121.32701151691404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K21" sqref="K21"/>
    </sheetView>
  </sheetViews>
  <sheetFormatPr defaultRowHeight="15" x14ac:dyDescent="0.25"/>
  <cols>
    <col min="1" max="1" width="9.5703125" bestFit="1" customWidth="1"/>
    <col min="2" max="2" width="9.140625" bestFit="1" customWidth="1"/>
    <col min="3" max="3" width="16.140625" bestFit="1" customWidth="1"/>
    <col min="4" max="4" width="16.28515625" bestFit="1" customWidth="1"/>
    <col min="5" max="5" width="11.28515625" bestFit="1" customWidth="1"/>
    <col min="6" max="6" width="2.85546875" customWidth="1"/>
    <col min="7" max="7" width="11.28515625" bestFit="1" customWidth="1"/>
    <col min="8" max="8" width="12.7109375" bestFit="1" customWidth="1"/>
    <col min="9" max="9" width="16" bestFit="1" customWidth="1"/>
    <col min="10" max="10" width="4.28515625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8</v>
      </c>
      <c r="G1" s="1" t="s">
        <v>8</v>
      </c>
      <c r="H1" s="1" t="s">
        <v>9</v>
      </c>
      <c r="I1" s="1" t="s">
        <v>10</v>
      </c>
      <c r="K1" s="1" t="s">
        <v>14</v>
      </c>
      <c r="L1" s="1" t="s">
        <v>0</v>
      </c>
      <c r="M1" s="1" t="s">
        <v>1</v>
      </c>
      <c r="N1" s="1" t="s">
        <v>12</v>
      </c>
      <c r="O1" s="1" t="s">
        <v>13</v>
      </c>
      <c r="P1" s="1" t="s">
        <v>17</v>
      </c>
      <c r="Q1" s="1" t="s">
        <v>18</v>
      </c>
    </row>
    <row r="2" spans="1:17" x14ac:dyDescent="0.25">
      <c r="A2">
        <v>0</v>
      </c>
      <c r="B2">
        <f>A2*9.81</f>
        <v>0</v>
      </c>
      <c r="C2" s="2">
        <v>1.8E-3</v>
      </c>
      <c r="D2">
        <v>0.44</v>
      </c>
      <c r="E2" s="3">
        <v>0.65</v>
      </c>
      <c r="G2">
        <v>0</v>
      </c>
      <c r="H2">
        <f t="shared" ref="H2:H33" si="0">$B$19*G2+$B$20</f>
        <v>-187.2643051359517</v>
      </c>
      <c r="I2">
        <f t="shared" ref="I2:I33" si="1">H2*$D$19</f>
        <v>-31.834931873111792</v>
      </c>
      <c r="K2">
        <v>0</v>
      </c>
      <c r="L2">
        <f>K2*9.81</f>
        <v>0</v>
      </c>
      <c r="M2" s="2">
        <v>1.8E-3</v>
      </c>
      <c r="N2">
        <v>0.44</v>
      </c>
      <c r="O2" s="3">
        <f>M2*$B$23</f>
        <v>0.48900000000000005</v>
      </c>
      <c r="P2" s="3">
        <f>O2-N2</f>
        <v>4.9000000000000044E-2</v>
      </c>
      <c r="Q2" s="4">
        <f>(O2-N2)/O2</f>
        <v>0.10020449897750519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0.57999999999999996</v>
      </c>
      <c r="E3">
        <v>0.86</v>
      </c>
      <c r="G3">
        <v>0.1</v>
      </c>
      <c r="H3">
        <f t="shared" si="0"/>
        <v>-158.25416918429005</v>
      </c>
      <c r="I3">
        <f t="shared" si="1"/>
        <v>-26.90320876132931</v>
      </c>
      <c r="K3">
        <v>6.6</v>
      </c>
      <c r="L3">
        <f>K3*9.81</f>
        <v>64.745999999999995</v>
      </c>
      <c r="M3" s="2">
        <v>2.3E-3</v>
      </c>
      <c r="N3">
        <v>0.57999999999999996</v>
      </c>
      <c r="O3" s="3">
        <f>M3*$B$23</f>
        <v>0.62483333333333335</v>
      </c>
      <c r="P3" s="3">
        <f t="shared" ref="P3:P5" si="2">O3-N3</f>
        <v>4.4833333333333392E-2</v>
      </c>
      <c r="Q3" s="4">
        <f>(O3-N3)/O3</f>
        <v>7.1752467324619984E-2</v>
      </c>
    </row>
    <row r="4" spans="1:17" x14ac:dyDescent="0.25">
      <c r="A4">
        <v>13.3</v>
      </c>
      <c r="B4">
        <f>A4*9.81</f>
        <v>130.47300000000001</v>
      </c>
      <c r="C4" s="2">
        <v>2.8E-3</v>
      </c>
      <c r="D4">
        <v>0.73</v>
      </c>
      <c r="E4">
        <v>1.1000000000000001</v>
      </c>
      <c r="G4">
        <v>0.2</v>
      </c>
      <c r="H4">
        <f t="shared" si="0"/>
        <v>-129.24403323262842</v>
      </c>
      <c r="I4">
        <f t="shared" si="1"/>
        <v>-21.971485649546835</v>
      </c>
      <c r="K4">
        <v>13.3</v>
      </c>
      <c r="L4">
        <f>K4*9.81</f>
        <v>130.47300000000001</v>
      </c>
      <c r="M4" s="2">
        <v>2.8E-3</v>
      </c>
      <c r="N4">
        <v>0.73</v>
      </c>
      <c r="O4" s="3">
        <f>M4*$B$23</f>
        <v>0.76066666666666671</v>
      </c>
      <c r="P4" s="3">
        <f t="shared" si="2"/>
        <v>3.0666666666666731E-2</v>
      </c>
      <c r="Q4" s="4">
        <f>(O4-N4)/O4</f>
        <v>4.0315512708150827E-2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0.82</v>
      </c>
      <c r="E5">
        <v>1.23</v>
      </c>
      <c r="G5">
        <v>0.3</v>
      </c>
      <c r="H5">
        <f t="shared" si="0"/>
        <v>-100.2338972809668</v>
      </c>
      <c r="I5">
        <f t="shared" si="1"/>
        <v>-17.039762537764357</v>
      </c>
      <c r="K5">
        <v>17.3</v>
      </c>
      <c r="L5">
        <f>K5*9.81</f>
        <v>169.71300000000002</v>
      </c>
      <c r="M5" s="2">
        <v>3.2000000000000002E-3</v>
      </c>
      <c r="N5">
        <v>0.82</v>
      </c>
      <c r="O5" s="3">
        <f>M5*$B$23</f>
        <v>0.8693333333333334</v>
      </c>
      <c r="P5" s="3">
        <f t="shared" si="2"/>
        <v>4.9333333333333451E-2</v>
      </c>
      <c r="Q5" s="4">
        <f>(O5-N5)/O5</f>
        <v>5.6748466257668842E-2</v>
      </c>
    </row>
    <row r="6" spans="1:17" x14ac:dyDescent="0.25">
      <c r="C6" s="2"/>
      <c r="G6">
        <v>0.4</v>
      </c>
      <c r="H6">
        <f t="shared" si="0"/>
        <v>-71.223761329305148</v>
      </c>
      <c r="I6">
        <f t="shared" si="1"/>
        <v>-12.108039425981875</v>
      </c>
      <c r="M6" s="2"/>
      <c r="O6" s="6" t="s">
        <v>20</v>
      </c>
      <c r="P6" s="5">
        <f>AVERAGE(P2:P5)</f>
        <v>4.3458333333333404E-2</v>
      </c>
      <c r="Q6" s="4"/>
    </row>
    <row r="7" spans="1:17" x14ac:dyDescent="0.25">
      <c r="G7">
        <v>0.5</v>
      </c>
      <c r="H7">
        <f t="shared" si="0"/>
        <v>-42.213625377643524</v>
      </c>
      <c r="I7">
        <f t="shared" si="1"/>
        <v>-7.1763163141993997</v>
      </c>
      <c r="O7" s="1" t="s">
        <v>21</v>
      </c>
      <c r="P7" s="5">
        <f>_xlfn.STDEV.S(P2:P5)</f>
        <v>8.7700827733751766E-3</v>
      </c>
    </row>
    <row r="8" spans="1:17" x14ac:dyDescent="0.25">
      <c r="G8">
        <v>0.6</v>
      </c>
      <c r="H8">
        <f t="shared" si="0"/>
        <v>-13.2034894259819</v>
      </c>
      <c r="I8">
        <f t="shared" si="1"/>
        <v>-2.2445932024169233</v>
      </c>
    </row>
    <row r="9" spans="1:17" x14ac:dyDescent="0.25">
      <c r="G9">
        <v>0.7</v>
      </c>
      <c r="H9">
        <f t="shared" si="0"/>
        <v>15.806646525679724</v>
      </c>
      <c r="I9">
        <f t="shared" si="1"/>
        <v>2.6871299093655532</v>
      </c>
      <c r="K9" s="1" t="s">
        <v>14</v>
      </c>
      <c r="L9" s="1" t="s">
        <v>0</v>
      </c>
      <c r="M9" s="1" t="s">
        <v>1</v>
      </c>
      <c r="N9" s="1" t="s">
        <v>12</v>
      </c>
      <c r="O9" s="1" t="s">
        <v>19</v>
      </c>
      <c r="P9" s="1" t="s">
        <v>17</v>
      </c>
      <c r="Q9" s="1" t="s">
        <v>18</v>
      </c>
    </row>
    <row r="10" spans="1:17" x14ac:dyDescent="0.25">
      <c r="G10">
        <v>0.8</v>
      </c>
      <c r="H10">
        <f t="shared" si="0"/>
        <v>44.816782477341405</v>
      </c>
      <c r="I10">
        <f t="shared" si="1"/>
        <v>7.6188530211480394</v>
      </c>
      <c r="K10">
        <v>0</v>
      </c>
      <c r="L10">
        <f>K10*9.81</f>
        <v>0</v>
      </c>
      <c r="M10" s="2">
        <v>1.8E-3</v>
      </c>
      <c r="N10">
        <v>0.44</v>
      </c>
      <c r="O10" s="3">
        <v>0.65</v>
      </c>
      <c r="P10" s="3">
        <f>O10-N10</f>
        <v>0.21000000000000002</v>
      </c>
      <c r="Q10" s="4">
        <f>(O10-N10)/O10</f>
        <v>0.32307692307692309</v>
      </c>
    </row>
    <row r="11" spans="1:17" x14ac:dyDescent="0.25">
      <c r="G11">
        <v>0.9</v>
      </c>
      <c r="H11">
        <f t="shared" si="0"/>
        <v>73.826918429003001</v>
      </c>
      <c r="I11">
        <f t="shared" si="1"/>
        <v>12.550576132930511</v>
      </c>
      <c r="K11">
        <v>6.6</v>
      </c>
      <c r="L11">
        <f>K11*9.81</f>
        <v>64.745999999999995</v>
      </c>
      <c r="M11" s="2">
        <v>2.3E-3</v>
      </c>
      <c r="N11">
        <v>0.57999999999999996</v>
      </c>
      <c r="O11">
        <v>0.86</v>
      </c>
      <c r="P11" s="3">
        <f t="shared" ref="P11:P13" si="3">O11-N11</f>
        <v>0.28000000000000003</v>
      </c>
      <c r="Q11" s="4">
        <f>(O11-N11)/O11</f>
        <v>0.32558139534883723</v>
      </c>
    </row>
    <row r="12" spans="1:17" x14ac:dyDescent="0.25">
      <c r="G12">
        <v>1</v>
      </c>
      <c r="H12">
        <f t="shared" si="0"/>
        <v>102.83705438066465</v>
      </c>
      <c r="I12">
        <f t="shared" si="1"/>
        <v>17.482299244712994</v>
      </c>
      <c r="K12">
        <v>13.3</v>
      </c>
      <c r="L12">
        <f>K12*9.81</f>
        <v>130.47300000000001</v>
      </c>
      <c r="M12" s="2">
        <v>2.8E-3</v>
      </c>
      <c r="N12">
        <v>0.73</v>
      </c>
      <c r="O12">
        <v>1.1000000000000001</v>
      </c>
      <c r="P12" s="3">
        <f t="shared" si="3"/>
        <v>0.37000000000000011</v>
      </c>
      <c r="Q12" s="4">
        <f>(O12-N12)/O12</f>
        <v>0.33636363636363642</v>
      </c>
    </row>
    <row r="13" spans="1:17" x14ac:dyDescent="0.25">
      <c r="G13">
        <v>1.1000000000000001</v>
      </c>
      <c r="H13">
        <f t="shared" si="0"/>
        <v>131.84719033232631</v>
      </c>
      <c r="I13">
        <f t="shared" si="1"/>
        <v>22.414022356495472</v>
      </c>
      <c r="K13">
        <v>17.3</v>
      </c>
      <c r="L13">
        <f>K13*9.81</f>
        <v>169.71300000000002</v>
      </c>
      <c r="M13" s="2">
        <v>3.2000000000000002E-3</v>
      </c>
      <c r="N13">
        <v>0.82</v>
      </c>
      <c r="O13">
        <v>1.23</v>
      </c>
      <c r="P13" s="3">
        <f t="shared" si="3"/>
        <v>0.41000000000000003</v>
      </c>
      <c r="Q13" s="4">
        <f>(O13-N13)/O13</f>
        <v>0.33333333333333337</v>
      </c>
    </row>
    <row r="14" spans="1:17" x14ac:dyDescent="0.25">
      <c r="G14">
        <v>1.2</v>
      </c>
      <c r="H14">
        <f t="shared" si="0"/>
        <v>160.8573262839879</v>
      </c>
      <c r="I14">
        <f t="shared" si="1"/>
        <v>27.345745468277947</v>
      </c>
      <c r="O14" s="6" t="s">
        <v>20</v>
      </c>
      <c r="P14" s="5">
        <f>AVERAGE(P10:P13)</f>
        <v>0.3175</v>
      </c>
    </row>
    <row r="15" spans="1:17" x14ac:dyDescent="0.25">
      <c r="G15">
        <v>1.3</v>
      </c>
      <c r="H15">
        <f t="shared" si="0"/>
        <v>189.86746223564955</v>
      </c>
      <c r="I15">
        <f t="shared" si="1"/>
        <v>32.277468580060429</v>
      </c>
      <c r="O15" s="1" t="s">
        <v>21</v>
      </c>
      <c r="P15" s="5">
        <f>_xlfn.STDEV.S(P10:P13)</f>
        <v>8.9953691790091078E-2</v>
      </c>
    </row>
    <row r="16" spans="1:17" x14ac:dyDescent="0.25">
      <c r="G16">
        <v>1.4</v>
      </c>
      <c r="H16">
        <f t="shared" si="0"/>
        <v>218.87759818731115</v>
      </c>
      <c r="I16">
        <f t="shared" si="1"/>
        <v>37.209191691842896</v>
      </c>
    </row>
    <row r="17" spans="1:9" x14ac:dyDescent="0.25">
      <c r="G17">
        <v>1.5</v>
      </c>
      <c r="H17">
        <f t="shared" si="0"/>
        <v>247.8877341389728</v>
      </c>
      <c r="I17">
        <f t="shared" si="1"/>
        <v>42.140914803625378</v>
      </c>
    </row>
    <row r="18" spans="1:9" x14ac:dyDescent="0.25">
      <c r="G18">
        <v>1.6</v>
      </c>
      <c r="H18">
        <f t="shared" si="0"/>
        <v>276.89787009063451</v>
      </c>
      <c r="I18">
        <f t="shared" si="1"/>
        <v>47.072637915407867</v>
      </c>
    </row>
    <row r="19" spans="1:9" x14ac:dyDescent="0.25">
      <c r="A19" s="7" t="s">
        <v>5</v>
      </c>
      <c r="B19" s="8">
        <f>SLOPE(B2:B5,E2:E5)</f>
        <v>290.10135951661636</v>
      </c>
      <c r="C19" s="1" t="s">
        <v>16</v>
      </c>
      <c r="D19">
        <v>0.17</v>
      </c>
      <c r="G19">
        <v>1.7</v>
      </c>
      <c r="H19">
        <f t="shared" si="0"/>
        <v>305.90800604229611</v>
      </c>
      <c r="I19">
        <f t="shared" si="1"/>
        <v>52.004361027190342</v>
      </c>
    </row>
    <row r="20" spans="1:9" x14ac:dyDescent="0.25">
      <c r="A20" s="7" t="s">
        <v>6</v>
      </c>
      <c r="B20" s="8">
        <f>INTERCEPT(B2:B5,E2:E5)</f>
        <v>-187.2643051359517</v>
      </c>
      <c r="G20">
        <v>1.8</v>
      </c>
      <c r="H20">
        <f t="shared" si="0"/>
        <v>334.9181419939577</v>
      </c>
      <c r="I20">
        <f t="shared" si="1"/>
        <v>56.936084138972817</v>
      </c>
    </row>
    <row r="21" spans="1:9" x14ac:dyDescent="0.25">
      <c r="A21" s="1" t="s">
        <v>7</v>
      </c>
      <c r="B21" s="4">
        <f>RSQ(B2:B5,E2:E5)</f>
        <v>0.99940372688228329</v>
      </c>
      <c r="G21">
        <v>1.9</v>
      </c>
      <c r="H21">
        <f t="shared" si="0"/>
        <v>363.9282779456193</v>
      </c>
      <c r="I21">
        <f t="shared" si="1"/>
        <v>61.867807250755284</v>
      </c>
    </row>
    <row r="22" spans="1:9" x14ac:dyDescent="0.25">
      <c r="A22" s="1" t="s">
        <v>3</v>
      </c>
      <c r="B22">
        <v>750</v>
      </c>
      <c r="G22">
        <v>2</v>
      </c>
      <c r="H22">
        <f t="shared" si="0"/>
        <v>392.93841389728101</v>
      </c>
      <c r="I22">
        <f t="shared" si="1"/>
        <v>66.79953036253778</v>
      </c>
    </row>
    <row r="23" spans="1:9" x14ac:dyDescent="0.25">
      <c r="A23" s="1" t="s">
        <v>4</v>
      </c>
      <c r="B23" s="3">
        <f>5+200000/B22</f>
        <v>271.66666666666669</v>
      </c>
      <c r="G23">
        <v>2.1</v>
      </c>
      <c r="H23">
        <f t="shared" si="0"/>
        <v>421.94854984894272</v>
      </c>
      <c r="I23">
        <f t="shared" si="1"/>
        <v>71.731253474320269</v>
      </c>
    </row>
    <row r="24" spans="1:9" x14ac:dyDescent="0.25">
      <c r="G24">
        <v>2.2000000000000002</v>
      </c>
      <c r="H24">
        <f t="shared" si="0"/>
        <v>450.95868580060431</v>
      </c>
      <c r="I24">
        <f t="shared" si="1"/>
        <v>76.662976586102744</v>
      </c>
    </row>
    <row r="25" spans="1:9" x14ac:dyDescent="0.25">
      <c r="G25">
        <v>2.2999999999999998</v>
      </c>
      <c r="H25">
        <f t="shared" si="0"/>
        <v>479.96882175226591</v>
      </c>
      <c r="I25">
        <f t="shared" si="1"/>
        <v>81.594699697885204</v>
      </c>
    </row>
    <row r="26" spans="1:9" x14ac:dyDescent="0.25">
      <c r="G26">
        <v>2.4</v>
      </c>
      <c r="H26">
        <f t="shared" si="0"/>
        <v>508.97895770392751</v>
      </c>
      <c r="I26">
        <f t="shared" si="1"/>
        <v>86.526422809667679</v>
      </c>
    </row>
    <row r="27" spans="1:9" x14ac:dyDescent="0.25">
      <c r="G27">
        <v>2.5</v>
      </c>
      <c r="H27">
        <f t="shared" si="0"/>
        <v>537.98909365558916</v>
      </c>
      <c r="I27">
        <f t="shared" si="1"/>
        <v>91.458145921450168</v>
      </c>
    </row>
    <row r="28" spans="1:9" x14ac:dyDescent="0.25">
      <c r="G28">
        <v>2.6</v>
      </c>
      <c r="H28">
        <f t="shared" si="0"/>
        <v>566.99922960725075</v>
      </c>
      <c r="I28">
        <f t="shared" si="1"/>
        <v>96.389869033232628</v>
      </c>
    </row>
    <row r="29" spans="1:9" x14ac:dyDescent="0.25">
      <c r="G29">
        <v>2.7</v>
      </c>
      <c r="H29">
        <f t="shared" si="0"/>
        <v>596.00936555891258</v>
      </c>
      <c r="I29">
        <f t="shared" si="1"/>
        <v>101.32159214501515</v>
      </c>
    </row>
    <row r="30" spans="1:9" x14ac:dyDescent="0.25">
      <c r="G30">
        <v>2.8</v>
      </c>
      <c r="H30">
        <f t="shared" si="0"/>
        <v>625.01950151057395</v>
      </c>
      <c r="I30">
        <f t="shared" si="1"/>
        <v>106.25331525679758</v>
      </c>
    </row>
    <row r="31" spans="1:9" x14ac:dyDescent="0.25">
      <c r="G31">
        <v>2.9</v>
      </c>
      <c r="H31">
        <f t="shared" si="0"/>
        <v>654.02963746223577</v>
      </c>
      <c r="I31">
        <f t="shared" si="1"/>
        <v>111.18503836858009</v>
      </c>
    </row>
    <row r="32" spans="1:9" x14ac:dyDescent="0.25">
      <c r="G32">
        <v>3</v>
      </c>
      <c r="H32">
        <f t="shared" si="0"/>
        <v>683.03977341389736</v>
      </c>
      <c r="I32">
        <f t="shared" si="1"/>
        <v>116.11676148036256</v>
      </c>
    </row>
    <row r="33" spans="7:9" x14ac:dyDescent="0.25">
      <c r="G33">
        <v>3.1</v>
      </c>
      <c r="H33">
        <f t="shared" si="0"/>
        <v>712.04990936555896</v>
      </c>
      <c r="I33">
        <f t="shared" si="1"/>
        <v>121.04848459214503</v>
      </c>
    </row>
    <row r="34" spans="7:9" x14ac:dyDescent="0.25">
      <c r="G34">
        <v>3.2</v>
      </c>
      <c r="H34">
        <f t="shared" ref="H34:H52" si="4">$B$19*G34+$B$20</f>
        <v>741.06004531722078</v>
      </c>
      <c r="I34">
        <f t="shared" ref="I34:I52" si="5">H34*$D$19</f>
        <v>125.98020770392755</v>
      </c>
    </row>
    <row r="35" spans="7:9" x14ac:dyDescent="0.25">
      <c r="G35">
        <v>3.3</v>
      </c>
      <c r="H35">
        <f t="shared" si="4"/>
        <v>770.07018126888215</v>
      </c>
      <c r="I35">
        <f t="shared" si="5"/>
        <v>130.91193081570998</v>
      </c>
    </row>
    <row r="36" spans="7:9" x14ac:dyDescent="0.25">
      <c r="G36">
        <v>3.4</v>
      </c>
      <c r="H36">
        <f t="shared" si="4"/>
        <v>799.08031722054398</v>
      </c>
      <c r="I36">
        <f t="shared" si="5"/>
        <v>135.84365392749248</v>
      </c>
    </row>
    <row r="37" spans="7:9" x14ac:dyDescent="0.25">
      <c r="G37">
        <v>3.5</v>
      </c>
      <c r="H37">
        <f t="shared" si="4"/>
        <v>828.09045317220557</v>
      </c>
      <c r="I37">
        <f t="shared" si="5"/>
        <v>140.77537703927496</v>
      </c>
    </row>
    <row r="38" spans="7:9" x14ac:dyDescent="0.25">
      <c r="G38">
        <v>3.6</v>
      </c>
      <c r="H38">
        <f t="shared" si="4"/>
        <v>857.10058912386717</v>
      </c>
      <c r="I38">
        <f t="shared" si="5"/>
        <v>145.70710015105743</v>
      </c>
    </row>
    <row r="39" spans="7:9" x14ac:dyDescent="0.25">
      <c r="G39">
        <v>3.7</v>
      </c>
      <c r="H39">
        <f t="shared" si="4"/>
        <v>886.11072507552899</v>
      </c>
      <c r="I39">
        <f t="shared" si="5"/>
        <v>150.63882326283994</v>
      </c>
    </row>
    <row r="40" spans="7:9" x14ac:dyDescent="0.25">
      <c r="G40">
        <v>3.8</v>
      </c>
      <c r="H40">
        <f t="shared" si="4"/>
        <v>915.12086102719036</v>
      </c>
      <c r="I40">
        <f t="shared" si="5"/>
        <v>155.57054637462238</v>
      </c>
    </row>
    <row r="41" spans="7:9" x14ac:dyDescent="0.25">
      <c r="G41">
        <v>3.9</v>
      </c>
      <c r="H41">
        <f t="shared" si="4"/>
        <v>944.13099697885218</v>
      </c>
      <c r="I41">
        <f t="shared" si="5"/>
        <v>160.50226948640488</v>
      </c>
    </row>
    <row r="42" spans="7:9" x14ac:dyDescent="0.25">
      <c r="G42">
        <v>4</v>
      </c>
      <c r="H42">
        <f t="shared" si="4"/>
        <v>973.14113293051378</v>
      </c>
      <c r="I42">
        <f t="shared" si="5"/>
        <v>165.43399259818736</v>
      </c>
    </row>
    <row r="43" spans="7:9" x14ac:dyDescent="0.25">
      <c r="G43">
        <v>4.0999999999999996</v>
      </c>
      <c r="H43">
        <f t="shared" si="4"/>
        <v>1002.1512688821754</v>
      </c>
      <c r="I43">
        <f t="shared" si="5"/>
        <v>170.36571570996983</v>
      </c>
    </row>
    <row r="44" spans="7:9" x14ac:dyDescent="0.25">
      <c r="G44">
        <v>4.2</v>
      </c>
      <c r="H44">
        <f t="shared" si="4"/>
        <v>1031.1614048338372</v>
      </c>
      <c r="I44">
        <f t="shared" si="5"/>
        <v>175.29743882175234</v>
      </c>
    </row>
    <row r="45" spans="7:9" x14ac:dyDescent="0.25">
      <c r="G45">
        <v>4.3</v>
      </c>
      <c r="H45">
        <f t="shared" si="4"/>
        <v>1060.1715407854986</v>
      </c>
      <c r="I45">
        <f t="shared" si="5"/>
        <v>180.22916193353475</v>
      </c>
    </row>
    <row r="46" spans="7:9" x14ac:dyDescent="0.25">
      <c r="G46">
        <v>4.4000000000000004</v>
      </c>
      <c r="H46">
        <f t="shared" si="4"/>
        <v>1089.1816767371604</v>
      </c>
      <c r="I46">
        <f t="shared" si="5"/>
        <v>185.16088504531729</v>
      </c>
    </row>
    <row r="47" spans="7:9" x14ac:dyDescent="0.25">
      <c r="G47">
        <v>4.5</v>
      </c>
      <c r="H47">
        <f t="shared" si="4"/>
        <v>1118.191812688822</v>
      </c>
      <c r="I47">
        <f t="shared" si="5"/>
        <v>190.09260815709976</v>
      </c>
    </row>
    <row r="48" spans="7:9" x14ac:dyDescent="0.25">
      <c r="G48">
        <v>4.5999999999999996</v>
      </c>
      <c r="H48">
        <f t="shared" si="4"/>
        <v>1147.2019486404836</v>
      </c>
      <c r="I48">
        <f t="shared" si="5"/>
        <v>195.02433126888224</v>
      </c>
    </row>
    <row r="49" spans="7:9" x14ac:dyDescent="0.25">
      <c r="G49">
        <v>4.7</v>
      </c>
      <c r="H49">
        <f t="shared" si="4"/>
        <v>1176.2120845921452</v>
      </c>
      <c r="I49">
        <f t="shared" si="5"/>
        <v>199.95605438066468</v>
      </c>
    </row>
    <row r="50" spans="7:9" x14ac:dyDescent="0.25">
      <c r="G50">
        <v>4.8</v>
      </c>
      <c r="H50">
        <f t="shared" si="4"/>
        <v>1205.2222205438068</v>
      </c>
      <c r="I50">
        <f t="shared" si="5"/>
        <v>204.88777749244716</v>
      </c>
    </row>
    <row r="51" spans="7:9" x14ac:dyDescent="0.25">
      <c r="G51">
        <v>4.9000000000000004</v>
      </c>
      <c r="H51">
        <f t="shared" si="4"/>
        <v>1234.2323564954686</v>
      </c>
      <c r="I51">
        <f t="shared" si="5"/>
        <v>209.81950060422969</v>
      </c>
    </row>
    <row r="52" spans="7:9" x14ac:dyDescent="0.25">
      <c r="G52">
        <v>5</v>
      </c>
      <c r="H52">
        <f t="shared" si="4"/>
        <v>1263.2424924471302</v>
      </c>
      <c r="I52">
        <f t="shared" si="5"/>
        <v>214.75122371601213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22" sqref="I22"/>
    </sheetView>
  </sheetViews>
  <sheetFormatPr defaultRowHeight="15" x14ac:dyDescent="0.25"/>
  <cols>
    <col min="1" max="1" width="13.85546875" bestFit="1" customWidth="1"/>
    <col min="2" max="2" width="11.42578125" bestFit="1" customWidth="1"/>
    <col min="3" max="3" width="15.85546875" bestFit="1" customWidth="1"/>
    <col min="4" max="4" width="13.28515625" bestFit="1" customWidth="1"/>
    <col min="5" max="5" width="15.140625" bestFit="1" customWidth="1"/>
    <col min="6" max="6" width="18.5703125" bestFit="1" customWidth="1"/>
  </cols>
  <sheetData>
    <row r="1" spans="1:18" x14ac:dyDescent="0.25">
      <c r="A1" s="1" t="s">
        <v>22</v>
      </c>
      <c r="B1" s="1" t="s">
        <v>0</v>
      </c>
      <c r="C1" s="1" t="s">
        <v>23</v>
      </c>
      <c r="D1" s="1" t="s">
        <v>24</v>
      </c>
      <c r="E1" s="1" t="s">
        <v>25</v>
      </c>
      <c r="F1" s="1" t="s">
        <v>26</v>
      </c>
      <c r="H1" s="9" t="s">
        <v>27</v>
      </c>
      <c r="I1" s="10">
        <f>SLOPE(Table1[Force/2 '[N']],Table1[Arduino Volt. '[N']])</f>
        <v>261.74271716876274</v>
      </c>
    </row>
    <row r="2" spans="1:18" x14ac:dyDescent="0.25">
      <c r="A2" s="3">
        <v>0</v>
      </c>
      <c r="B2" s="3">
        <f t="shared" ref="B2:B21" si="0">9.81*A2</f>
        <v>0</v>
      </c>
      <c r="C2" s="3">
        <f t="shared" ref="C2:D21" si="1">A2/2</f>
        <v>0</v>
      </c>
      <c r="D2" s="3">
        <f t="shared" si="1"/>
        <v>0</v>
      </c>
      <c r="E2">
        <v>146</v>
      </c>
      <c r="F2" s="3">
        <v>0.71</v>
      </c>
      <c r="H2" s="11" t="s">
        <v>28</v>
      </c>
      <c r="I2" s="12">
        <f>INTERCEPT(Table1[Force/2 '[N']],Table1[Arduino Volt. '[N']])</f>
        <v>-181.94804986838255</v>
      </c>
    </row>
    <row r="3" spans="1:18" ht="15.75" thickBot="1" x14ac:dyDescent="0.3">
      <c r="A3" s="3">
        <v>0</v>
      </c>
      <c r="B3" s="3">
        <f t="shared" si="0"/>
        <v>0</v>
      </c>
      <c r="C3" s="3">
        <f t="shared" si="1"/>
        <v>0</v>
      </c>
      <c r="D3" s="3">
        <f t="shared" si="1"/>
        <v>0</v>
      </c>
      <c r="E3">
        <v>142</v>
      </c>
      <c r="F3" s="3">
        <v>0.69</v>
      </c>
      <c r="H3" s="13" t="s">
        <v>7</v>
      </c>
      <c r="I3" s="14">
        <f>RSQ(Table1[Force/2 '[N']],Table1[Arduino Volt. '[N']])</f>
        <v>0.99937298346790659</v>
      </c>
      <c r="R3" s="1"/>
    </row>
    <row r="4" spans="1:18" x14ac:dyDescent="0.25">
      <c r="A4" s="3">
        <v>0</v>
      </c>
      <c r="B4" s="3">
        <f t="shared" si="0"/>
        <v>0</v>
      </c>
      <c r="C4" s="3">
        <f t="shared" si="1"/>
        <v>0</v>
      </c>
      <c r="D4" s="3">
        <f t="shared" si="1"/>
        <v>0</v>
      </c>
      <c r="E4">
        <v>143</v>
      </c>
      <c r="F4" s="3">
        <v>0.69</v>
      </c>
      <c r="R4" s="1"/>
    </row>
    <row r="5" spans="1:18" x14ac:dyDescent="0.25">
      <c r="A5" s="3">
        <v>0</v>
      </c>
      <c r="B5" s="3">
        <f t="shared" si="0"/>
        <v>0</v>
      </c>
      <c r="C5" s="3">
        <f t="shared" si="1"/>
        <v>0</v>
      </c>
      <c r="D5" s="3">
        <f t="shared" si="1"/>
        <v>0</v>
      </c>
      <c r="E5">
        <v>144</v>
      </c>
      <c r="F5" s="3">
        <v>0.7</v>
      </c>
      <c r="R5" s="1"/>
    </row>
    <row r="6" spans="1:18" x14ac:dyDescent="0.25">
      <c r="A6" s="3">
        <v>0</v>
      </c>
      <c r="B6" s="3">
        <f t="shared" si="0"/>
        <v>0</v>
      </c>
      <c r="C6" s="3">
        <f t="shared" si="1"/>
        <v>0</v>
      </c>
      <c r="D6" s="3">
        <f t="shared" si="1"/>
        <v>0</v>
      </c>
      <c r="E6">
        <v>144</v>
      </c>
      <c r="F6" s="3">
        <v>0.7</v>
      </c>
    </row>
    <row r="7" spans="1:18" x14ac:dyDescent="0.25">
      <c r="A7" s="3">
        <v>87.4</v>
      </c>
      <c r="B7" s="3">
        <f t="shared" si="0"/>
        <v>857.39400000000012</v>
      </c>
      <c r="C7" s="3">
        <f t="shared" si="1"/>
        <v>43.7</v>
      </c>
      <c r="D7" s="3">
        <f t="shared" si="1"/>
        <v>428.69700000000006</v>
      </c>
      <c r="E7">
        <v>479</v>
      </c>
      <c r="F7" s="3">
        <v>2.34</v>
      </c>
    </row>
    <row r="8" spans="1:18" x14ac:dyDescent="0.25">
      <c r="A8" s="3">
        <v>87.4</v>
      </c>
      <c r="B8" s="3">
        <f t="shared" si="0"/>
        <v>857.39400000000012</v>
      </c>
      <c r="C8" s="3">
        <f t="shared" si="1"/>
        <v>43.7</v>
      </c>
      <c r="D8" s="3">
        <f t="shared" si="1"/>
        <v>428.69700000000006</v>
      </c>
      <c r="E8">
        <v>477</v>
      </c>
      <c r="F8" s="3">
        <v>2.33</v>
      </c>
    </row>
    <row r="9" spans="1:18" x14ac:dyDescent="0.25">
      <c r="A9" s="3">
        <v>87.4</v>
      </c>
      <c r="B9" s="3">
        <f t="shared" si="0"/>
        <v>857.39400000000012</v>
      </c>
      <c r="C9" s="3">
        <f t="shared" si="1"/>
        <v>43.7</v>
      </c>
      <c r="D9" s="3">
        <f t="shared" si="1"/>
        <v>428.69700000000006</v>
      </c>
      <c r="E9">
        <v>479</v>
      </c>
      <c r="F9" s="3">
        <v>2.34</v>
      </c>
    </row>
    <row r="10" spans="1:18" x14ac:dyDescent="0.25">
      <c r="A10" s="3">
        <v>65.400000000000006</v>
      </c>
      <c r="B10" s="3">
        <f t="shared" si="0"/>
        <v>641.57400000000007</v>
      </c>
      <c r="C10" s="3">
        <f t="shared" si="1"/>
        <v>32.700000000000003</v>
      </c>
      <c r="D10" s="3">
        <f t="shared" si="1"/>
        <v>320.78700000000003</v>
      </c>
      <c r="E10">
        <v>396</v>
      </c>
      <c r="F10" s="3">
        <v>1.94</v>
      </c>
    </row>
    <row r="11" spans="1:18" x14ac:dyDescent="0.25">
      <c r="A11" s="3">
        <v>65.400000000000006</v>
      </c>
      <c r="B11" s="3">
        <f t="shared" si="0"/>
        <v>641.57400000000007</v>
      </c>
      <c r="C11" s="3">
        <f t="shared" si="1"/>
        <v>32.700000000000003</v>
      </c>
      <c r="D11" s="3">
        <f t="shared" si="1"/>
        <v>320.78700000000003</v>
      </c>
      <c r="E11">
        <v>401</v>
      </c>
      <c r="F11" s="3">
        <v>1.95</v>
      </c>
    </row>
    <row r="12" spans="1:18" x14ac:dyDescent="0.25">
      <c r="A12" s="3">
        <v>65.400000000000006</v>
      </c>
      <c r="B12" s="3">
        <f t="shared" si="0"/>
        <v>641.57400000000007</v>
      </c>
      <c r="C12" s="3">
        <f t="shared" si="1"/>
        <v>32.700000000000003</v>
      </c>
      <c r="D12" s="3">
        <f t="shared" si="1"/>
        <v>320.78700000000003</v>
      </c>
      <c r="E12">
        <v>395</v>
      </c>
      <c r="F12" s="3">
        <v>1.93</v>
      </c>
    </row>
    <row r="13" spans="1:18" x14ac:dyDescent="0.25">
      <c r="A13" s="3">
        <v>94.2</v>
      </c>
      <c r="B13" s="3">
        <f t="shared" si="0"/>
        <v>924.10200000000009</v>
      </c>
      <c r="C13" s="3">
        <f t="shared" si="1"/>
        <v>47.1</v>
      </c>
      <c r="D13" s="3">
        <f t="shared" si="1"/>
        <v>462.05100000000004</v>
      </c>
      <c r="E13">
        <v>510</v>
      </c>
      <c r="F13" s="3">
        <v>2.4500000000000002</v>
      </c>
    </row>
    <row r="14" spans="1:18" x14ac:dyDescent="0.25">
      <c r="A14" s="3">
        <v>94.2</v>
      </c>
      <c r="B14" s="3">
        <f t="shared" si="0"/>
        <v>924.10200000000009</v>
      </c>
      <c r="C14" s="3">
        <f t="shared" si="1"/>
        <v>47.1</v>
      </c>
      <c r="D14" s="3">
        <f t="shared" si="1"/>
        <v>462.05100000000004</v>
      </c>
      <c r="E14">
        <v>504</v>
      </c>
      <c r="F14" s="3">
        <v>2.46</v>
      </c>
    </row>
    <row r="15" spans="1:18" x14ac:dyDescent="0.25">
      <c r="A15" s="3">
        <v>94.2</v>
      </c>
      <c r="B15" s="3">
        <f t="shared" si="0"/>
        <v>924.10200000000009</v>
      </c>
      <c r="C15" s="3">
        <f t="shared" si="1"/>
        <v>47.1</v>
      </c>
      <c r="D15" s="3">
        <f t="shared" si="1"/>
        <v>462.05100000000004</v>
      </c>
      <c r="E15">
        <v>500</v>
      </c>
      <c r="F15" s="3">
        <v>2.44</v>
      </c>
    </row>
    <row r="16" spans="1:18" x14ac:dyDescent="0.25">
      <c r="A16" s="3">
        <v>90</v>
      </c>
      <c r="B16" s="3">
        <f t="shared" si="0"/>
        <v>882.90000000000009</v>
      </c>
      <c r="C16" s="3">
        <f t="shared" si="1"/>
        <v>45</v>
      </c>
      <c r="D16" s="3">
        <f t="shared" si="1"/>
        <v>441.45000000000005</v>
      </c>
      <c r="E16">
        <v>494</v>
      </c>
      <c r="F16" s="3">
        <v>2.41</v>
      </c>
    </row>
    <row r="17" spans="1:6" x14ac:dyDescent="0.25">
      <c r="A17" s="3">
        <v>90</v>
      </c>
      <c r="B17" s="3">
        <f t="shared" si="0"/>
        <v>882.90000000000009</v>
      </c>
      <c r="C17" s="3">
        <f t="shared" si="1"/>
        <v>45</v>
      </c>
      <c r="D17" s="3">
        <f t="shared" si="1"/>
        <v>441.45000000000005</v>
      </c>
      <c r="E17">
        <v>490</v>
      </c>
      <c r="F17" s="3">
        <v>2.39</v>
      </c>
    </row>
    <row r="18" spans="1:6" x14ac:dyDescent="0.25">
      <c r="A18" s="3">
        <v>90</v>
      </c>
      <c r="B18" s="3">
        <f t="shared" si="0"/>
        <v>882.90000000000009</v>
      </c>
      <c r="C18" s="3">
        <f t="shared" si="1"/>
        <v>45</v>
      </c>
      <c r="D18" s="3">
        <f t="shared" si="1"/>
        <v>441.45000000000005</v>
      </c>
      <c r="E18">
        <v>488</v>
      </c>
      <c r="F18" s="3">
        <v>2.38</v>
      </c>
    </row>
    <row r="19" spans="1:6" x14ac:dyDescent="0.25">
      <c r="A19" s="3">
        <v>60.5</v>
      </c>
      <c r="B19" s="3">
        <f t="shared" si="0"/>
        <v>593.505</v>
      </c>
      <c r="C19" s="3">
        <f t="shared" si="1"/>
        <v>30.25</v>
      </c>
      <c r="D19" s="3">
        <f t="shared" si="1"/>
        <v>296.7525</v>
      </c>
      <c r="E19">
        <v>370</v>
      </c>
      <c r="F19" s="3">
        <v>1.8</v>
      </c>
    </row>
    <row r="20" spans="1:6" x14ac:dyDescent="0.25">
      <c r="A20" s="3">
        <v>60.5</v>
      </c>
      <c r="B20" s="3">
        <f t="shared" si="0"/>
        <v>593.505</v>
      </c>
      <c r="C20" s="3">
        <f t="shared" si="1"/>
        <v>30.25</v>
      </c>
      <c r="D20" s="3">
        <f t="shared" si="1"/>
        <v>296.7525</v>
      </c>
      <c r="E20">
        <v>371</v>
      </c>
      <c r="F20" s="3">
        <v>1.81</v>
      </c>
    </row>
    <row r="21" spans="1:6" x14ac:dyDescent="0.25">
      <c r="A21" s="3">
        <v>60.5</v>
      </c>
      <c r="B21" s="3">
        <f t="shared" si="0"/>
        <v>593.505</v>
      </c>
      <c r="C21" s="3">
        <f t="shared" si="1"/>
        <v>30.25</v>
      </c>
      <c r="D21" s="3">
        <f t="shared" si="1"/>
        <v>296.7525</v>
      </c>
      <c r="E21">
        <v>368</v>
      </c>
      <c r="F21" s="3">
        <v>1.79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470_Ohm_Meas</vt:lpstr>
      <vt:lpstr>750_Ohm_Meas</vt:lpstr>
      <vt:lpstr>9V_Battery_Calibration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Pérez Pérez</dc:creator>
  <cp:lastModifiedBy>Jorge Alejandro Pérez Pérez</cp:lastModifiedBy>
  <dcterms:created xsi:type="dcterms:W3CDTF">2016-06-28T07:52:09Z</dcterms:created>
  <dcterms:modified xsi:type="dcterms:W3CDTF">2016-07-24T12:26:44Z</dcterms:modified>
</cp:coreProperties>
</file>