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T\Excel course\ИЗ\"/>
    </mc:Choice>
  </mc:AlternateContent>
  <xr:revisionPtr revIDLastSave="0" documentId="13_ncr:1_{7F6EFFFC-8867-40B3-8108-06A35054253A}" xr6:coauthVersionLast="47" xr6:coauthVersionMax="47" xr10:uidLastSave="{00000000-0000-0000-0000-000000000000}"/>
  <bookViews>
    <workbookView xWindow="-108" yWindow="-108" windowWidth="23256" windowHeight="12456" firstSheet="8" activeTab="8" xr2:uid="{00000000-000D-0000-FFFF-FFFF00000000}"/>
  </bookViews>
  <sheets>
    <sheet name="Данные курса акций" sheetId="1" r:id="rId1"/>
    <sheet name="Анализ прибыли" sheetId="2" r:id="rId2"/>
    <sheet name="Анализ цены" sheetId="3" r:id="rId3"/>
    <sheet name="ДЗ" sheetId="4" r:id="rId4"/>
    <sheet name="Практика 18.09" sheetId="5" r:id="rId5"/>
    <sheet name="Практика 25.09" sheetId="6" r:id="rId6"/>
    <sheet name="Практика 09.10" sheetId="7" r:id="rId7"/>
    <sheet name="Практика 16.10" sheetId="8" r:id="rId8"/>
    <sheet name="Практика 23.10" sheetId="9" r:id="rId9"/>
    <sheet name="Практика 30.10" sheetId="10" r:id="rId10"/>
    <sheet name="Практика 06.11" sheetId="11" r:id="rId11"/>
    <sheet name="Практика 13.11" sheetId="12" r:id="rId12"/>
    <sheet name="Данные" sheetId="13" state="hidden" r:id="rId13"/>
    <sheet name="Дан K2.1" sheetId="14" state="hidden" r:id="rId14"/>
    <sheet name="Дан K2.3" sheetId="15" state="hidden" r:id="rId15"/>
    <sheet name="Таб 1" sheetId="16" state="hidden" r:id="rId16"/>
    <sheet name="Приложение" sheetId="17" state="hidden" r:id="rId17"/>
  </sheets>
  <externalReferences>
    <externalReference r:id="rId18"/>
    <externalReference r:id="rId19"/>
  </externalReferences>
  <definedNames>
    <definedName name="a">#REF!</definedName>
    <definedName name="am">#REF!</definedName>
    <definedName name="at">#REF!</definedName>
    <definedName name="b">#REF!</definedName>
    <definedName name="b1m">#REF!</definedName>
    <definedName name="b2m">#REF!</definedName>
    <definedName name="bt">#REF!</definedName>
    <definedName name="dx">#REF!</definedName>
    <definedName name="dy">#REF!</definedName>
    <definedName name="hx">'[1]Ряд 1'!$E$5</definedName>
    <definedName name="hy">'[1]Ряд 2'!$E$5</definedName>
    <definedName name="M">#REF!</definedName>
    <definedName name="modx">#REF!</definedName>
    <definedName name="rb">#REF!</definedName>
    <definedName name="rxy">#REF!</definedName>
    <definedName name="sx">#REF!</definedName>
    <definedName name="sy">#REF!</definedName>
    <definedName name="x">#REF!</definedName>
    <definedName name="x1i">#REF!</definedName>
    <definedName name="x1m">#REF!</definedName>
    <definedName name="x2i">#REF!</definedName>
    <definedName name="x2m">#REF!</definedName>
    <definedName name="x3i">#REF!</definedName>
    <definedName name="x4i">#REF!</definedName>
    <definedName name="x5i">#REF!</definedName>
    <definedName name="xi">#REF!</definedName>
    <definedName name="xm">#REF!</definedName>
    <definedName name="xy">#REF!</definedName>
    <definedName name="y">#REF!</definedName>
    <definedName name="yi">#REF!</definedName>
    <definedName name="ym">#REF!</definedName>
    <definedName name="Вес">'[1]Выборка 2'!$G$2:$G$51,'[1]Выборка 2'!$J$2:$J$51,'[1]Выборка 2'!$M$2:$M$51,'[1]Выборка 2'!$P$2:$P$51</definedName>
    <definedName name="дан">'[1]выборка 3'!$A$1:$B$201</definedName>
    <definedName name="данм">Данные!$E$6:$G$55</definedName>
    <definedName name="и">#REF!</definedName>
    <definedName name="под">#REF!</definedName>
    <definedName name="под1">#REF!</definedName>
    <definedName name="под10">#REF!</definedName>
    <definedName name="под11">#REF!</definedName>
    <definedName name="под12">#REF!</definedName>
    <definedName name="под13">#REF!</definedName>
    <definedName name="под2">#REF!</definedName>
    <definedName name="под3">#REF!</definedName>
    <definedName name="под4">#REF!</definedName>
    <definedName name="под5">#REF!</definedName>
    <definedName name="под6">#REF!</definedName>
    <definedName name="под7">#REF!</definedName>
    <definedName name="под8">#REF!</definedName>
    <definedName name="под9">#REF!</definedName>
    <definedName name="подстава">#REF!</definedName>
    <definedName name="подстава2">#REF!</definedName>
    <definedName name="Прибыль1">'Анализ прибыли'!$J$2:$J$51</definedName>
    <definedName name="признак1">#REF!,#REF!</definedName>
    <definedName name="признак2">#REF!,#REF!</definedName>
    <definedName name="Приложение">Приложение!$A$1:$F$56</definedName>
    <definedName name="результат">Данные!$B$6:$B$55</definedName>
    <definedName name="результатм">Данные!$G$6:$G$55</definedName>
    <definedName name="рост">'[1]Выборка 2'!$E$1:$P$1,'[1]Выборка 2'!$F$2:$F$51,'[1]Выборка 2'!$I$2:$I$51,'[1]Выборка 2'!$L$2:$L$51,'[1]Выборка 2'!$O$2:$O$51</definedName>
    <definedName name="Таб1">'Таб 1'!$A$1:$C$13</definedName>
    <definedName name="таб2">'Дан K2.1'!$B$8:$I$11</definedName>
    <definedName name="таб3">'Дан K2.1'!$A$16:$E$117</definedName>
    <definedName name="таб4">#REF!</definedName>
    <definedName name="таб5">#REF!</definedName>
    <definedName name="таб6">'Дан K2.3'!$A$1:$K$14</definedName>
    <definedName name="табб5">'Дан K2.1'!$A$121:$H$156</definedName>
    <definedName name="фактор">Данные!$C$6:$C$55</definedName>
    <definedName name="факторм">Данные!$F$6:$F$55</definedName>
    <definedName name="Цена">'Анализ цены'!$C$1:$C$50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2" roundtripDataChecksum="R9vG3AaLpzEzybdn68ZKRBh/1Ob61dUKuwFzLj7y9ps="/>
    </ext>
  </extLst>
</workbook>
</file>

<file path=xl/calcChain.xml><?xml version="1.0" encoding="utf-8"?>
<calcChain xmlns="http://schemas.openxmlformats.org/spreadsheetml/2006/main">
  <c r="O6" i="12" l="1" a="1"/>
  <c r="O6" i="12" s="1"/>
  <c r="R5" i="3"/>
  <c r="S5" i="3"/>
  <c r="P5" i="11"/>
  <c r="W26" i="11" l="1"/>
  <c r="O56" i="10"/>
  <c r="R55" i="10"/>
  <c r="O54" i="10"/>
  <c r="L56" i="10"/>
  <c r="K42" i="10"/>
  <c r="K41" i="10"/>
  <c r="K40" i="10"/>
  <c r="C55" i="13" l="1"/>
  <c r="F55" i="13" s="1"/>
  <c r="B55" i="13"/>
  <c r="G55" i="13" s="1"/>
  <c r="C54" i="13"/>
  <c r="F54" i="13" s="1"/>
  <c r="B54" i="13"/>
  <c r="G54" i="13" s="1"/>
  <c r="C53" i="13"/>
  <c r="F53" i="13" s="1"/>
  <c r="B53" i="13"/>
  <c r="G53" i="13" s="1"/>
  <c r="C52" i="13"/>
  <c r="F52" i="13" s="1"/>
  <c r="B52" i="13"/>
  <c r="G52" i="13" s="1"/>
  <c r="C51" i="13"/>
  <c r="F51" i="13" s="1"/>
  <c r="B51" i="13"/>
  <c r="G51" i="13" s="1"/>
  <c r="C50" i="13"/>
  <c r="F50" i="13" s="1"/>
  <c r="B50" i="13"/>
  <c r="G50" i="13" s="1"/>
  <c r="C49" i="13"/>
  <c r="F49" i="13" s="1"/>
  <c r="B49" i="13"/>
  <c r="G49" i="13" s="1"/>
  <c r="C48" i="13"/>
  <c r="F48" i="13" s="1"/>
  <c r="B48" i="13"/>
  <c r="G48" i="13" s="1"/>
  <c r="C47" i="13"/>
  <c r="F47" i="13" s="1"/>
  <c r="B47" i="13"/>
  <c r="G47" i="13" s="1"/>
  <c r="C46" i="13"/>
  <c r="F46" i="13" s="1"/>
  <c r="B46" i="13"/>
  <c r="G46" i="13" s="1"/>
  <c r="C45" i="13"/>
  <c r="F45" i="13" s="1"/>
  <c r="B45" i="13"/>
  <c r="G45" i="13" s="1"/>
  <c r="C44" i="13"/>
  <c r="F44" i="13" s="1"/>
  <c r="B44" i="13"/>
  <c r="G44" i="13" s="1"/>
  <c r="C43" i="13"/>
  <c r="F43" i="13" s="1"/>
  <c r="B43" i="13"/>
  <c r="G43" i="13" s="1"/>
  <c r="C42" i="13"/>
  <c r="F42" i="13" s="1"/>
  <c r="B42" i="13"/>
  <c r="G42" i="13" s="1"/>
  <c r="C41" i="13"/>
  <c r="F41" i="13" s="1"/>
  <c r="B41" i="13"/>
  <c r="G41" i="13" s="1"/>
  <c r="C40" i="13"/>
  <c r="F40" i="13" s="1"/>
  <c r="B40" i="13"/>
  <c r="G40" i="13" s="1"/>
  <c r="C39" i="13"/>
  <c r="F39" i="13" s="1"/>
  <c r="B39" i="13"/>
  <c r="G39" i="13" s="1"/>
  <c r="C38" i="13"/>
  <c r="F38" i="13" s="1"/>
  <c r="B38" i="13"/>
  <c r="G38" i="13" s="1"/>
  <c r="C37" i="13"/>
  <c r="F37" i="13" s="1"/>
  <c r="B37" i="13"/>
  <c r="G37" i="13" s="1"/>
  <c r="C36" i="13"/>
  <c r="F36" i="13" s="1"/>
  <c r="B36" i="13"/>
  <c r="G36" i="13" s="1"/>
  <c r="C35" i="13"/>
  <c r="F35" i="13" s="1"/>
  <c r="B35" i="13"/>
  <c r="G35" i="13" s="1"/>
  <c r="C34" i="13"/>
  <c r="F34" i="13" s="1"/>
  <c r="B34" i="13"/>
  <c r="G34" i="13" s="1"/>
  <c r="C33" i="13"/>
  <c r="F33" i="13" s="1"/>
  <c r="B33" i="13"/>
  <c r="G33" i="13" s="1"/>
  <c r="C32" i="13"/>
  <c r="F32" i="13" s="1"/>
  <c r="B32" i="13"/>
  <c r="G32" i="13" s="1"/>
  <c r="C31" i="13"/>
  <c r="F31" i="13" s="1"/>
  <c r="B31" i="13"/>
  <c r="G31" i="13" s="1"/>
  <c r="C30" i="13"/>
  <c r="F30" i="13" s="1"/>
  <c r="B30" i="13"/>
  <c r="G30" i="13" s="1"/>
  <c r="C29" i="13"/>
  <c r="F29" i="13" s="1"/>
  <c r="B29" i="13"/>
  <c r="G29" i="13" s="1"/>
  <c r="C28" i="13"/>
  <c r="F28" i="13" s="1"/>
  <c r="B28" i="13"/>
  <c r="G28" i="13" s="1"/>
  <c r="C27" i="13"/>
  <c r="F27" i="13" s="1"/>
  <c r="B27" i="13"/>
  <c r="G27" i="13" s="1"/>
  <c r="C26" i="13"/>
  <c r="F26" i="13" s="1"/>
  <c r="B26" i="13"/>
  <c r="G26" i="13" s="1"/>
  <c r="C25" i="13"/>
  <c r="F25" i="13" s="1"/>
  <c r="B25" i="13"/>
  <c r="G25" i="13" s="1"/>
  <c r="C24" i="13"/>
  <c r="F24" i="13" s="1"/>
  <c r="B24" i="13"/>
  <c r="G24" i="13" s="1"/>
  <c r="C23" i="13"/>
  <c r="F23" i="13" s="1"/>
  <c r="B23" i="13"/>
  <c r="G23" i="13" s="1"/>
  <c r="C22" i="13"/>
  <c r="F22" i="13" s="1"/>
  <c r="B22" i="13"/>
  <c r="G22" i="13" s="1"/>
  <c r="C21" i="13"/>
  <c r="F21" i="13" s="1"/>
  <c r="B21" i="13"/>
  <c r="G21" i="13" s="1"/>
  <c r="C20" i="13"/>
  <c r="F20" i="13" s="1"/>
  <c r="B20" i="13"/>
  <c r="G20" i="13" s="1"/>
  <c r="C19" i="13"/>
  <c r="F19" i="13" s="1"/>
  <c r="B19" i="13"/>
  <c r="G19" i="13" s="1"/>
  <c r="C18" i="13"/>
  <c r="F18" i="13" s="1"/>
  <c r="B18" i="13"/>
  <c r="G18" i="13" s="1"/>
  <c r="C17" i="13"/>
  <c r="F17" i="13" s="1"/>
  <c r="B17" i="13"/>
  <c r="G17" i="13" s="1"/>
  <c r="C16" i="13"/>
  <c r="F16" i="13" s="1"/>
  <c r="B16" i="13"/>
  <c r="G16" i="13" s="1"/>
  <c r="C15" i="13"/>
  <c r="F15" i="13" s="1"/>
  <c r="B15" i="13"/>
  <c r="G15" i="13" s="1"/>
  <c r="C14" i="13"/>
  <c r="F14" i="13" s="1"/>
  <c r="B14" i="13"/>
  <c r="G14" i="13" s="1"/>
  <c r="C13" i="13"/>
  <c r="F13" i="13" s="1"/>
  <c r="B13" i="13"/>
  <c r="G13" i="13" s="1"/>
  <c r="C12" i="13"/>
  <c r="F12" i="13" s="1"/>
  <c r="B12" i="13"/>
  <c r="G12" i="13" s="1"/>
  <c r="C11" i="13"/>
  <c r="F11" i="13" s="1"/>
  <c r="B11" i="13"/>
  <c r="G11" i="13" s="1"/>
  <c r="C10" i="13"/>
  <c r="F10" i="13" s="1"/>
  <c r="B10" i="13"/>
  <c r="G10" i="13" s="1"/>
  <c r="C9" i="13"/>
  <c r="F9" i="13" s="1"/>
  <c r="B9" i="13"/>
  <c r="G9" i="13" s="1"/>
  <c r="C8" i="13"/>
  <c r="F8" i="13" s="1"/>
  <c r="B8" i="13"/>
  <c r="G8" i="13" s="1"/>
  <c r="C7" i="13"/>
  <c r="F7" i="13" s="1"/>
  <c r="B7" i="13"/>
  <c r="G7" i="13" s="1"/>
  <c r="C6" i="13"/>
  <c r="F6" i="13" s="1"/>
  <c r="B6" i="13"/>
  <c r="G6" i="13" s="1"/>
  <c r="G1" i="13"/>
  <c r="F1" i="13"/>
  <c r="C1" i="13"/>
  <c r="B1" i="13"/>
  <c r="A58" i="12" a="1"/>
  <c r="B62" i="12" s="1"/>
  <c r="C53" i="12"/>
  <c r="B53" i="12"/>
  <c r="J43" i="12"/>
  <c r="N36" i="12"/>
  <c r="J27" i="12"/>
  <c r="N9" i="12"/>
  <c r="N11" i="12" s="1"/>
  <c r="W63" i="11"/>
  <c r="W62" i="11"/>
  <c r="W61" i="11"/>
  <c r="W59" i="11"/>
  <c r="W58" i="11"/>
  <c r="C58" i="11"/>
  <c r="W56" i="11"/>
  <c r="W55" i="11"/>
  <c r="W54" i="11"/>
  <c r="A53" i="11"/>
  <c r="W52" i="11"/>
  <c r="W51" i="11"/>
  <c r="A51" i="11"/>
  <c r="W50" i="11"/>
  <c r="W49" i="11"/>
  <c r="W48" i="11"/>
  <c r="W46" i="11"/>
  <c r="W45" i="11"/>
  <c r="W44" i="11"/>
  <c r="W42" i="11"/>
  <c r="W41" i="11"/>
  <c r="W40" i="11"/>
  <c r="W38" i="11"/>
  <c r="W37" i="11"/>
  <c r="W36" i="11"/>
  <c r="W34" i="11"/>
  <c r="W33" i="11"/>
  <c r="W32" i="11"/>
  <c r="W30" i="11"/>
  <c r="W29" i="11"/>
  <c r="W28" i="11"/>
  <c r="W25" i="11"/>
  <c r="W24" i="11"/>
  <c r="C24" i="11"/>
  <c r="B24" i="11"/>
  <c r="W23" i="11"/>
  <c r="W21" i="11"/>
  <c r="W20" i="11"/>
  <c r="W19" i="11"/>
  <c r="B19" i="11"/>
  <c r="W60" i="11" s="1"/>
  <c r="W18" i="11"/>
  <c r="W17" i="11"/>
  <c r="W16" i="11"/>
  <c r="W15" i="11"/>
  <c r="W14" i="11"/>
  <c r="I12" i="11"/>
  <c r="H12" i="11"/>
  <c r="G12" i="11"/>
  <c r="F12" i="11"/>
  <c r="E12" i="11"/>
  <c r="D12" i="11"/>
  <c r="C12" i="11"/>
  <c r="L11" i="11"/>
  <c r="J11" i="11"/>
  <c r="L10" i="11"/>
  <c r="J10" i="11"/>
  <c r="L9" i="11"/>
  <c r="J9" i="11"/>
  <c r="L8" i="11"/>
  <c r="J8" i="11"/>
  <c r="L7" i="11"/>
  <c r="L13" i="11" s="1"/>
  <c r="J7" i="11"/>
  <c r="L6" i="11"/>
  <c r="J6" i="11"/>
  <c r="L5" i="11"/>
  <c r="J5" i="11"/>
  <c r="B68" i="10"/>
  <c r="C56" i="10"/>
  <c r="B40" i="10"/>
  <c r="B26" i="10"/>
  <c r="C24" i="10"/>
  <c r="C38" i="10" s="1"/>
  <c r="C54" i="10" s="1"/>
  <c r="D23" i="10"/>
  <c r="B40" i="9"/>
  <c r="E40" i="9" s="1"/>
  <c r="H39" i="9"/>
  <c r="F39" i="9"/>
  <c r="E39" i="9"/>
  <c r="G39" i="9" s="1"/>
  <c r="D39" i="9"/>
  <c r="I39" i="9" s="1"/>
  <c r="C39" i="9"/>
  <c r="K27" i="9"/>
  <c r="E26" i="9"/>
  <c r="C26" i="9"/>
  <c r="J17" i="9"/>
  <c r="I17" i="9"/>
  <c r="I16" i="9"/>
  <c r="P15" i="9"/>
  <c r="J15" i="9"/>
  <c r="I15" i="9"/>
  <c r="J14" i="9"/>
  <c r="I14" i="9"/>
  <c r="C14" i="9"/>
  <c r="D14" i="9" s="1"/>
  <c r="K14" i="9" s="1"/>
  <c r="D4" i="9"/>
  <c r="B4" i="9"/>
  <c r="C4" i="9" s="1"/>
  <c r="B5" i="9" s="1"/>
  <c r="C5" i="9" s="1"/>
  <c r="B6" i="9" s="1"/>
  <c r="C3" i="9"/>
  <c r="D3" i="9" s="1"/>
  <c r="B26" i="7"/>
  <c r="B25" i="7"/>
  <c r="F15" i="7"/>
  <c r="D15" i="7"/>
  <c r="E15" i="7" s="1"/>
  <c r="C15" i="7"/>
  <c r="B16" i="7" s="1"/>
  <c r="B11" i="7"/>
  <c r="B10" i="7"/>
  <c r="D7" i="7"/>
  <c r="D5" i="7"/>
  <c r="S9" i="3"/>
  <c r="S8" i="3"/>
  <c r="S7" i="3"/>
  <c r="S6" i="3"/>
  <c r="S4" i="3"/>
  <c r="R2" i="3"/>
  <c r="E2" i="3"/>
  <c r="L40" i="2"/>
  <c r="L38" i="2"/>
  <c r="L36" i="2"/>
  <c r="L34" i="2"/>
  <c r="L32" i="2"/>
  <c r="L30" i="2"/>
  <c r="C3" i="2"/>
  <c r="J20" i="1"/>
  <c r="C6" i="9" l="1"/>
  <c r="B7" i="9" s="1"/>
  <c r="B4" i="2"/>
  <c r="F3" i="2"/>
  <c r="R3" i="2"/>
  <c r="D3" i="2"/>
  <c r="E3" i="2" s="1"/>
  <c r="J15" i="7"/>
  <c r="K15" i="7" s="1"/>
  <c r="G15" i="7"/>
  <c r="H15" i="7" s="1"/>
  <c r="B15" i="9"/>
  <c r="F2" i="3"/>
  <c r="E3" i="3" s="1"/>
  <c r="G14" i="9"/>
  <c r="D16" i="7"/>
  <c r="E16" i="7" s="1"/>
  <c r="F16" i="7"/>
  <c r="C16" i="7"/>
  <c r="B17" i="7" s="1"/>
  <c r="D5" i="9"/>
  <c r="I18" i="9"/>
  <c r="J16" i="9"/>
  <c r="D26" i="9"/>
  <c r="B27" i="9"/>
  <c r="F26" i="9"/>
  <c r="G26" i="9" s="1"/>
  <c r="C40" i="9"/>
  <c r="D24" i="10"/>
  <c r="D38" i="10" s="1"/>
  <c r="D54" i="10" s="1"/>
  <c r="D56" i="10"/>
  <c r="C40" i="10"/>
  <c r="N12" i="12"/>
  <c r="C26" i="10"/>
  <c r="A27" i="10"/>
  <c r="D40" i="10"/>
  <c r="B56" i="10"/>
  <c r="W22" i="11"/>
  <c r="D24" i="11"/>
  <c r="W27" i="11"/>
  <c r="W31" i="11"/>
  <c r="W35" i="11"/>
  <c r="W39" i="11"/>
  <c r="W43" i="11"/>
  <c r="W47" i="11"/>
  <c r="W53" i="11"/>
  <c r="W57" i="11"/>
  <c r="A59" i="12"/>
  <c r="A61" i="12"/>
  <c r="A58" i="12"/>
  <c r="B59" i="12"/>
  <c r="B61" i="12"/>
  <c r="A60" i="12"/>
  <c r="A62" i="12"/>
  <c r="B58" i="12"/>
  <c r="B60" i="12"/>
  <c r="N13" i="12" l="1"/>
  <c r="C17" i="7"/>
  <c r="B18" i="7" s="1"/>
  <c r="F17" i="7"/>
  <c r="D17" i="7"/>
  <c r="E17" i="7" s="1"/>
  <c r="C4" i="2"/>
  <c r="D4" i="2" s="1"/>
  <c r="E4" i="2" s="1"/>
  <c r="B27" i="10"/>
  <c r="A28" i="10" s="1"/>
  <c r="B41" i="9"/>
  <c r="F40" i="9"/>
  <c r="G40" i="9" s="1"/>
  <c r="D40" i="9"/>
  <c r="J16" i="7"/>
  <c r="K16" i="7" s="1"/>
  <c r="G16" i="7"/>
  <c r="H16" i="7" s="1"/>
  <c r="E15" i="9"/>
  <c r="C15" i="9"/>
  <c r="D15" i="9"/>
  <c r="K15" i="9" s="1"/>
  <c r="G2" i="3"/>
  <c r="H2" i="3" s="1"/>
  <c r="H26" i="9"/>
  <c r="I26" i="9" s="1"/>
  <c r="F3" i="3"/>
  <c r="E4" i="3" s="1"/>
  <c r="D6" i="9"/>
  <c r="E23" i="10"/>
  <c r="D26" i="10"/>
  <c r="E27" i="9"/>
  <c r="C27" i="9"/>
  <c r="I2" i="3"/>
  <c r="J2" i="3" s="1"/>
  <c r="G3" i="2"/>
  <c r="C7" i="9"/>
  <c r="B8" i="9" s="1"/>
  <c r="C41" i="9" l="1"/>
  <c r="E41" i="9"/>
  <c r="D41" i="10"/>
  <c r="C57" i="10"/>
  <c r="K2" i="3"/>
  <c r="F4" i="3"/>
  <c r="E5" i="3" s="1"/>
  <c r="G4" i="3"/>
  <c r="H4" i="3" s="1"/>
  <c r="G17" i="7"/>
  <c r="H17" i="7" s="1"/>
  <c r="J17" i="7"/>
  <c r="K17" i="7" s="1"/>
  <c r="H3" i="2"/>
  <c r="B28" i="10"/>
  <c r="A29" i="10" s="1"/>
  <c r="D57" i="10"/>
  <c r="D27" i="10"/>
  <c r="B41" i="10"/>
  <c r="B5" i="2"/>
  <c r="R4" i="2"/>
  <c r="C8" i="9"/>
  <c r="B9" i="9" s="1"/>
  <c r="F27" i="9"/>
  <c r="G27" i="9" s="1"/>
  <c r="B28" i="9"/>
  <c r="E24" i="10"/>
  <c r="F23" i="10" s="1"/>
  <c r="I3" i="3"/>
  <c r="B16" i="9"/>
  <c r="G15" i="9"/>
  <c r="D7" i="9"/>
  <c r="D27" i="9"/>
  <c r="G3" i="3"/>
  <c r="H3" i="3" s="1"/>
  <c r="H40" i="9"/>
  <c r="I40" i="9" s="1"/>
  <c r="C27" i="10"/>
  <c r="C41" i="10"/>
  <c r="E41" i="10"/>
  <c r="E27" i="10"/>
  <c r="B57" i="10"/>
  <c r="F4" i="2"/>
  <c r="G4" i="2" s="1"/>
  <c r="H4" i="2" s="1"/>
  <c r="C18" i="7"/>
  <c r="B19" i="7" s="1"/>
  <c r="D52" i="12"/>
  <c r="E52" i="12" s="1"/>
  <c r="D51" i="12"/>
  <c r="E51" i="12" s="1"/>
  <c r="D49" i="12"/>
  <c r="E49" i="12" s="1"/>
  <c r="D48" i="12"/>
  <c r="E48" i="12" s="1"/>
  <c r="D43" i="12"/>
  <c r="E43" i="12" s="1"/>
  <c r="D41" i="12"/>
  <c r="E41" i="12" s="1"/>
  <c r="D36" i="12"/>
  <c r="E36" i="12" s="1"/>
  <c r="D33" i="12"/>
  <c r="E33" i="12" s="1"/>
  <c r="D30" i="12"/>
  <c r="E30" i="12" s="1"/>
  <c r="D28" i="12"/>
  <c r="E28" i="12" s="1"/>
  <c r="D25" i="12"/>
  <c r="E25" i="12" s="1"/>
  <c r="D23" i="12"/>
  <c r="E23" i="12" s="1"/>
  <c r="D13" i="12"/>
  <c r="E13" i="12" s="1"/>
  <c r="D10" i="12"/>
  <c r="E10" i="12" s="1"/>
  <c r="D50" i="12"/>
  <c r="E50" i="12" s="1"/>
  <c r="D47" i="12"/>
  <c r="E47" i="12" s="1"/>
  <c r="D45" i="12"/>
  <c r="E45" i="12" s="1"/>
  <c r="K39" i="12"/>
  <c r="D38" i="12"/>
  <c r="E38" i="12" s="1"/>
  <c r="D35" i="12"/>
  <c r="E35" i="12" s="1"/>
  <c r="D32" i="12"/>
  <c r="E32" i="12" s="1"/>
  <c r="D27" i="12"/>
  <c r="E27" i="12" s="1"/>
  <c r="D19" i="12"/>
  <c r="E19" i="12" s="1"/>
  <c r="D17" i="12"/>
  <c r="E17" i="12" s="1"/>
  <c r="D15" i="12"/>
  <c r="E15" i="12" s="1"/>
  <c r="D12" i="12"/>
  <c r="E12" i="12" s="1"/>
  <c r="D9" i="12"/>
  <c r="E9" i="12" s="1"/>
  <c r="D7" i="12"/>
  <c r="E7" i="12" s="1"/>
  <c r="D5" i="12"/>
  <c r="E5" i="12" s="1"/>
  <c r="D3" i="12"/>
  <c r="D46" i="12"/>
  <c r="E46" i="12" s="1"/>
  <c r="D42" i="12"/>
  <c r="E42" i="12" s="1"/>
  <c r="D29" i="12"/>
  <c r="E29" i="12" s="1"/>
  <c r="D22" i="12"/>
  <c r="E22" i="12" s="1"/>
  <c r="D44" i="12"/>
  <c r="E44" i="12" s="1"/>
  <c r="D37" i="12"/>
  <c r="E37" i="12" s="1"/>
  <c r="D40" i="12"/>
  <c r="E40" i="12" s="1"/>
  <c r="D34" i="12"/>
  <c r="E34" i="12" s="1"/>
  <c r="D31" i="12"/>
  <c r="E31" i="12" s="1"/>
  <c r="D24" i="12"/>
  <c r="E24" i="12" s="1"/>
  <c r="D21" i="12"/>
  <c r="E21" i="12" s="1"/>
  <c r="D11" i="12"/>
  <c r="E11" i="12" s="1"/>
  <c r="D39" i="12"/>
  <c r="E39" i="12" s="1"/>
  <c r="D26" i="12"/>
  <c r="E26" i="12" s="1"/>
  <c r="D20" i="12"/>
  <c r="E20" i="12" s="1"/>
  <c r="D16" i="12"/>
  <c r="E16" i="12" s="1"/>
  <c r="D6" i="12"/>
  <c r="E6" i="12" s="1"/>
  <c r="D18" i="12"/>
  <c r="E18" i="12" s="1"/>
  <c r="D8" i="12"/>
  <c r="E8" i="12" s="1"/>
  <c r="D14" i="12"/>
  <c r="E14" i="12" s="1"/>
  <c r="D4" i="12"/>
  <c r="E4" i="12" s="1"/>
  <c r="H27" i="9" l="1"/>
  <c r="C19" i="7"/>
  <c r="B20" i="7" s="1"/>
  <c r="D54" i="12"/>
  <c r="K21" i="12" s="1"/>
  <c r="D53" i="12"/>
  <c r="E3" i="12"/>
  <c r="D18" i="7"/>
  <c r="E18" i="7" s="1"/>
  <c r="I27" i="9"/>
  <c r="E26" i="10"/>
  <c r="F5" i="2"/>
  <c r="D5" i="2"/>
  <c r="E5" i="2" s="1"/>
  <c r="C5" i="2"/>
  <c r="E28" i="10"/>
  <c r="C42" i="10"/>
  <c r="C28" i="10"/>
  <c r="C58" i="10"/>
  <c r="I5" i="3"/>
  <c r="F5" i="3"/>
  <c r="E6" i="3" s="1"/>
  <c r="G41" i="9"/>
  <c r="F18" i="7"/>
  <c r="J3" i="3"/>
  <c r="E38" i="10"/>
  <c r="E54" i="10" s="1"/>
  <c r="D8" i="9"/>
  <c r="B42" i="10"/>
  <c r="B42" i="9"/>
  <c r="F41" i="9"/>
  <c r="E56" i="10"/>
  <c r="E40" i="10"/>
  <c r="C9" i="9"/>
  <c r="D9" i="9" s="1"/>
  <c r="E57" i="10"/>
  <c r="E42" i="10"/>
  <c r="E58" i="10"/>
  <c r="B29" i="10"/>
  <c r="A30" i="10" s="1"/>
  <c r="F29" i="10"/>
  <c r="B58" i="10"/>
  <c r="D42" i="10"/>
  <c r="E16" i="9"/>
  <c r="C16" i="9"/>
  <c r="D16" i="9" s="1"/>
  <c r="K16" i="9" s="1"/>
  <c r="F24" i="10"/>
  <c r="G23" i="10" s="1"/>
  <c r="F40" i="10"/>
  <c r="F26" i="10"/>
  <c r="D28" i="9"/>
  <c r="C28" i="9"/>
  <c r="E28" i="9"/>
  <c r="D58" i="10"/>
  <c r="D28" i="10"/>
  <c r="F58" i="10"/>
  <c r="I4" i="3"/>
  <c r="J4" i="3" s="1"/>
  <c r="K4" i="3" s="1"/>
  <c r="D41" i="9"/>
  <c r="H41" i="9" l="1"/>
  <c r="B29" i="9"/>
  <c r="F28" i="9"/>
  <c r="F38" i="10"/>
  <c r="F54" i="10" s="1"/>
  <c r="C43" i="10"/>
  <c r="E59" i="10"/>
  <c r="D29" i="10"/>
  <c r="B59" i="10"/>
  <c r="B43" i="10"/>
  <c r="F42" i="10"/>
  <c r="G5" i="3"/>
  <c r="H5" i="3" s="1"/>
  <c r="B6" i="2"/>
  <c r="R5" i="2"/>
  <c r="E54" i="12"/>
  <c r="E53" i="12"/>
  <c r="F19" i="7"/>
  <c r="F59" i="10"/>
  <c r="F43" i="10"/>
  <c r="K3" i="3"/>
  <c r="C20" i="7"/>
  <c r="B21" i="7" s="1"/>
  <c r="F27" i="10"/>
  <c r="I41" i="9"/>
  <c r="D60" i="10"/>
  <c r="C30" i="10"/>
  <c r="C44" i="10"/>
  <c r="B30" i="10"/>
  <c r="A31" i="10" s="1"/>
  <c r="E44" i="10"/>
  <c r="F60" i="10"/>
  <c r="B44" i="10"/>
  <c r="E30" i="10"/>
  <c r="B60" i="10"/>
  <c r="F44" i="10"/>
  <c r="D30" i="10"/>
  <c r="C29" i="10"/>
  <c r="E43" i="10"/>
  <c r="E29" i="10"/>
  <c r="C59" i="10"/>
  <c r="C42" i="9"/>
  <c r="D42" i="9" s="1"/>
  <c r="E42" i="9"/>
  <c r="J18" i="7"/>
  <c r="K18" i="7" s="1"/>
  <c r="G18" i="7"/>
  <c r="H18" i="7" s="1"/>
  <c r="F6" i="3"/>
  <c r="E7" i="3" s="1"/>
  <c r="G5" i="2"/>
  <c r="O21" i="12"/>
  <c r="K25" i="12"/>
  <c r="G24" i="10"/>
  <c r="H23" i="10" s="1"/>
  <c r="G26" i="10"/>
  <c r="F41" i="10"/>
  <c r="F28" i="10"/>
  <c r="G28" i="9"/>
  <c r="F56" i="10"/>
  <c r="B17" i="9"/>
  <c r="G16" i="9"/>
  <c r="D43" i="10"/>
  <c r="D59" i="10"/>
  <c r="F57" i="10"/>
  <c r="D19" i="7"/>
  <c r="E19" i="7" s="1"/>
  <c r="G29" i="10" l="1"/>
  <c r="H28" i="9"/>
  <c r="I28" i="9" s="1"/>
  <c r="G41" i="10"/>
  <c r="G56" i="10"/>
  <c r="I6" i="3"/>
  <c r="G57" i="10"/>
  <c r="G38" i="10"/>
  <c r="G54" i="10" s="1"/>
  <c r="G6" i="3"/>
  <c r="H6" i="3" s="1"/>
  <c r="G43" i="10"/>
  <c r="E60" i="10"/>
  <c r="H30" i="10"/>
  <c r="F30" i="10"/>
  <c r="G60" i="10"/>
  <c r="D20" i="7"/>
  <c r="E20" i="7" s="1"/>
  <c r="N31" i="12"/>
  <c r="K32" i="12" s="1"/>
  <c r="I20" i="12"/>
  <c r="D29" i="9"/>
  <c r="C29" i="9"/>
  <c r="E29" i="9"/>
  <c r="E17" i="9"/>
  <c r="C17" i="9"/>
  <c r="D17" i="9" s="1"/>
  <c r="K17" i="9" s="1"/>
  <c r="K19" i="9" s="1"/>
  <c r="J5" i="3"/>
  <c r="G27" i="10"/>
  <c r="G40" i="10"/>
  <c r="B43" i="9"/>
  <c r="E43" i="9" s="1"/>
  <c r="G43" i="9" s="1"/>
  <c r="H43" i="9" s="1"/>
  <c r="I43" i="9" s="1"/>
  <c r="F42" i="9"/>
  <c r="G44" i="10"/>
  <c r="G30" i="10"/>
  <c r="C21" i="7"/>
  <c r="F21" i="7"/>
  <c r="D21" i="7"/>
  <c r="E21" i="7" s="1"/>
  <c r="J19" i="7"/>
  <c r="K19" i="7" s="1"/>
  <c r="G19" i="7"/>
  <c r="H19" i="7" s="1"/>
  <c r="H38" i="10"/>
  <c r="H54" i="10" s="1"/>
  <c r="H24" i="10"/>
  <c r="I23" i="10" s="1"/>
  <c r="H56" i="10"/>
  <c r="H40" i="10"/>
  <c r="H27" i="10"/>
  <c r="H57" i="10"/>
  <c r="H58" i="10"/>
  <c r="H28" i="10"/>
  <c r="H5" i="2"/>
  <c r="F7" i="3"/>
  <c r="E8" i="3" s="1"/>
  <c r="I7" i="3"/>
  <c r="G7" i="3"/>
  <c r="H7" i="3" s="1"/>
  <c r="G42" i="9"/>
  <c r="G59" i="10"/>
  <c r="H43" i="10"/>
  <c r="B31" i="10"/>
  <c r="A32" i="10" s="1"/>
  <c r="C60" i="10"/>
  <c r="D44" i="10"/>
  <c r="F20" i="7"/>
  <c r="G28" i="10"/>
  <c r="C6" i="2"/>
  <c r="G58" i="10"/>
  <c r="G42" i="10"/>
  <c r="B32" i="10" l="1"/>
  <c r="B62" i="10" s="1"/>
  <c r="H62" i="10"/>
  <c r="D62" i="10"/>
  <c r="D63" i="10" s="1"/>
  <c r="E46" i="10"/>
  <c r="D31" i="10"/>
  <c r="B45" i="10"/>
  <c r="J7" i="3"/>
  <c r="K7" i="3" s="1"/>
  <c r="I24" i="10"/>
  <c r="I40" i="10" s="1"/>
  <c r="I56" i="10"/>
  <c r="I57" i="10"/>
  <c r="J57" i="10" s="1"/>
  <c r="I60" i="10"/>
  <c r="G21" i="7"/>
  <c r="H21" i="7" s="1"/>
  <c r="J21" i="7"/>
  <c r="K21" i="7" s="1"/>
  <c r="K23" i="7" s="1"/>
  <c r="L34" i="12"/>
  <c r="J46" i="12"/>
  <c r="H44" i="10"/>
  <c r="J44" i="10" s="1"/>
  <c r="B7" i="2"/>
  <c r="R6" i="2"/>
  <c r="G20" i="7"/>
  <c r="H20" i="7" s="1"/>
  <c r="J20" i="7"/>
  <c r="K20" i="7" s="1"/>
  <c r="G61" i="10"/>
  <c r="C61" i="10"/>
  <c r="D61" i="10"/>
  <c r="D6" i="2"/>
  <c r="E6" i="2" s="1"/>
  <c r="G45" i="10"/>
  <c r="B61" i="10"/>
  <c r="F31" i="10"/>
  <c r="H31" i="10"/>
  <c r="H61" i="10"/>
  <c r="F45" i="10"/>
  <c r="F6" i="2"/>
  <c r="G6" i="2" s="1"/>
  <c r="G31" i="10"/>
  <c r="C31" i="10"/>
  <c r="C45" i="10"/>
  <c r="E45" i="10"/>
  <c r="E47" i="10" s="1"/>
  <c r="E31" i="10"/>
  <c r="E61" i="10"/>
  <c r="F8" i="3"/>
  <c r="G8" i="3" s="1"/>
  <c r="H8" i="3" s="1"/>
  <c r="H42" i="10"/>
  <c r="H41" i="10"/>
  <c r="H26" i="10"/>
  <c r="H59" i="10"/>
  <c r="B30" i="9"/>
  <c r="E30" i="9" s="1"/>
  <c r="G30" i="9" s="1"/>
  <c r="H30" i="9" s="1"/>
  <c r="I30" i="9" s="1"/>
  <c r="F29" i="9"/>
  <c r="G29" i="9" s="1"/>
  <c r="H29" i="10"/>
  <c r="I44" i="10"/>
  <c r="H60" i="10"/>
  <c r="J60" i="10" s="1"/>
  <c r="D45" i="10"/>
  <c r="H45" i="10"/>
  <c r="F61" i="10"/>
  <c r="I45" i="10"/>
  <c r="I31" i="10"/>
  <c r="I61" i="10"/>
  <c r="H42" i="9"/>
  <c r="I42" i="9" s="1"/>
  <c r="I45" i="9" s="1"/>
  <c r="G45" i="9"/>
  <c r="K5" i="3"/>
  <c r="J6" i="3"/>
  <c r="K6" i="3" s="1"/>
  <c r="J40" i="10" l="1"/>
  <c r="H29" i="9"/>
  <c r="I29" i="9" s="1"/>
  <c r="I32" i="9" s="1"/>
  <c r="G32" i="9"/>
  <c r="J31" i="10"/>
  <c r="J45" i="10"/>
  <c r="J61" i="10"/>
  <c r="E25" i="7"/>
  <c r="F25" i="7" s="1"/>
  <c r="E26" i="7"/>
  <c r="F26" i="7" s="1"/>
  <c r="I43" i="10"/>
  <c r="J43" i="10" s="1"/>
  <c r="I28" i="10"/>
  <c r="J28" i="10" s="1"/>
  <c r="I41" i="10"/>
  <c r="I47" i="10" s="1"/>
  <c r="I26" i="10"/>
  <c r="B46" i="10"/>
  <c r="F46" i="10"/>
  <c r="F47" i="10" s="1"/>
  <c r="C62" i="10"/>
  <c r="G46" i="10"/>
  <c r="G47" i="10" s="1"/>
  <c r="G32" i="10"/>
  <c r="G33" i="10" s="1"/>
  <c r="F62" i="10"/>
  <c r="F63" i="10" s="1"/>
  <c r="I48" i="12"/>
  <c r="K48" i="12"/>
  <c r="J56" i="10"/>
  <c r="E62" i="10"/>
  <c r="E63" i="10" s="1"/>
  <c r="D46" i="10"/>
  <c r="D47" i="10" s="1"/>
  <c r="F7" i="2"/>
  <c r="C7" i="2"/>
  <c r="D7" i="2" s="1"/>
  <c r="E7" i="2" s="1"/>
  <c r="I8" i="3"/>
  <c r="J8" i="3" s="1"/>
  <c r="L35" i="12"/>
  <c r="I51" i="12"/>
  <c r="K51" i="12"/>
  <c r="I30" i="10"/>
  <c r="J30" i="10" s="1"/>
  <c r="I59" i="10"/>
  <c r="J59" i="10" s="1"/>
  <c r="I58" i="10"/>
  <c r="J58" i="10" s="1"/>
  <c r="I38" i="10"/>
  <c r="I54" i="10" s="1"/>
  <c r="H63" i="10"/>
  <c r="H32" i="10"/>
  <c r="G62" i="10"/>
  <c r="G63" i="10" s="1"/>
  <c r="D32" i="10"/>
  <c r="D33" i="10" s="1"/>
  <c r="F32" i="10"/>
  <c r="F33" i="10" s="1"/>
  <c r="I62" i="10"/>
  <c r="H46" i="10"/>
  <c r="H47" i="10" s="1"/>
  <c r="H33" i="10"/>
  <c r="J26" i="10"/>
  <c r="H6" i="2"/>
  <c r="I29" i="10"/>
  <c r="J29" i="10" s="1"/>
  <c r="I42" i="10"/>
  <c r="J42" i="10" s="1"/>
  <c r="I27" i="10"/>
  <c r="J27" i="10" s="1"/>
  <c r="E32" i="10"/>
  <c r="E33" i="10" s="1"/>
  <c r="I32" i="10"/>
  <c r="I46" i="10"/>
  <c r="C46" i="10"/>
  <c r="J46" i="10" s="1"/>
  <c r="K46" i="10" s="1"/>
  <c r="C32" i="10"/>
  <c r="C33" i="10" s="1"/>
  <c r="K59" i="10" l="1"/>
  <c r="L59" i="10" s="1"/>
  <c r="K53" i="12"/>
  <c r="I53" i="12"/>
  <c r="K56" i="10"/>
  <c r="I33" i="10"/>
  <c r="C47" i="10"/>
  <c r="G7" i="2"/>
  <c r="I63" i="10"/>
  <c r="J62" i="10"/>
  <c r="C63" i="10"/>
  <c r="K45" i="10"/>
  <c r="K44" i="10"/>
  <c r="J32" i="10"/>
  <c r="K8" i="3"/>
  <c r="K10" i="3" s="1"/>
  <c r="J10" i="3"/>
  <c r="R4" i="3" s="1"/>
  <c r="L61" i="10"/>
  <c r="K61" i="10"/>
  <c r="J41" i="10"/>
  <c r="K58" i="10"/>
  <c r="L58" i="10"/>
  <c r="B8" i="2"/>
  <c r="R7" i="2"/>
  <c r="K57" i="10"/>
  <c r="L57" i="10" s="1"/>
  <c r="K43" i="10"/>
  <c r="K60" i="10"/>
  <c r="L60" i="10" s="1"/>
  <c r="F8" i="2" l="1"/>
  <c r="C8" i="2"/>
  <c r="H7" i="2"/>
  <c r="K62" i="10"/>
  <c r="L62" i="10"/>
  <c r="O58" i="10" l="1"/>
  <c r="B9" i="2"/>
  <c r="R8" i="2"/>
  <c r="D8" i="2"/>
  <c r="E8" i="2" s="1"/>
  <c r="C9" i="2" l="1"/>
  <c r="G8" i="2"/>
  <c r="H8" i="2" s="1"/>
  <c r="R9" i="2" l="1"/>
  <c r="B11" i="2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  <c r="B22" i="2" s="1"/>
  <c r="C22" i="2" s="1"/>
  <c r="B23" i="2" s="1"/>
  <c r="C23" i="2" s="1"/>
  <c r="B24" i="2" s="1"/>
  <c r="C24" i="2" s="1"/>
  <c r="B25" i="2" s="1"/>
  <c r="C25" i="2" s="1"/>
  <c r="B26" i="2" s="1"/>
  <c r="C26" i="2" s="1"/>
  <c r="B27" i="2" s="1"/>
  <c r="C27" i="2" s="1"/>
  <c r="B28" i="2" s="1"/>
  <c r="C28" i="2" s="1"/>
  <c r="B29" i="2" s="1"/>
  <c r="C29" i="2" s="1"/>
  <c r="B30" i="2" s="1"/>
  <c r="C30" i="2" s="1"/>
  <c r="B31" i="2" s="1"/>
  <c r="C31" i="2" s="1"/>
  <c r="B32" i="2" s="1"/>
  <c r="C32" i="2" s="1"/>
  <c r="B33" i="2" s="1"/>
  <c r="C33" i="2" s="1"/>
  <c r="B34" i="2" s="1"/>
  <c r="C34" i="2" s="1"/>
  <c r="B35" i="2" s="1"/>
  <c r="C35" i="2" s="1"/>
  <c r="B36" i="2" s="1"/>
  <c r="C36" i="2" s="1"/>
  <c r="B37" i="2" s="1"/>
  <c r="C37" i="2" s="1"/>
  <c r="B38" i="2" s="1"/>
  <c r="C38" i="2" s="1"/>
  <c r="B39" i="2" s="1"/>
  <c r="C39" i="2" s="1"/>
  <c r="B40" i="2" s="1"/>
  <c r="C40" i="2" s="1"/>
  <c r="B41" i="2" s="1"/>
  <c r="C41" i="2" s="1"/>
  <c r="B42" i="2" s="1"/>
  <c r="C42" i="2" s="1"/>
  <c r="B43" i="2" s="1"/>
  <c r="C43" i="2" s="1"/>
  <c r="B44" i="2" s="1"/>
  <c r="C44" i="2" s="1"/>
  <c r="B45" i="2" s="1"/>
  <c r="C45" i="2" s="1"/>
  <c r="B46" i="2" s="1"/>
  <c r="C46" i="2" s="1"/>
  <c r="B47" i="2" s="1"/>
  <c r="C47" i="2" s="1"/>
  <c r="B48" i="2" s="1"/>
  <c r="C48" i="2" s="1"/>
  <c r="B49" i="2" s="1"/>
  <c r="C49" i="2" s="1"/>
  <c r="B50" i="2" s="1"/>
  <c r="C50" i="2" s="1"/>
  <c r="B51" i="2" s="1"/>
  <c r="C51" i="2" s="1"/>
  <c r="B52" i="2" s="1"/>
  <c r="C52" i="2" s="1"/>
  <c r="B53" i="2" s="1"/>
  <c r="C53" i="2" s="1"/>
  <c r="B54" i="2" s="1"/>
  <c r="C54" i="2" s="1"/>
  <c r="B55" i="2" s="1"/>
  <c r="C55" i="2" s="1"/>
  <c r="B56" i="2" s="1"/>
  <c r="C56" i="2" s="1"/>
  <c r="B57" i="2" s="1"/>
  <c r="C57" i="2" s="1"/>
  <c r="D9" i="2"/>
  <c r="E9" i="2" s="1"/>
  <c r="F9" i="2"/>
  <c r="G9" i="2" l="1"/>
  <c r="H9" i="2" l="1"/>
  <c r="H10" i="2" s="1"/>
  <c r="F16" i="2" s="1"/>
  <c r="F13" i="2"/>
  <c r="F18" i="2" l="1"/>
  <c r="F17" i="2"/>
  <c r="F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<sst xmlns="http://schemas.openxmlformats.org/spreadsheetml/2006/main" count="647" uniqueCount="498">
  <si>
    <t>№</t>
  </si>
  <si>
    <t>Балансовая прибыль, млрд.руб.</t>
  </si>
  <si>
    <t>Курсовая цена акции, тыс.руб.</t>
  </si>
  <si>
    <t>x</t>
  </si>
  <si>
    <t>y</t>
  </si>
  <si>
    <t>50 штук - объём выборки (обозначается n)</t>
  </si>
  <si>
    <t>I want to break free!</t>
  </si>
  <si>
    <t>I waaaaant to breeeeak free!</t>
  </si>
  <si>
    <t>Построим вариационный ряд прибыли х</t>
  </si>
  <si>
    <t>Теперь построим интервальный вариационный ряд</t>
  </si>
  <si>
    <t>Вопрос: на сколько интервалов бить данные</t>
  </si>
  <si>
    <t>Число интервалов обозначим k</t>
  </si>
  <si>
    <t>k=</t>
  </si>
  <si>
    <t>1 + log_2(n)</t>
  </si>
  <si>
    <t>k = 1 + 6 = 7</t>
  </si>
  <si>
    <t>Иногда берут порядка кубического корня из n</t>
  </si>
  <si>
    <t>Разобьём данные на 7 интервалов и будем группировать данные по этим интервалам</t>
  </si>
  <si>
    <t>см лист 2</t>
  </si>
  <si>
    <t>Длина интервала l = (X_max - X_min)/k</t>
  </si>
  <si>
    <t>l=</t>
  </si>
  <si>
    <t>l_i = [a_i; a_{i+1})</t>
  </si>
  <si>
    <t>a_0 = X_min</t>
  </si>
  <si>
    <t>a_1 = X_min + l</t>
  </si>
  <si>
    <t>…</t>
  </si>
  <si>
    <t>Есть и другой подход</t>
  </si>
  <si>
    <t>a_0 = X_min - l/2</t>
  </si>
  <si>
    <t>&gt;&gt;&gt;&gt;</t>
  </si>
  <si>
    <t>Интервалы</t>
  </si>
  <si>
    <t>Частота интервала</t>
  </si>
  <si>
    <t>Относительная частота</t>
  </si>
  <si>
    <t>Среднее арифм интервала</t>
  </si>
  <si>
    <t>a_i</t>
  </si>
  <si>
    <t>a_{i+1}</t>
  </si>
  <si>
    <t>n_i</t>
  </si>
  <si>
    <t>v_i</t>
  </si>
  <si>
    <t>c_i</t>
  </si>
  <si>
    <t>c_i*n_i</t>
  </si>
  <si>
    <t>c_i**2 * n_i</t>
  </si>
  <si>
    <t>F*(X)</t>
  </si>
  <si>
    <t>n_i = ЧАСТОТА(Прибыль; a_{i+1})</t>
  </si>
  <si>
    <t>v_i = n_i/n</t>
  </si>
  <si>
    <t>c_i =(a_i + a_{i+1})/2</t>
  </si>
  <si>
    <t>Средняя выборка X = 1/n * \Sum(c_i*n_i)</t>
  </si>
  <si>
    <t>или x_i</t>
  </si>
  <si>
    <t>квадрат средне квадратического отклонения</t>
  </si>
  <si>
    <t>D* = 1/n * \summ{c_i**2 * n_i} - X ** 2</t>
  </si>
  <si>
    <t>F*(X) = (ЧИСЛО ДАННЫХ &lt; X) / n</t>
  </si>
  <si>
    <t>X=</t>
  </si>
  <si>
    <t>D*=</t>
  </si>
  <si>
    <t>Построим гистограмму</t>
  </si>
  <si>
    <t>h = n_i / (n*l)</t>
  </si>
  <si>
    <t>S^2= n/(n-1) * D* =</t>
  </si>
  <si>
    <t xml:space="preserve">\sigma* = sqrt(D*) = </t>
  </si>
  <si>
    <t>Построим полигон</t>
  </si>
  <si>
    <t>S = sqrt(S^2) =</t>
  </si>
  <si>
    <t>Построим выборочную функцию распределения</t>
  </si>
  <si>
    <r>
      <rPr>
        <b/>
        <sz val="11"/>
        <color theme="1"/>
        <rFont val="Arial Cyr"/>
      </rPr>
      <t>Модой</t>
    </r>
    <r>
      <rPr>
        <sz val="11"/>
        <color theme="1"/>
        <rFont val="Arial Cyr"/>
      </rPr>
      <t xml:space="preserve"> выборки называется варианта с наибольшей частотой</t>
    </r>
  </si>
  <si>
    <t>Найдём выборочную моду (середина интервала с наибольшей частотой)</t>
  </si>
  <si>
    <t>Мо* - обозначение</t>
  </si>
  <si>
    <t>Мо* = 94.3</t>
  </si>
  <si>
    <t>Найдём точные характеристики вариационного ряда с помощью функций Excel</t>
  </si>
  <si>
    <t>X = СРЗНАЧ([ссылка на массив])</t>
  </si>
  <si>
    <t>D*_x = ДИСП.Г([ссылка на массив])</t>
  </si>
  <si>
    <t>S^2 = ДИСП. В([ссылка на массив])</t>
  </si>
  <si>
    <t>\sigma* = СТАНД ОТКЛОН. Г</t>
  </si>
  <si>
    <t>S = СТАНД ОТКЛОН. В</t>
  </si>
  <si>
    <t>Ме = МЕДИАНА([ссылка])</t>
  </si>
  <si>
    <t xml:space="preserve">k = </t>
  </si>
  <si>
    <t>n=</t>
  </si>
  <si>
    <t>S^2 =</t>
  </si>
  <si>
    <t>\sigma*=</t>
  </si>
  <si>
    <t>S =</t>
  </si>
  <si>
    <t>Ме*</t>
  </si>
  <si>
    <t>Медиана</t>
  </si>
  <si>
    <t>Me* = X_k, n=2k-1</t>
  </si>
  <si>
    <t xml:space="preserve">        = (X_k + X_{k+1})/2, n=2k</t>
  </si>
  <si>
    <t>ДЗ:</t>
  </si>
  <si>
    <t>2)</t>
  </si>
  <si>
    <t>Неизвестное мат. ожидание оценивается с помощью статистики K = \summ c_i * x_i, где X = (x1, …, x_n) - выборка, а c_i = const</t>
  </si>
  <si>
    <t>1)</t>
  </si>
  <si>
    <t>Известно, что случайная величина имеет показ распред с параметром \alpha</t>
  </si>
  <si>
    <t>а) При каких значениях c_i оценка будет несмещённой</t>
  </si>
  <si>
    <t>Найдено среднее выборочное X=0.85</t>
  </si>
  <si>
    <t>б) При каких значениях c_i оценка будет эффективной</t>
  </si>
  <si>
    <t>Методом моментов найти оценку неизвестного параметра \alpha (то есть найти оценку \alpha*)</t>
  </si>
  <si>
    <t>Будет ли эта оценка: а) состоятельной; б) несмещённой?</t>
  </si>
  <si>
    <t>a = EX</t>
  </si>
  <si>
    <t>И если она смещена то в какую сторону?</t>
  </si>
  <si>
    <t>(некое неравенство из теор вера)</t>
  </si>
  <si>
    <t>a* = \summ c_i*x_i</t>
  </si>
  <si>
    <t>а)</t>
  </si>
  <si>
    <t>Ea* = E \summ c_i * x_i = \summ c_i * Ex_i = \summ c_i * a = a =&gt; \summ c_i  = 1</t>
  </si>
  <si>
    <t>f(x) = \alpha * e^{- x/ \alpha}</t>
  </si>
  <si>
    <t xml:space="preserve">б) </t>
  </si>
  <si>
    <t>Da* = D \summ c_i * x_i = \summ c_i^2 * D x_i = Dx_1 \summ c_i ^2 -&gt; min</t>
  </si>
  <si>
    <t>0, x &lt; 0</t>
  </si>
  <si>
    <t>min когда \summ c_i^2 = min</t>
  </si>
  <si>
    <t xml:space="preserve">EX  = 1/\alp[ha =&gt; \alpha = 1 / EX </t>
  </si>
  <si>
    <t>f(x_1, …, x_n) = x_1 ^ 2 + … + x_n^2, при x_1 + … + x_n = 1</t>
  </si>
  <si>
    <t>\alpha* = 1/0.85 = 1.18</t>
  </si>
  <si>
    <t>F(x1, …, xn, \lambda) = x1^2 + .. + xn^2 + \lambda (x1 + … + xn - 1)</t>
  </si>
  <si>
    <t>Оценка состоятельная</t>
  </si>
  <si>
    <t>\alpha* = 1/ X -&gt; (стремится по вероятности) 1/EX = \alpha</t>
  </si>
  <si>
    <t>dF/dx_i = 2x_i + \lambda ; dF / d\lambda = x1 + … + xn - 1</t>
  </si>
  <si>
    <t>Смещённая вверх, так как</t>
  </si>
  <si>
    <t>E\alpha* = E 1/X = (неравенство Йенсена) &gt;= 1/(EX) = 1/X = \alpha</t>
  </si>
  <si>
    <t>Решаем систему уравнений</t>
  </si>
  <si>
    <t>dF/dx_i = 0, dF/d\lambda = 0</t>
  </si>
  <si>
    <t>Получаем x_i = -\lambda / 2, -n\lambda/2 = 1</t>
  </si>
  <si>
    <t>\lambda = -2/n; x_i = 1/n</t>
  </si>
  <si>
    <t>Получаем точку экстремума M(1/n, …, 1/n, -2/n)</t>
  </si>
  <si>
    <t>Проверим, что точка экстремума это локальный минимум, считая второй дифференциал</t>
  </si>
  <si>
    <t>d^2F / dx_i^2 = 2</t>
  </si>
  <si>
    <t>d^2F/d\lambda^2 = 0</t>
  </si>
  <si>
    <t>d^2F/(dx_i*d_x_j) = 0</t>
  </si>
  <si>
    <t>d^2F/(dx_i*d_\lambda) = 1</t>
  </si>
  <si>
    <t>d^2F = 2(dx1)^2 + … + 2 (dxn)^2 + 0 (d\lambda)^2 + 2 * 0 * dx1*dx2 + … + 2*0 * dx_{n-1} * dx_n + 2*1*dx_1 *d_\lambda + … + 2*1*dx_n * d\lambda</t>
  </si>
  <si>
    <t>Но нам нужно значение d^2F в точке M, получим</t>
  </si>
  <si>
    <t>d^2F(M) = 2 \summ (dx_i)^2 + 2d\lambda \summ dx_i  =\\</t>
  </si>
  <si>
    <t>\phi(x) = x1 + … + xn - 1 = 0</t>
  </si>
  <si>
    <t>d\phi(x) = dx1 + … + dxn = 0</t>
  </si>
  <si>
    <t>\\= 2 \summ (dx_i)^2, но т.к. d^2F &gt;= 0, то точка М - точка локального минимума</t>
  </si>
  <si>
    <t>X \in B n,p</t>
  </si>
  <si>
    <t>Dx* = X^2 - (X)^2 = … =  6.46</t>
  </si>
  <si>
    <t>X = 31.3</t>
  </si>
  <si>
    <t>X^2 = 986.15</t>
  </si>
  <si>
    <t>31.3  = np</t>
  </si>
  <si>
    <t>6.46 = npq</t>
  </si>
  <si>
    <t>q* = 6.46 / 31.3 = 0.206</t>
  </si>
  <si>
    <t>EX = np</t>
  </si>
  <si>
    <t>p* = 1 - 0.206 = 0.794</t>
  </si>
  <si>
    <t>DX = npq</t>
  </si>
  <si>
    <t>31.3 = np =&gt; n* = 31.3 / 0.794 = 39.421</t>
  </si>
  <si>
    <t>n* = ?</t>
  </si>
  <si>
    <t>p* = ?</t>
  </si>
  <si>
    <t>----------------------------------------------------------------------------------------------------------------------------------------------</t>
  </si>
  <si>
    <t>Имеется выборка объёма n из B_p</t>
  </si>
  <si>
    <t>Найти оценку p - ?</t>
  </si>
  <si>
    <t>Распределение Бернулли: число успехов при 1 испытании</t>
  </si>
  <si>
    <t>p</t>
  </si>
  <si>
    <t>1-p</t>
  </si>
  <si>
    <t>Пусть k число 1 в выборке</t>
  </si>
  <si>
    <t>k = \sum x_i = n*X</t>
  </si>
  <si>
    <t>(Среднее выборочное)</t>
  </si>
  <si>
    <t>L(X, p) = \Pi P[X = x_i] = p^k * (1-p)^{n-k} = p^{nX} * (1-p)^{n - nX}</t>
  </si>
  <si>
    <t>ln L(X, p) = ln p^{nX} + ln (1-p)^{n - nX} = nX ln p + (n-nX) ln(1-p)</t>
  </si>
  <si>
    <t>d/dp ln L(X, p) = nX/p - (n-nX)/(1-p) = 0</t>
  </si>
  <si>
    <t>nX/p = (n-nX)/(1-p)</t>
  </si>
  <si>
    <t>X/p = (1-X)/(1-p)</t>
  </si>
  <si>
    <t>X - Xp = p - pX</t>
  </si>
  <si>
    <t>p = X</t>
  </si>
  <si>
    <t>(p равно среднему выборочному)</t>
  </si>
  <si>
    <t>d^2/dp^2 = -nX/p^2 - (n-nX)/(1-p)^2 &lt; 0 =&gt; p = X - точка max</t>
  </si>
  <si>
    <t>-----------------------------------------------------------------------------------------------------------------</t>
  </si>
  <si>
    <t>X = (x_1, …, x_n) из E_\alpha</t>
  </si>
  <si>
    <t>Найти оценку max правдоподобия \alpha</t>
  </si>
  <si>
    <t>f(x) = \alpha*e^{-\alpha x}</t>
  </si>
  <si>
    <t>L(X, \alpha) = \Pi \alpha*e^{-\alpha x_i} = \alpha^n * e^{-\alpha n*X}</t>
  </si>
  <si>
    <t>ln L = n ln \alpha - n*X \alpha</t>
  </si>
  <si>
    <t>d/d\alpha = … =&gt; \alpha = 1/X</t>
  </si>
  <si>
    <t>d^2/d\alpha^2 = … &lt;0 =&gt; \alpha = 1/X точка max</t>
  </si>
  <si>
    <t>-------------------------------------------------------------------------------------------------------------------</t>
  </si>
  <si>
    <t>Является ли семейство показательных распределений E_\alpha - регулярным?</t>
  </si>
  <si>
    <t>Найти информацию Фишера</t>
  </si>
  <si>
    <t>F_\teta = (0; +\inf)</t>
  </si>
  <si>
    <t>0 можем не брать так как в случае непрерывного распределения вероятность попасть в точку равна 0, следовательно граничную точку можно не включать</t>
  </si>
  <si>
    <t>f(x) = \alpha * e^{-\alpha x}</t>
  </si>
  <si>
    <t>ln f(x) = ln \alpha - \alpha x</t>
  </si>
  <si>
    <t>d/d\alpha ln f(x) = 1/\alpha - x</t>
  </si>
  <si>
    <t>Непрерывна по \alpha - условие 1</t>
  </si>
  <si>
    <t>I(\alpha) = E (1\alpha - x)^2 = E(x - 1/\alpha)^2 = E(x - Ex)^2 = Dx = 1/\alpha^2 - непр при \alpha &gt; 0 - условие 2</t>
  </si>
  <si>
    <t>Тогда семейство регулярное - ч.т.д.</t>
  </si>
  <si>
    <t>Покажем, что оценка \alpha из предыдущего задания эффективна</t>
  </si>
  <si>
    <t>\alpha = 1/X - смещ ввверх оценка</t>
  </si>
  <si>
    <t>\alpha' = n/(n+1) * 1/X - несмещённая оценка</t>
  </si>
  <si>
    <t>Неравенство Рау-Крамера: D\alpha &gt;= 1/(nI(\alpha))</t>
  </si>
  <si>
    <t>D\alpha' = \alpha^2 / (n-2)</t>
  </si>
  <si>
    <t>1/(nI(\alpha)) = 1/(n * 1/\alpha^2) = \alpha^2 / n</t>
  </si>
  <si>
    <t>D\alpha' &gt; 1/(nI(\alpha))</t>
  </si>
  <si>
    <t>Оценка не эффективная</t>
  </si>
  <si>
    <t>Есть другое определение показательного распределения где f(X) = 1/\alpha * e^{-X/\alpha}</t>
  </si>
  <si>
    <t>Через него если считать, то оценка эффективная</t>
  </si>
  <si>
    <t>X \in U(0, \teta)</t>
  </si>
  <si>
    <t>Равномерное распределение</t>
  </si>
  <si>
    <t>Проверить регулярность семейства U(0, \teta), найти информацию Фишера и проверить неравенство Рау-Крамера</t>
  </si>
  <si>
    <t>f(x) = 1/\teta</t>
  </si>
  <si>
    <t>ln(f(x)) = -ln \teta</t>
  </si>
  <si>
    <t>d/d\teta = -1/\teta - Непрерывна по \teta - условие 1</t>
  </si>
  <si>
    <t>I(\teta) = E(-1\teta)^2 = -1\teta^2</t>
  </si>
  <si>
    <t>- непрерывно при \teta &gt; 0 - условие 2</t>
  </si>
  <si>
    <t>Семейство регулярно</t>
  </si>
  <si>
    <t>?????????????</t>
  </si>
  <si>
    <t>А проверим-ка неравенство Рау-Крамера для оценок, которые мы до этого получали: посмотрим и увидем что оно не выполняется. Почему? Мы сломали неравенство?</t>
  </si>
  <si>
    <t>На самом деле нет - проблема в том, что f_\teta(x) имеет разрыв в любой точке носителя. Почему? Ну, нарисуем график зависимости f_teta(x) от \teta.</t>
  </si>
  <si>
    <t>Зафиксируем какую-то точку Х на оси \teta. Увидим, что справа от этой оси гипербола, а слева прямая y=0. Получили разрыв</t>
  </si>
  <si>
    <t>Значит условие 1 на непрерывность не выполняется =&gt; семейство не регулярно, неравенство применять в принципе нет смысла</t>
  </si>
  <si>
    <t>--------------------------------------------------------------------------------------------------------------------------</t>
  </si>
  <si>
    <t>Доказать что критическая точка нормального распределения из лекции действительно является точкой максимума</t>
  </si>
  <si>
    <t>Дальше идёт много матана, мне лень его писать, разберётесь сами</t>
  </si>
  <si>
    <t>….............................................................</t>
  </si>
  <si>
    <t>Распределение Коши:</t>
  </si>
  <si>
    <t>f_\teta(x) = 1/(\pi(1 + (x-\teta)^2))</t>
  </si>
  <si>
    <t>x \in (-\inf, +\inf)</t>
  </si>
  <si>
    <t>По-моему от нас хотят доказать регулярность, но чёт впадлу</t>
  </si>
  <si>
    <t>Найти доверительные интервалы для прибыли, считая её распределение нормальным</t>
  </si>
  <si>
    <t>X = 97,27</t>
  </si>
  <si>
    <t>n = 50</t>
  </si>
  <si>
    <t>1) \sigma = 7.7, \gamma = 0.9</t>
  </si>
  <si>
    <t>S^2 = 59.08</t>
  </si>
  <si>
    <t>Найти доверительный интервал для a - ?</t>
  </si>
  <si>
    <t>S = 7.686</t>
  </si>
  <si>
    <t>t_\gamma =</t>
  </si>
  <si>
    <t>2) \sigma неизвестно</t>
  </si>
  <si>
    <t>Найти доверительный интервал для \sigma считая неизвестным параметр a, уровень надёжности \gamma = 0.9</t>
  </si>
  <si>
    <t>\xi_1^2 =</t>
  </si>
  <si>
    <t xml:space="preserve">\xi_2^2 = </t>
  </si>
  <si>
    <t>---------------------------------------------------------</t>
  </si>
  <si>
    <t>a=</t>
  </si>
  <si>
    <t>А теперь а известен и равен 97.5</t>
  </si>
  <si>
    <t>(c_i-a)^2</t>
  </si>
  <si>
    <t>(c_i-a)^2*n_i</t>
  </si>
  <si>
    <t>n*\sigma*^2</t>
  </si>
  <si>
    <t>\xi_1^2=</t>
  </si>
  <si>
    <t>n = 50, x = 97,27, S = 7.68</t>
  </si>
  <si>
    <t>При \alpha = 0.05 проверить гипотезу H_0: a = 100 против H_1: a != 100</t>
  </si>
  <si>
    <t>Считаем K = sqrt(n) * (x - a_0) / S = -2.51</t>
  </si>
  <si>
    <t>t_кр = СТЬЮДЕНТ. ОБР2х(\alpha, n-1) = 2.01</t>
  </si>
  <si>
    <t>2.51 &gt; 2.01 =&gt; H_0 отклоняется</t>
  </si>
  <si>
    <t>---------------------------------------------------------------------------</t>
  </si>
  <si>
    <t>В точке (0; 1) находится источник излучения, равномерно испускающий частицы во все стороны</t>
  </si>
  <si>
    <t>При пересечении с осью Ох частицы регистрируются</t>
  </si>
  <si>
    <t>\ksi - точка пересечения частицы с осью Ох</t>
  </si>
  <si>
    <t xml:space="preserve">Найти её закон распределения и вычислить мат ожидание </t>
  </si>
  <si>
    <t>\phi - угол между лучом и осью Оу</t>
  </si>
  <si>
    <t>F(x) = P[\ksi &lt; x] = P[-Pi/2 &lt; \phi &lt; arctg x] = (arctg x + Pi/2) / Pi = 1/2 + 1/Pi * arctg x</t>
  </si>
  <si>
    <t>f(x) = F(x)' = 1/Pi * 1/ (1 + x^2)</t>
  </si>
  <si>
    <t>E\ksi = \int xf(x) = 1/Pi * \int x/(1+x^2) = … = +\infty =&gt; EX не существует</t>
  </si>
  <si>
    <t xml:space="preserve">А теперь допустим, что источник излучения сдвинули по Ох на \Teta </t>
  </si>
  <si>
    <t>Что теперь с плотностью? Она сместилась на \Teta</t>
  </si>
  <si>
    <t>f(x) = 1/Pi * 1/(1 + (x - \Teta)^2)</t>
  </si>
  <si>
    <t>Дать оценку неизвестному параметру \Teta на основе выборки объёма n</t>
  </si>
  <si>
    <t>Совсем не факт что среднее выборочное будет сходиться к параметру \Teta, так как не существует мат ожидания</t>
  </si>
  <si>
    <t>Так как распределение симметричное, то логично попробовать взять медиану в качестве оценки \Teta (выборочная медиана = медиана от x1,…,xn при n%2 != 0, иначе среднее арифметическое двух элементов посередине)</t>
  </si>
  <si>
    <t>Такая оценка будет состоятельной, согласно теореме: выборочная медиана сходится по вероятности к теоретической медиане со скоростью 1/sqrt(n)</t>
  </si>
  <si>
    <t>Если распределение симметричное, то для оценки центра медиану имеет смысл использовать в ситуации "жирных хвостов" и "возможных выбросов"</t>
  </si>
  <si>
    <t>Пример: распределение Коши</t>
  </si>
  <si>
    <t>(Тут должна быть картинка плотности, то есть график f(x))</t>
  </si>
  <si>
    <t>Выброс - на примере выше случайно получился угол близкий к 180градусов, мы улетели далеко и такое значение влияет на выборочное среднее, поэтому оно и работает плохо</t>
  </si>
  <si>
    <t>Недостатки медианы:</t>
  </si>
  <si>
    <t>Хорошо работает только в случае симметричных распределений, соответственно не всегда совпадает с неизвестным мат ожиданием</t>
  </si>
  <si>
    <t>В случае нормального распределения сходимость приблизительно на 20% медленнее, чем у выборочного среднего</t>
  </si>
  <si>
    <t>И до 40% медленнее в некоторых других случаях</t>
  </si>
  <si>
    <t>----------------------------------------------------------------------------</t>
  </si>
  <si>
    <t>Другие подходы:</t>
  </si>
  <si>
    <t>I. Метод усечённого среднего - откидываем выборки снизу и сверху по 5 единиц, 5%, 10%</t>
  </si>
  <si>
    <t>Пусть имеется выборка объёма n, уберём по k значений снизу и сверху</t>
  </si>
  <si>
    <t>В результате получаем новую выборку n-2k: X_(k+1), … , X_(n-k)</t>
  </si>
  <si>
    <t>И для неё вычисляем выборочное среднее: сумма оставшихся делить на n-2k</t>
  </si>
  <si>
    <t>Эта величина - компромисс м/у выборочным средним и медианой</t>
  </si>
  <si>
    <t>Использовать метод лучше, когда подозреваем что выборка не репрезентативная, или есть выбросы</t>
  </si>
  <si>
    <t>II. Метод средних Уолша - у каждой пары данных берём среднее арифметическое</t>
  </si>
  <si>
    <t>Тогда получаем новую выборку объёма n*(n+1)/2</t>
  </si>
  <si>
    <t>Для неё вычисляем медиану</t>
  </si>
  <si>
    <t>Сглаживаются выбросы и скорость сходимость этой медианы падает по сравнению со средним выборочным приблизительно на 12% в худших случаях</t>
  </si>
  <si>
    <t>Проверить гипотезу о норм распред прибыли, уровень значимости \alpha = 0.05</t>
  </si>
  <si>
    <t>S=</t>
  </si>
  <si>
    <t>Нам надо чтобы частоты интервалов были хотя бы 5</t>
  </si>
  <si>
    <t>Объединим первые 2 и последние 3 интервала</t>
  </si>
  <si>
    <t>F_0 = НОРМ.СТ.РАСП.(Х, 1)</t>
  </si>
  <si>
    <t>Крайние самые границы объявим +- \infty</t>
  </si>
  <si>
    <t>p_i = P[a_i  &lt; X &lt; a_i+1] = F_0((a_{i+1} - X)/S) - F_0((a_i - X) / S)</t>
  </si>
  <si>
    <t>(a_i - X)/S</t>
  </si>
  <si>
    <t>F_0((a_i-X)/S)</t>
  </si>
  <si>
    <t>(a_{i+1} - X)/S</t>
  </si>
  <si>
    <t>F_0((a_{i+1}-X)/S)</t>
  </si>
  <si>
    <t>p_i</t>
  </si>
  <si>
    <t>n_i' = n*p_i</t>
  </si>
  <si>
    <t>(n_i - n_i'_^2/n_i'</t>
  </si>
  <si>
    <t>Число степеней свободы r = k - m - 1 = 4 - 2 - 1 = 1</t>
  </si>
  <si>
    <t>-\infty</t>
  </si>
  <si>
    <t>Тут k число интервалов, m число параметров</t>
  </si>
  <si>
    <t>\chi^2_{теор} = \chi^2(\alpha, r)</t>
  </si>
  <si>
    <t>+\infty</t>
  </si>
  <si>
    <t>Т.к. \chi^2_{набл} &lt; \chi^2_{теор} то H_0 принимается</t>
  </si>
  <si>
    <t>// :NOTE: писать в РГЗ лучше гипотеза принимается или отклоняется, иначе снимут баллы</t>
  </si>
  <si>
    <t xml:space="preserve">\chi^2_{набл} = </t>
  </si>
  <si>
    <t>--------------------------------------------------------------------------------------------------------------------------------</t>
  </si>
  <si>
    <t>Теперь проверим гипотезу для цены (гипотеза о показательном распределении)</t>
  </si>
  <si>
    <t>Уровень значимости тот же, \alpha = 0.05</t>
  </si>
  <si>
    <t>При показательном p_i = P[a &lt; Y &lt; b] = e^{-\lambda a} - e^{-\lambda b}</t>
  </si>
  <si>
    <t>l =</t>
  </si>
  <si>
    <t>Из теории EY = 1/\lamda =&gt; \lambda = 1 / X = 1/73.603 =</t>
  </si>
  <si>
    <t xml:space="preserve">X = </t>
  </si>
  <si>
    <t>e^{-\lamda a_i}</t>
  </si>
  <si>
    <t>e^{-\lamda a_{i+1}}</t>
  </si>
  <si>
    <t>Число степеней свободы r = k - m - 1  = 5 - 1 -1 = 3</t>
  </si>
  <si>
    <t>Т.к. \chi^2_{набл} = 23.45 &gt; \chi^2_{теор} = 7.814, то гипотеза H_0 отклоняется</t>
  </si>
  <si>
    <t>Ясно (нет), что распределение не могло быть показательным, так как показательно на отрезке от 0 до бесконечности, а у нас от 20</t>
  </si>
  <si>
    <t>+\infry</t>
  </si>
  <si>
    <t>Слишком большой сдвиг</t>
  </si>
  <si>
    <t>Значит надо сдвинуть</t>
  </si>
  <si>
    <t>Ну давайте проверим сдвиг</t>
  </si>
  <si>
    <t>Оценка сдвига = 20</t>
  </si>
  <si>
    <t>Распред с двумя параметрами \lambda и \teta</t>
  </si>
  <si>
    <t>p_i = e^{-\lambda (a_i - \teta)} - e^{-\lambda (a_{i+1} - \teta)}</t>
  </si>
  <si>
    <t>Построить корреляционное облако и сделать вывод о наличии и направлении корреляции между ценой и прибылью</t>
  </si>
  <si>
    <t>Используем точечную диаграмму</t>
  </si>
  <si>
    <t>По виду облака заметно (нет) прямая корреляция, возможно линейная</t>
  </si>
  <si>
    <t>Построим интервальную корреляционную таблицу</t>
  </si>
  <si>
    <t xml:space="preserve">l_a = </t>
  </si>
  <si>
    <t>l_b=</t>
  </si>
  <si>
    <t>Y(курс акций)</t>
  </si>
  <si>
    <t>b_j</t>
  </si>
  <si>
    <t>X(прибыль)</t>
  </si>
  <si>
    <t>b_j+1</t>
  </si>
  <si>
    <t>n_x</t>
  </si>
  <si>
    <t>a_i+1</t>
  </si>
  <si>
    <t>n_y</t>
  </si>
  <si>
    <t>Так как основные частоты сконцентрированы вдоль главной диаг то присутствует прямая корреляция</t>
  </si>
  <si>
    <t>-----------------------------------------------------------------------------------------------------------------------------------------------------</t>
  </si>
  <si>
    <t>C_{y_j}</t>
  </si>
  <si>
    <t>y_x</t>
  </si>
  <si>
    <t>y_x = 1/n_x \summ(c_y_j * n_ij) = 1/nx * СУММПРОИЗВ(c_y_j; n_ij)</t>
  </si>
  <si>
    <t>C_{x_i}</t>
  </si>
  <si>
    <t>Так как условное среднее растёт, то наблюдаем прямую корреляцию</t>
  </si>
  <si>
    <t>-------------------------------------------------------------------------------------------------------------------------------------------------------------</t>
  </si>
  <si>
    <t>Теперь вычислим внутригрупповую и межгрупповую дисперсию и проверим теорему о разложении дисперсии</t>
  </si>
  <si>
    <t>D^(i) = 1/n_x * \summ_j{(c_y_j - y_x)^2*n_ij} = 1/nx * СУММПРОИЗВ(c_y_j; c_y_j; n_i_j) - y_x^2</t>
  </si>
  <si>
    <t>D_в = 1/n \summ D^(i) * n_x</t>
  </si>
  <si>
    <t>D_м = 1/n \summ_i {…} = … = 1/n * СУММПРОИЗВ(n_x; y_x; y_x) - y(с чертой)^2</t>
  </si>
  <si>
    <t>D^(i)</t>
  </si>
  <si>
    <t>D_в =</t>
  </si>
  <si>
    <t>y(с чертой) = 1/n * СУММПРОИЗВ(n_x; y_x)</t>
  </si>
  <si>
    <t xml:space="preserve">D_м = </t>
  </si>
  <si>
    <t>D  = D_в + D_м =</t>
  </si>
  <si>
    <t>Совпало с дисперсией которую считали на листе "Анализ цены"</t>
  </si>
  <si>
    <t>Подтвердили теорему о разложении дисперсии</t>
  </si>
  <si>
    <t>---------------------------------------------------------------------------------------------------------------------------------------------------------------------------------------</t>
  </si>
  <si>
    <t>Проверим гипотезу о независимости данных с.в., считая распределение курса акций нормальным</t>
  </si>
  <si>
    <t>K = (n-k) / (k-1) * D_м / D_в = (50-7)/(7-1) * … = 3,67</t>
  </si>
  <si>
    <t>t_кр - квантиль F-распр с K-1, n-1 степенями свободы, уровень значимости \alpha = 0.05</t>
  </si>
  <si>
    <t xml:space="preserve">t_кр = </t>
  </si>
  <si>
    <t>|K| &gt; t_кр =&gt; гипотеза H_0 о том, что нет корреляции y от x отклоняется</t>
  </si>
  <si>
    <t>Вычислим коэффициент линейной корреляции по интервальной корреляционной таблице</t>
  </si>
  <si>
    <t>r* = ({xy_сред} - {x_сред}{y_сред}) / (\sigma_x * \sigma_y)</t>
  </si>
  <si>
    <t>\summ y_j *n_ij</t>
  </si>
  <si>
    <t>{xy_сред} = 1/n \summX_i * \summ y_j * n_ij</t>
  </si>
  <si>
    <t xml:space="preserve">r* = </t>
  </si>
  <si>
    <t>Имеем заметную корреляцию</t>
  </si>
  <si>
    <t>// NOTE: здесь x_сред или x_ср - это среднее выборочное х</t>
  </si>
  <si>
    <t>Аналогично для y</t>
  </si>
  <si>
    <t>xy_сред или xy_ср - среднее выборочное произведения x и y</t>
  </si>
  <si>
    <t xml:space="preserve">{xy_сред} = </t>
  </si>
  <si>
    <t>---------------------------------------------------------------------------------------------------------</t>
  </si>
  <si>
    <t>Найдём уравнение линейной регрессии</t>
  </si>
  <si>
    <t>(тут мне было лень всё считать, так что данные я просто ввёл ручками)</t>
  </si>
  <si>
    <t>1 способ:</t>
  </si>
  <si>
    <t xml:space="preserve">2 способ: </t>
  </si>
  <si>
    <t>(y_x - y_ср) / (sigma_y) = r* (x - x_ср) / \sigma_x</t>
  </si>
  <si>
    <t>a =( xy_сред - x_ср * y_ср) / Dx = … = 2,67</t>
  </si>
  <si>
    <t>y_x = r* \sigma_y * (x - x_ср) / \sigma_x + y_ср</t>
  </si>
  <si>
    <t>b = y_ср - a * x_ср = … = -186,41</t>
  </si>
  <si>
    <t xml:space="preserve">a = </t>
  </si>
  <si>
    <t xml:space="preserve">b = </t>
  </si>
  <si>
    <t>-----------------------------------------------------------------------------------------------</t>
  </si>
  <si>
    <t>Построим на графике прямую регрессию и там же отметим точки условных средних</t>
  </si>
  <si>
    <t>(не понял чёт вообще что мы делали в этом задании да и пошло оно лесом)</t>
  </si>
  <si>
    <t>График - прямая (хоть и кажется, что не прямая, из-за особенностей экселя, так как между точками неодинаковые расстояния)</t>
  </si>
  <si>
    <t>------------------------------------------------------------------------------------------------------------</t>
  </si>
  <si>
    <t>Проверить гипотезу о статистической значимости коэф-та линейной корреляции</t>
  </si>
  <si>
    <t>H_0 : r = 0</t>
  </si>
  <si>
    <t>H_1 : r != 0</t>
  </si>
  <si>
    <t>K = (r * \sqrt{n-2}) / \sqrt {1 - r*^2}</t>
  </si>
  <si>
    <t>t_кр - квантиль T_{n-2} (распределения студента) уровня значимости \alpha = 0.05</t>
  </si>
  <si>
    <t>|K| &gt; t_кр =&gt;  гипотеза H_0 отклоняется, принимается альтернативная H_1</t>
  </si>
  <si>
    <t>То есть выборочный коэф-т линейной корреляции статистически значим</t>
  </si>
  <si>
    <t>Найдём выборочное корреляционное отношение (считали на прошлой практике?)</t>
  </si>
  <si>
    <t>\eta = \sqrt {D_м / D_о} =</t>
  </si>
  <si>
    <t>\eta &gt; r* но не намного больше, значит модель линейной регрессии выбрана верно</t>
  </si>
  <si>
    <t>Скопируем наши выборки с самого начала и будем с ними творить какую-то ересь</t>
  </si>
  <si>
    <t>X (прибыль)</t>
  </si>
  <si>
    <t>Y (курс)</t>
  </si>
  <si>
    <t>y^ = a + b *x</t>
  </si>
  <si>
    <t>\eps^</t>
  </si>
  <si>
    <t>Будем искать выборочный коэф-т линейной регрессии</t>
  </si>
  <si>
    <t xml:space="preserve">выборочное среднее X = СРЗНАЧ(Прибыль) = </t>
  </si>
  <si>
    <t xml:space="preserve">Выборочное среднее Y = СРЗНАЧ(КУРС) = </t>
  </si>
  <si>
    <t xml:space="preserve">D*_x = ДИСП.Г(Прибыль) = </t>
  </si>
  <si>
    <t xml:space="preserve">D*_y = </t>
  </si>
  <si>
    <t>\sigma_x^</t>
  </si>
  <si>
    <t>неисправленное среднеквадратическое отклонение прибыли</t>
  </si>
  <si>
    <t>\sigma_y^</t>
  </si>
  <si>
    <t xml:space="preserve">Среднее выборочное произведения XY = </t>
  </si>
  <si>
    <t>=1/n СУММПРОИЗВ(Прибыль; Курс)</t>
  </si>
  <si>
    <t>r* = ({xy}_ср - X_ср * y_ср) / (\sigma_x^ * \sigma_y^)</t>
  </si>
  <si>
    <t>b = ({xy}_ср - X_ср * y_ср)/D*_x</t>
  </si>
  <si>
    <t xml:space="preserve">a = y_ср - b*x_ср = </t>
  </si>
  <si>
    <t>y = -197,004 + 2,78 * x</t>
  </si>
  <si>
    <t>Среднее значение экспериментальных ошибок всегда должно быть 0</t>
  </si>
  <si>
    <t>Если получили не 0, то где-то ошиблись</t>
  </si>
  <si>
    <t>Посчитаем дисперсии наших столбцов и проверим теорему о разложении дисперсии</t>
  </si>
  <si>
    <t>D(Y^) + D(\eps) = D*_y</t>
  </si>
  <si>
    <t>R^2 = D(y^)/Dy =</t>
  </si>
  <si>
    <t>\sqrt(R^2)=</t>
  </si>
  <si>
    <t>== r*</t>
  </si>
  <si>
    <t>Получили что доля объяснённой дисперисии в общей составляет 32%</t>
  </si>
  <si>
    <t>Доля необъяснённой дисперсии - 68%</t>
  </si>
  <si>
    <t>Проверим значимость построенного уравнения линейной регрессии при уровне \alpha = 0,05</t>
  </si>
  <si>
    <t>K = R^2(n-2)/(1-R^2)</t>
  </si>
  <si>
    <t>Квантиль уровня значимости \alpha для F-распределения t_кр = F.ОБР.ПХ(\alpha; 1; n-2)</t>
  </si>
  <si>
    <t>t_кр =</t>
  </si>
  <si>
    <t>Т.к. K &gt; t_кр, то уравнение линейной регрессии статистически значимо</t>
  </si>
  <si>
    <t>Теперь найдём стандартные ошибки</t>
  </si>
  <si>
    <t>S^2 = 1/(n-2) * \summ (\eps^_i)^2 = n/(n-2) * D(\eps^)</t>
  </si>
  <si>
    <t xml:space="preserve">S = \sqrt(S^2) = </t>
  </si>
  <si>
    <t>-- это стандартная ошибка уравнения регрессии</t>
  </si>
  <si>
    <t>Зная её можем посчитать стандартные ошибки коэф-ов регрессии</t>
  </si>
  <si>
    <t>S_b = S/\sqrt{n * D_x}</t>
  </si>
  <si>
    <t>-- это стандартная ошибка коэф-та b</t>
  </si>
  <si>
    <t>S_a = \sqrt{X^2_ср} * S/\sqrt{n*D_x}</t>
  </si>
  <si>
    <t>-- это стандартная ошибка коэф-та a</t>
  </si>
  <si>
    <t xml:space="preserve">Где X^2_ср - среднее выборочное квадратов X = </t>
  </si>
  <si>
    <t>Сделаем прогноз курса акций y^_p при прибыли x_p = 100</t>
  </si>
  <si>
    <t>y^_p = b + a * x_p =</t>
  </si>
  <si>
    <t>Найдём доверительные интервалы надёжности 0,95 для прогноза и коэф-ов регрессии</t>
  </si>
  <si>
    <t>Как? Для начала нужен квантиль t_\gamma двустороннего распределения СТЬЮДЕНТА в n-2 степенями свободы уровня значимости \alpha = 1 - \gamma = 0.05</t>
  </si>
  <si>
    <t>t_\gamma=</t>
  </si>
  <si>
    <t>Доверительный интервал прогноза: y_p \in (y^_p - t_\gamma * S_\delta_p; y^_p + t_\gamma * S_\delta_p)</t>
  </si>
  <si>
    <t>где S_\delta_p - стандартная ошибка прогноза</t>
  </si>
  <si>
    <t>S_\delta_p = S * \sqrt{ 1 + 1/n + (x_p - x_ср)^2/(n * D*_x)}</t>
  </si>
  <si>
    <t>S_\delta_p=</t>
  </si>
  <si>
    <t>Тогда доверительный интервал прогноза:</t>
  </si>
  <si>
    <t>&lt; y_p &lt;</t>
  </si>
  <si>
    <t>Кажется что интервал большой, но это объясняется коэф-том детерминации (32% дисперсии объяснена), объёмом выборки, и большой дисперсией</t>
  </si>
  <si>
    <t>Доверительный интервал коэф-та b: (b - t_\gamma * S_b; b + t_\gamma * S_b)</t>
  </si>
  <si>
    <t>&lt; b &lt;</t>
  </si>
  <si>
    <t>Снова повлиял коэф-т детерминации и небольшой объём выборки</t>
  </si>
  <si>
    <t>Ну и для коэф-та a</t>
  </si>
  <si>
    <t>\summ/n</t>
  </si>
  <si>
    <t>&lt; a &lt;</t>
  </si>
  <si>
    <t>D*</t>
  </si>
  <si>
    <t>Теперь давайте посчитаем все нужные нам величины при помощи готовой команды Excel</t>
  </si>
  <si>
    <t>(функция ЛИНЕЙН)</t>
  </si>
  <si>
    <t>=ЛИНЕЙН (Что исследуем; фактор, влияющий на результат; 1; 1)</t>
  </si>
  <si>
    <t>Первая единица для того, чтобы считать коэф-т b не равный 0, а вторая для того, чтобы дополнительную статистику в таблице ввести</t>
  </si>
  <si>
    <t>Если не выскакивает таблица, то выделим область 5х2 (так, чтобы ячейка с формулой была слева сверху в этой области) и нажмём CTRL + Shift + Enter</t>
  </si>
  <si>
    <t>Что есть что</t>
  </si>
  <si>
    <t>коэф-т b</t>
  </si>
  <si>
    <t>коэф-т a</t>
  </si>
  <si>
    <t>Стандартная
ошибка коэф-та b</t>
  </si>
  <si>
    <t>Стандартная
ошибка коэф-та a</t>
  </si>
  <si>
    <t>Коэф-т
детерминации</t>
  </si>
  <si>
    <t>Стандартная
ошибка регрессии</t>
  </si>
  <si>
    <t>Статистика K
для проверки гипотезы (F-статистика)</t>
  </si>
  <si>
    <t>Число
степеней свободы</t>
  </si>
  <si>
    <t>Дисперсия
расчётных значений, не поделенная на объём выборки</t>
  </si>
  <si>
    <t>Дисперсия
ошибок не поделенная на объём выборки</t>
  </si>
  <si>
    <t>Таблица 2.</t>
  </si>
  <si>
    <t>Вид продукции</t>
  </si>
  <si>
    <t>Базисный период</t>
  </si>
  <si>
    <t>Текущий период</t>
  </si>
  <si>
    <t>Выпуск продукции, тыс.шт.</t>
  </si>
  <si>
    <t>Цена за единицу, тыс.руб./шт.</t>
  </si>
  <si>
    <t>варианты</t>
  </si>
  <si>
    <t>А</t>
  </si>
  <si>
    <t>Б</t>
  </si>
  <si>
    <t>Г</t>
  </si>
  <si>
    <t>Д</t>
  </si>
  <si>
    <t>Таблица 3.</t>
  </si>
  <si>
    <t xml:space="preserve">Вариант </t>
  </si>
  <si>
    <t>Столбцы данных</t>
  </si>
  <si>
    <t>Таблица 5.</t>
  </si>
  <si>
    <t>Изменение себестоимости единицы продукции в текущем периоде по сравнению с базисным, %</t>
  </si>
  <si>
    <t>Изменение физического объёма продукции в текущем периоде по сравнению с базисным, %</t>
  </si>
  <si>
    <t>Затраты на производство продукции, млн.руб.</t>
  </si>
  <si>
    <t>В</t>
  </si>
  <si>
    <t>С</t>
  </si>
  <si>
    <t>год</t>
  </si>
  <si>
    <t>Год</t>
  </si>
  <si>
    <t>Объем производства продукции, млн.руб.</t>
  </si>
  <si>
    <t>Среднегодовая стоимость основных производственных фондов, млн.руб.</t>
  </si>
  <si>
    <t>Среднегодовая численность ППП, чел.</t>
  </si>
  <si>
    <t>Число наименований продукции, производимой фирмой, шт.</t>
  </si>
  <si>
    <t>Среднегодовая стоимость оборотных средств,  млн.руб.</t>
  </si>
  <si>
    <t>Балансовая прибыль, млн.руб.</t>
  </si>
  <si>
    <t>Чистая прибыль, млн.руб.</t>
  </si>
  <si>
    <t>Объем реализации, млн.руб.</t>
  </si>
  <si>
    <t>Фонд заработной платы, млн.руб.</t>
  </si>
  <si>
    <t>Фонд потребления, млн.руб.</t>
  </si>
  <si>
    <t>интервальным</t>
  </si>
  <si>
    <t>моментным</t>
  </si>
  <si>
    <t>№ Варианта</t>
  </si>
  <si>
    <t>Номера признаков из приложения</t>
  </si>
  <si>
    <t>A</t>
  </si>
  <si>
    <t>№ наблюдений</t>
  </si>
  <si>
    <t>Дивиденты по результатам деятельности, млрд.руб.</t>
  </si>
  <si>
    <t>Дебиторская задолженность, млрд.руб.</t>
  </si>
  <si>
    <t>Собственные оборотные средства, млрд.руб.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</si>
</sst>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2">
    <font>
      <sz val="11"/>
      <color rgb="FF000000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mo"/>
    </font>
    <font>
      <sz val="10"/>
      <color theme="1"/>
      <name val="Arimo"/>
    </font>
    <font>
      <sz val="11"/>
      <color theme="1"/>
      <name val="Calibri"/>
      <scheme val="minor"/>
    </font>
    <font>
      <sz val="12"/>
      <color theme="1"/>
      <name val="Arimo"/>
    </font>
    <font>
      <b/>
      <sz val="11"/>
      <color theme="1"/>
      <name val="Arimo"/>
    </font>
    <font>
      <i/>
      <sz val="11"/>
      <color theme="1"/>
      <name val="Arimo"/>
    </font>
    <font>
      <sz val="11"/>
      <name val="Calibri"/>
    </font>
    <font>
      <b/>
      <u/>
      <sz val="11"/>
      <color theme="1"/>
      <name val="Arimo"/>
    </font>
    <font>
      <b/>
      <sz val="11"/>
      <color theme="1"/>
      <name val="Arial Cyr"/>
    </font>
    <font>
      <sz val="11"/>
      <color theme="1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2" fontId="4" fillId="0" borderId="0" xfId="0" applyNumberFormat="1" applyFont="1"/>
    <xf numFmtId="164" fontId="2" fillId="0" borderId="0" xfId="0" applyNumberFormat="1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164" fontId="4" fillId="0" borderId="0" xfId="0" applyNumberFormat="1" applyFont="1"/>
    <xf numFmtId="164" fontId="2" fillId="0" borderId="0" xfId="0" applyNumberFormat="1" applyFont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Border="1"/>
    <xf numFmtId="0" fontId="6" fillId="0" borderId="0" xfId="0" applyFont="1"/>
    <xf numFmtId="0" fontId="2" fillId="0" borderId="0" xfId="0" quotePrefix="1" applyFont="1"/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2" borderId="10" xfId="0" applyFont="1" applyFill="1" applyBorder="1"/>
    <xf numFmtId="0" fontId="5" fillId="0" borderId="0" xfId="0" applyFont="1" applyAlignment="1">
      <alignment horizontal="center" vertical="center"/>
    </xf>
    <xf numFmtId="0" fontId="6" fillId="0" borderId="0" xfId="0" quotePrefix="1" applyFont="1"/>
    <xf numFmtId="0" fontId="5" fillId="0" borderId="0" xfId="0" quotePrefix="1" applyFont="1" applyAlignment="1">
      <alignment horizontal="left" vertical="center"/>
    </xf>
    <xf numFmtId="0" fontId="2" fillId="0" borderId="2" xfId="0" applyFont="1" applyBorder="1"/>
    <xf numFmtId="164" fontId="2" fillId="0" borderId="1" xfId="0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" xfId="0" applyFont="1" applyBorder="1"/>
    <xf numFmtId="0" fontId="2" fillId="0" borderId="9" xfId="0" applyFont="1" applyBorder="1"/>
    <xf numFmtId="0" fontId="6" fillId="0" borderId="0" xfId="0" applyFont="1" applyAlignment="1">
      <alignment horizontal="right"/>
    </xf>
    <xf numFmtId="0" fontId="2" fillId="0" borderId="14" xfId="0" applyFont="1" applyBorder="1"/>
    <xf numFmtId="0" fontId="2" fillId="0" borderId="4" xfId="0" applyFont="1" applyBorder="1"/>
    <xf numFmtId="0" fontId="7" fillId="0" borderId="0" xfId="0" applyFont="1"/>
    <xf numFmtId="165" fontId="2" fillId="0" borderId="0" xfId="0" applyNumberFormat="1" applyFont="1"/>
    <xf numFmtId="165" fontId="6" fillId="0" borderId="0" xfId="0" applyNumberFormat="1" applyFont="1"/>
    <xf numFmtId="2" fontId="6" fillId="0" borderId="0" xfId="0" applyNumberFormat="1" applyFont="1"/>
    <xf numFmtId="2" fontId="2" fillId="0" borderId="0" xfId="0" applyNumberFormat="1" applyFont="1" applyAlignment="1">
      <alignment horizontal="left"/>
    </xf>
    <xf numFmtId="166" fontId="6" fillId="0" borderId="0" xfId="0" applyNumberFormat="1" applyFont="1"/>
    <xf numFmtId="2" fontId="6" fillId="0" borderId="0" xfId="0" applyNumberFormat="1" applyFont="1" applyAlignment="1">
      <alignment horizontal="right"/>
    </xf>
    <xf numFmtId="0" fontId="6" fillId="0" borderId="0" xfId="0" quotePrefix="1" applyFont="1" applyAlignment="1">
      <alignment horizontal="center"/>
    </xf>
    <xf numFmtId="2" fontId="6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15" xfId="0" applyFont="1" applyBorder="1" applyAlignment="1">
      <alignment horizontal="center" vertical="center" wrapText="1"/>
    </xf>
    <xf numFmtId="0" fontId="8" fillId="0" borderId="3" xfId="0" applyFont="1" applyBorder="1"/>
    <xf numFmtId="0" fontId="8" fillId="0" borderId="8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8" fillId="0" borderId="7" xfId="0" applyFont="1" applyBorder="1"/>
    <xf numFmtId="0" fontId="2" fillId="0" borderId="14" xfId="0" applyFont="1" applyBorder="1" applyAlignment="1">
      <alignment horizontal="center" vertical="center" wrapText="1"/>
    </xf>
    <xf numFmtId="0" fontId="8" fillId="0" borderId="12" xfId="0" applyFont="1" applyBorder="1"/>
    <xf numFmtId="0" fontId="8" fillId="0" borderId="4" xfId="0" applyFont="1" applyBorder="1"/>
    <xf numFmtId="0" fontId="8" fillId="0" borderId="11" xfId="0" applyFont="1" applyBorder="1"/>
    <xf numFmtId="0" fontId="8" fillId="0" borderId="13" xfId="0" applyFont="1" applyBorder="1"/>
    <xf numFmtId="0" fontId="8" fillId="0" borderId="9" xfId="0" applyFont="1" applyBorder="1"/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8" fillId="0" borderId="5" xfId="0" applyFont="1" applyBorder="1"/>
    <xf numFmtId="0" fontId="8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V_i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'Анализ прибыли'!$C$3:$C$9</c:f>
              <c:numCache>
                <c:formatCode>0.00</c:formatCode>
                <c:ptCount val="7"/>
                <c:pt idx="0">
                  <c:v>85.72</c:v>
                </c:pt>
                <c:pt idx="1">
                  <c:v>91.44</c:v>
                </c:pt>
                <c:pt idx="2">
                  <c:v>97.16</c:v>
                </c:pt>
                <c:pt idx="3">
                  <c:v>102.88</c:v>
                </c:pt>
                <c:pt idx="4">
                  <c:v>108.6</c:v>
                </c:pt>
                <c:pt idx="5">
                  <c:v>114.32</c:v>
                </c:pt>
                <c:pt idx="6">
                  <c:v>120.03999999999999</c:v>
                </c:pt>
              </c:numCache>
            </c:numRef>
          </c:cat>
          <c:val>
            <c:numRef>
              <c:f>'Анализ прибыли'!$E$3:$E$9</c:f>
              <c:numCache>
                <c:formatCode>General</c:formatCode>
                <c:ptCount val="7"/>
                <c:pt idx="0">
                  <c:v>0.02</c:v>
                </c:pt>
                <c:pt idx="1">
                  <c:v>0.22</c:v>
                </c:pt>
                <c:pt idx="2">
                  <c:v>0.3</c:v>
                </c:pt>
                <c:pt idx="3">
                  <c:v>0.26</c:v>
                </c:pt>
                <c:pt idx="4">
                  <c:v>0.12</c:v>
                </c:pt>
                <c:pt idx="5">
                  <c:v>0.04</c:v>
                </c:pt>
                <c:pt idx="6">
                  <c:v>0.04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00C-40EE-89BB-135DAE95D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7120200"/>
        <c:axId val="1118254693"/>
      </c:barChart>
      <c:catAx>
        <c:axId val="1987120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18254693"/>
        <c:crosses val="autoZero"/>
        <c:auto val="1"/>
        <c:lblAlgn val="ctr"/>
        <c:lblOffset val="100"/>
        <c:noMultiLvlLbl val="1"/>
      </c:catAx>
      <c:valAx>
        <c:axId val="1118254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8712020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'Анализ прибыли'!$E$3:$E$9</c:f>
              <c:numCache>
                <c:formatCode>General</c:formatCode>
                <c:ptCount val="7"/>
                <c:pt idx="0">
                  <c:v>0.02</c:v>
                </c:pt>
                <c:pt idx="1">
                  <c:v>0.22</c:v>
                </c:pt>
                <c:pt idx="2">
                  <c:v>0.3</c:v>
                </c:pt>
                <c:pt idx="3">
                  <c:v>0.26</c:v>
                </c:pt>
                <c:pt idx="4">
                  <c:v>0.12</c:v>
                </c:pt>
                <c:pt idx="5">
                  <c:v>0.04</c:v>
                </c:pt>
                <c:pt idx="6">
                  <c:v>0.04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B2-49CD-952A-46351E5A4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768041"/>
        <c:axId val="667018920"/>
      </c:scatterChart>
      <c:valAx>
        <c:axId val="5047680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667018920"/>
        <c:crosses val="autoZero"/>
        <c:crossBetween val="midCat"/>
      </c:valAx>
      <c:valAx>
        <c:axId val="6670189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04768041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US" sz="1600" b="1" i="0">
                <a:solidFill>
                  <a:schemeClr val="lt1"/>
                </a:solidFill>
                <a:latin typeface="+mn-lt"/>
              </a:rPr>
              <a:t>v_i </a:t>
            </a:r>
            <a:r>
              <a:rPr lang="ru-RU" sz="1600" b="1" i="0">
                <a:solidFill>
                  <a:schemeClr val="lt1"/>
                </a:solidFill>
                <a:latin typeface="+mn-lt"/>
              </a:rPr>
              <a:t>от </a:t>
            </a:r>
            <a:r>
              <a:rPr lang="en-US" sz="1600" b="1" i="0">
                <a:solidFill>
                  <a:schemeClr val="lt1"/>
                </a:solidFill>
                <a:latin typeface="+mn-lt"/>
              </a:rPr>
              <a:t>c_i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v_i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'Анализ цены'!$I$2:$I$9</c:f>
              <c:numCache>
                <c:formatCode>General</c:formatCode>
                <c:ptCount val="8"/>
                <c:pt idx="0">
                  <c:v>31.075000000000003</c:v>
                </c:pt>
                <c:pt idx="1">
                  <c:v>53.225000000000009</c:v>
                </c:pt>
                <c:pt idx="2">
                  <c:v>75.375000000000014</c:v>
                </c:pt>
                <c:pt idx="3">
                  <c:v>97.52500000000002</c:v>
                </c:pt>
                <c:pt idx="4">
                  <c:v>119.67500000000003</c:v>
                </c:pt>
                <c:pt idx="5">
                  <c:v>141.82500000000005</c:v>
                </c:pt>
                <c:pt idx="6">
                  <c:v>163.97500000000002</c:v>
                </c:pt>
              </c:numCache>
            </c:numRef>
          </c:cat>
          <c:val>
            <c:numRef>
              <c:f>'Анализ цены'!$H$2:$H$8</c:f>
              <c:numCache>
                <c:formatCode>General</c:formatCode>
                <c:ptCount val="7"/>
                <c:pt idx="0">
                  <c:v>0.22</c:v>
                </c:pt>
                <c:pt idx="1">
                  <c:v>0.24</c:v>
                </c:pt>
                <c:pt idx="2">
                  <c:v>0.28000000000000003</c:v>
                </c:pt>
                <c:pt idx="3">
                  <c:v>0.1</c:v>
                </c:pt>
                <c:pt idx="4">
                  <c:v>0.06</c:v>
                </c:pt>
                <c:pt idx="5">
                  <c:v>0.02</c:v>
                </c:pt>
                <c:pt idx="6">
                  <c:v>0.08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222-4A51-BCEF-1376F6997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7433283"/>
        <c:axId val="928227238"/>
      </c:barChart>
      <c:catAx>
        <c:axId val="6274332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ru-RU"/>
          </a:p>
        </c:txPr>
        <c:crossAx val="928227238"/>
        <c:crosses val="autoZero"/>
        <c:auto val="1"/>
        <c:lblAlgn val="ctr"/>
        <c:lblOffset val="100"/>
        <c:noMultiLvlLbl val="1"/>
      </c:catAx>
      <c:valAx>
        <c:axId val="928227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ru-RU"/>
          </a:p>
        </c:txPr>
        <c:crossAx val="627433283"/>
        <c:crosses val="autoZero"/>
        <c:crossBetween val="between"/>
      </c:valAx>
    </c:plotArea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'Данные курса акций'!$B$5:$B$54</c:f>
              <c:numCache>
                <c:formatCode>General</c:formatCode>
                <c:ptCount val="50"/>
                <c:pt idx="0">
                  <c:v>80</c:v>
                </c:pt>
                <c:pt idx="1">
                  <c:v>105</c:v>
                </c:pt>
                <c:pt idx="2">
                  <c:v>100</c:v>
                </c:pt>
                <c:pt idx="3">
                  <c:v>94</c:v>
                </c:pt>
                <c:pt idx="4">
                  <c:v>112</c:v>
                </c:pt>
                <c:pt idx="5">
                  <c:v>108</c:v>
                </c:pt>
                <c:pt idx="6">
                  <c:v>100</c:v>
                </c:pt>
                <c:pt idx="7">
                  <c:v>88</c:v>
                </c:pt>
                <c:pt idx="8">
                  <c:v>92</c:v>
                </c:pt>
                <c:pt idx="9">
                  <c:v>90</c:v>
                </c:pt>
                <c:pt idx="10">
                  <c:v>92</c:v>
                </c:pt>
                <c:pt idx="11">
                  <c:v>101</c:v>
                </c:pt>
                <c:pt idx="12">
                  <c:v>98</c:v>
                </c:pt>
                <c:pt idx="13">
                  <c:v>95</c:v>
                </c:pt>
                <c:pt idx="14">
                  <c:v>90</c:v>
                </c:pt>
                <c:pt idx="15">
                  <c:v>95</c:v>
                </c:pt>
                <c:pt idx="16">
                  <c:v>109</c:v>
                </c:pt>
                <c:pt idx="17">
                  <c:v>90</c:v>
                </c:pt>
                <c:pt idx="18">
                  <c:v>97</c:v>
                </c:pt>
                <c:pt idx="19">
                  <c:v>90</c:v>
                </c:pt>
                <c:pt idx="20">
                  <c:v>87</c:v>
                </c:pt>
                <c:pt idx="21">
                  <c:v>100</c:v>
                </c:pt>
                <c:pt idx="22">
                  <c:v>98</c:v>
                </c:pt>
                <c:pt idx="23">
                  <c:v>89</c:v>
                </c:pt>
                <c:pt idx="24">
                  <c:v>90</c:v>
                </c:pt>
                <c:pt idx="25">
                  <c:v>97</c:v>
                </c:pt>
                <c:pt idx="26">
                  <c:v>108</c:v>
                </c:pt>
                <c:pt idx="27">
                  <c:v>102</c:v>
                </c:pt>
                <c:pt idx="28">
                  <c:v>88</c:v>
                </c:pt>
                <c:pt idx="29">
                  <c:v>96</c:v>
                </c:pt>
                <c:pt idx="30">
                  <c:v>92</c:v>
                </c:pt>
                <c:pt idx="31">
                  <c:v>102</c:v>
                </c:pt>
                <c:pt idx="32">
                  <c:v>115</c:v>
                </c:pt>
                <c:pt idx="33">
                  <c:v>90</c:v>
                </c:pt>
                <c:pt idx="34">
                  <c:v>92</c:v>
                </c:pt>
                <c:pt idx="35">
                  <c:v>95</c:v>
                </c:pt>
                <c:pt idx="36">
                  <c:v>108</c:v>
                </c:pt>
                <c:pt idx="37">
                  <c:v>95</c:v>
                </c:pt>
                <c:pt idx="38">
                  <c:v>99</c:v>
                </c:pt>
                <c:pt idx="39">
                  <c:v>97</c:v>
                </c:pt>
                <c:pt idx="40">
                  <c:v>102</c:v>
                </c:pt>
                <c:pt idx="41">
                  <c:v>95</c:v>
                </c:pt>
                <c:pt idx="42">
                  <c:v>90</c:v>
                </c:pt>
                <c:pt idx="43">
                  <c:v>101</c:v>
                </c:pt>
                <c:pt idx="44">
                  <c:v>104</c:v>
                </c:pt>
                <c:pt idx="45">
                  <c:v>120</c:v>
                </c:pt>
                <c:pt idx="46">
                  <c:v>101</c:v>
                </c:pt>
                <c:pt idx="47">
                  <c:v>95</c:v>
                </c:pt>
                <c:pt idx="48">
                  <c:v>98</c:v>
                </c:pt>
                <c:pt idx="49">
                  <c:v>108</c:v>
                </c:pt>
              </c:numCache>
            </c:numRef>
          </c:xVal>
          <c:yVal>
            <c:numRef>
              <c:f>'Данные курса акций'!$C$5:$C$54</c:f>
              <c:numCache>
                <c:formatCode>General</c:formatCode>
                <c:ptCount val="50"/>
                <c:pt idx="0">
                  <c:v>20</c:v>
                </c:pt>
                <c:pt idx="1">
                  <c:v>50</c:v>
                </c:pt>
                <c:pt idx="2">
                  <c:v>80</c:v>
                </c:pt>
                <c:pt idx="3">
                  <c:v>35</c:v>
                </c:pt>
                <c:pt idx="4">
                  <c:v>115</c:v>
                </c:pt>
                <c:pt idx="5">
                  <c:v>40</c:v>
                </c:pt>
                <c:pt idx="6">
                  <c:v>40</c:v>
                </c:pt>
                <c:pt idx="7">
                  <c:v>50</c:v>
                </c:pt>
                <c:pt idx="8">
                  <c:v>30</c:v>
                </c:pt>
                <c:pt idx="9">
                  <c:v>35</c:v>
                </c:pt>
                <c:pt idx="10">
                  <c:v>70</c:v>
                </c:pt>
                <c:pt idx="11">
                  <c:v>120</c:v>
                </c:pt>
                <c:pt idx="12">
                  <c:v>100</c:v>
                </c:pt>
                <c:pt idx="13">
                  <c:v>70</c:v>
                </c:pt>
                <c:pt idx="14">
                  <c:v>65</c:v>
                </c:pt>
                <c:pt idx="15">
                  <c:v>80</c:v>
                </c:pt>
                <c:pt idx="16">
                  <c:v>150</c:v>
                </c:pt>
                <c:pt idx="17">
                  <c:v>50</c:v>
                </c:pt>
                <c:pt idx="18">
                  <c:v>60</c:v>
                </c:pt>
                <c:pt idx="19">
                  <c:v>50</c:v>
                </c:pt>
                <c:pt idx="20">
                  <c:v>60</c:v>
                </c:pt>
                <c:pt idx="21">
                  <c:v>90</c:v>
                </c:pt>
                <c:pt idx="22">
                  <c:v>40</c:v>
                </c:pt>
                <c:pt idx="23">
                  <c:v>25</c:v>
                </c:pt>
                <c:pt idx="24">
                  <c:v>85</c:v>
                </c:pt>
                <c:pt idx="25">
                  <c:v>75</c:v>
                </c:pt>
                <c:pt idx="26">
                  <c:v>175</c:v>
                </c:pt>
                <c:pt idx="27">
                  <c:v>100</c:v>
                </c:pt>
                <c:pt idx="28">
                  <c:v>40</c:v>
                </c:pt>
                <c:pt idx="29">
                  <c:v>50</c:v>
                </c:pt>
                <c:pt idx="30">
                  <c:v>75</c:v>
                </c:pt>
                <c:pt idx="31">
                  <c:v>25</c:v>
                </c:pt>
                <c:pt idx="32">
                  <c:v>95</c:v>
                </c:pt>
                <c:pt idx="33">
                  <c:v>60</c:v>
                </c:pt>
                <c:pt idx="34">
                  <c:v>70</c:v>
                </c:pt>
                <c:pt idx="35">
                  <c:v>85</c:v>
                </c:pt>
                <c:pt idx="36">
                  <c:v>170</c:v>
                </c:pt>
                <c:pt idx="37">
                  <c:v>120</c:v>
                </c:pt>
                <c:pt idx="38">
                  <c:v>160</c:v>
                </c:pt>
                <c:pt idx="39">
                  <c:v>50</c:v>
                </c:pt>
                <c:pt idx="40">
                  <c:v>80</c:v>
                </c:pt>
                <c:pt idx="41">
                  <c:v>20</c:v>
                </c:pt>
                <c:pt idx="42">
                  <c:v>55</c:v>
                </c:pt>
                <c:pt idx="43">
                  <c:v>70</c:v>
                </c:pt>
                <c:pt idx="44">
                  <c:v>80</c:v>
                </c:pt>
                <c:pt idx="45">
                  <c:v>100</c:v>
                </c:pt>
                <c:pt idx="46">
                  <c:v>60</c:v>
                </c:pt>
                <c:pt idx="47">
                  <c:v>50</c:v>
                </c:pt>
                <c:pt idx="48">
                  <c:v>70</c:v>
                </c:pt>
                <c:pt idx="49">
                  <c:v>160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10-4B62-B4F0-58F00EECF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764860"/>
        <c:axId val="1521565682"/>
      </c:scatterChart>
      <c:valAx>
        <c:axId val="19467648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521565682"/>
        <c:crosses val="autoZero"/>
        <c:crossBetween val="midCat"/>
      </c:valAx>
      <c:valAx>
        <c:axId val="15215656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4676486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'Практика 06.11'!$B$23:$D$23</c:f>
              <c:numCache>
                <c:formatCode>General</c:formatCode>
                <c:ptCount val="3"/>
                <c:pt idx="0">
                  <c:v>70</c:v>
                </c:pt>
                <c:pt idx="1">
                  <c:v>97.27</c:v>
                </c:pt>
                <c:pt idx="2">
                  <c:v>130</c:v>
                </c:pt>
              </c:numCache>
            </c:numRef>
          </c:cat>
          <c:val>
            <c:numRef>
              <c:f>'Практика 06.11'!$B$24:$D$24</c:f>
              <c:numCache>
                <c:formatCode>General</c:formatCode>
                <c:ptCount val="3"/>
                <c:pt idx="0">
                  <c:v>1.1029999999999802</c:v>
                </c:pt>
                <c:pt idx="1">
                  <c:v>73.597567999999967</c:v>
                </c:pt>
                <c:pt idx="2">
                  <c:v>160.60699999999997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2F-47DE-8BCC-5186FF504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8893943"/>
        <c:axId val="771021119"/>
      </c:lineChart>
      <c:catAx>
        <c:axId val="838893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71021119"/>
        <c:crosses val="autoZero"/>
        <c:auto val="1"/>
        <c:lblAlgn val="ctr"/>
        <c:lblOffset val="100"/>
        <c:noMultiLvlLbl val="1"/>
      </c:catAx>
      <c:valAx>
        <c:axId val="7710211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83889394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'Практика 06.11'!$V$14:$V$63</c:f>
              <c:numCache>
                <c:formatCode>General</c:formatCode>
                <c:ptCount val="50"/>
                <c:pt idx="0">
                  <c:v>80</c:v>
                </c:pt>
                <c:pt idx="1">
                  <c:v>87</c:v>
                </c:pt>
                <c:pt idx="2">
                  <c:v>88</c:v>
                </c:pt>
                <c:pt idx="3">
                  <c:v>88</c:v>
                </c:pt>
                <c:pt idx="4">
                  <c:v>89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92</c:v>
                </c:pt>
                <c:pt idx="13">
                  <c:v>92</c:v>
                </c:pt>
                <c:pt idx="14">
                  <c:v>92</c:v>
                </c:pt>
                <c:pt idx="15">
                  <c:v>92</c:v>
                </c:pt>
                <c:pt idx="16">
                  <c:v>94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95</c:v>
                </c:pt>
                <c:pt idx="22">
                  <c:v>95</c:v>
                </c:pt>
                <c:pt idx="23">
                  <c:v>96</c:v>
                </c:pt>
                <c:pt idx="24">
                  <c:v>97</c:v>
                </c:pt>
                <c:pt idx="25">
                  <c:v>97</c:v>
                </c:pt>
                <c:pt idx="26">
                  <c:v>97</c:v>
                </c:pt>
                <c:pt idx="27">
                  <c:v>98</c:v>
                </c:pt>
                <c:pt idx="28">
                  <c:v>98</c:v>
                </c:pt>
                <c:pt idx="29">
                  <c:v>98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101</c:v>
                </c:pt>
                <c:pt idx="35">
                  <c:v>101</c:v>
                </c:pt>
                <c:pt idx="36">
                  <c:v>101</c:v>
                </c:pt>
                <c:pt idx="37">
                  <c:v>102</c:v>
                </c:pt>
                <c:pt idx="38">
                  <c:v>102</c:v>
                </c:pt>
                <c:pt idx="39">
                  <c:v>102</c:v>
                </c:pt>
                <c:pt idx="40">
                  <c:v>104</c:v>
                </c:pt>
                <c:pt idx="41">
                  <c:v>105</c:v>
                </c:pt>
                <c:pt idx="42">
                  <c:v>108</c:v>
                </c:pt>
                <c:pt idx="43">
                  <c:v>108</c:v>
                </c:pt>
                <c:pt idx="44">
                  <c:v>108</c:v>
                </c:pt>
                <c:pt idx="45">
                  <c:v>108</c:v>
                </c:pt>
                <c:pt idx="46">
                  <c:v>109</c:v>
                </c:pt>
                <c:pt idx="47">
                  <c:v>112</c:v>
                </c:pt>
                <c:pt idx="48">
                  <c:v>115</c:v>
                </c:pt>
                <c:pt idx="49">
                  <c:v>120</c:v>
                </c:pt>
              </c:numCache>
            </c:numRef>
          </c:cat>
          <c:val>
            <c:numRef>
              <c:f>'Практика 06.11'!$W$14:$W$63</c:f>
              <c:numCache>
                <c:formatCode>General</c:formatCode>
                <c:ptCount val="50"/>
                <c:pt idx="0">
                  <c:v>27.686999999999983</c:v>
                </c:pt>
                <c:pt idx="1">
                  <c:v>46.295799999999986</c:v>
                </c:pt>
                <c:pt idx="2">
                  <c:v>48.954199999999986</c:v>
                </c:pt>
                <c:pt idx="3">
                  <c:v>48.954199999999986</c:v>
                </c:pt>
                <c:pt idx="4">
                  <c:v>51.612599999999986</c:v>
                </c:pt>
                <c:pt idx="5">
                  <c:v>54.270999999999987</c:v>
                </c:pt>
                <c:pt idx="6">
                  <c:v>54.270999999999987</c:v>
                </c:pt>
                <c:pt idx="7">
                  <c:v>54.270999999999987</c:v>
                </c:pt>
                <c:pt idx="8">
                  <c:v>54.270999999999987</c:v>
                </c:pt>
                <c:pt idx="9">
                  <c:v>54.270999999999987</c:v>
                </c:pt>
                <c:pt idx="10">
                  <c:v>54.270999999999987</c:v>
                </c:pt>
                <c:pt idx="11">
                  <c:v>54.270999999999987</c:v>
                </c:pt>
                <c:pt idx="12">
                  <c:v>59.587799999999987</c:v>
                </c:pt>
                <c:pt idx="13">
                  <c:v>59.587799999999987</c:v>
                </c:pt>
                <c:pt idx="14">
                  <c:v>59.587799999999987</c:v>
                </c:pt>
                <c:pt idx="15">
                  <c:v>59.587799999999987</c:v>
                </c:pt>
                <c:pt idx="16">
                  <c:v>64.904599999999988</c:v>
                </c:pt>
                <c:pt idx="17">
                  <c:v>67.562999999999988</c:v>
                </c:pt>
                <c:pt idx="18">
                  <c:v>67.562999999999988</c:v>
                </c:pt>
                <c:pt idx="19">
                  <c:v>67.562999999999988</c:v>
                </c:pt>
                <c:pt idx="20">
                  <c:v>67.562999999999988</c:v>
                </c:pt>
                <c:pt idx="21">
                  <c:v>67.562999999999988</c:v>
                </c:pt>
                <c:pt idx="22">
                  <c:v>67.562999999999988</c:v>
                </c:pt>
                <c:pt idx="23">
                  <c:v>70.22139999999996</c:v>
                </c:pt>
                <c:pt idx="24">
                  <c:v>72.879799999999989</c:v>
                </c:pt>
                <c:pt idx="25">
                  <c:v>72.879799999999989</c:v>
                </c:pt>
                <c:pt idx="26">
                  <c:v>72.879799999999989</c:v>
                </c:pt>
                <c:pt idx="27">
                  <c:v>75.538199999999961</c:v>
                </c:pt>
                <c:pt idx="28">
                  <c:v>75.538199999999961</c:v>
                </c:pt>
                <c:pt idx="29">
                  <c:v>75.538199999999961</c:v>
                </c:pt>
                <c:pt idx="30">
                  <c:v>78.196599999999989</c:v>
                </c:pt>
                <c:pt idx="31">
                  <c:v>80.854999999999961</c:v>
                </c:pt>
                <c:pt idx="32">
                  <c:v>80.854999999999961</c:v>
                </c:pt>
                <c:pt idx="33">
                  <c:v>80.854999999999961</c:v>
                </c:pt>
                <c:pt idx="34">
                  <c:v>83.51339999999999</c:v>
                </c:pt>
                <c:pt idx="35">
                  <c:v>83.51339999999999</c:v>
                </c:pt>
                <c:pt idx="36">
                  <c:v>83.51339999999999</c:v>
                </c:pt>
                <c:pt idx="37">
                  <c:v>86.171799999999962</c:v>
                </c:pt>
                <c:pt idx="38">
                  <c:v>86.171799999999962</c:v>
                </c:pt>
                <c:pt idx="39">
                  <c:v>86.171799999999962</c:v>
                </c:pt>
                <c:pt idx="40">
                  <c:v>91.488599999999963</c:v>
                </c:pt>
                <c:pt idx="41">
                  <c:v>94.146999999999991</c:v>
                </c:pt>
                <c:pt idx="42">
                  <c:v>102.12219999999996</c:v>
                </c:pt>
                <c:pt idx="43">
                  <c:v>102.12219999999996</c:v>
                </c:pt>
                <c:pt idx="44">
                  <c:v>102.12219999999996</c:v>
                </c:pt>
                <c:pt idx="45">
                  <c:v>102.12219999999996</c:v>
                </c:pt>
                <c:pt idx="46">
                  <c:v>104.78059999999999</c:v>
                </c:pt>
                <c:pt idx="47">
                  <c:v>112.75579999999997</c:v>
                </c:pt>
                <c:pt idx="48">
                  <c:v>120.73099999999999</c:v>
                </c:pt>
                <c:pt idx="49">
                  <c:v>134.02299999999997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CB-48E7-A6D0-993D5CFCE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301492"/>
        <c:axId val="99697028"/>
      </c:lineChart>
      <c:catAx>
        <c:axId val="291301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9697028"/>
        <c:crosses val="autoZero"/>
        <c:auto val="1"/>
        <c:lblAlgn val="ctr"/>
        <c:lblOffset val="100"/>
        <c:noMultiLvlLbl val="1"/>
      </c:catAx>
      <c:valAx>
        <c:axId val="99697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9130149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752475</xdr:colOff>
      <xdr:row>20</xdr:row>
      <xdr:rowOff>133350</xdr:rowOff>
    </xdr:from>
    <xdr:ext cx="3981450" cy="2457450"/>
    <xdr:graphicFrame macro="">
      <xdr:nvGraphicFramePr>
        <xdr:cNvPr id="304058671" name="Chart 1">
          <a:extLst>
            <a:ext uri="{FF2B5EF4-FFF2-40B4-BE49-F238E27FC236}">
              <a16:creationId xmlns:a16="http://schemas.microsoft.com/office/drawing/2014/main" id="{00000000-0008-0000-0100-00002F911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752475</xdr:colOff>
      <xdr:row>36</xdr:row>
      <xdr:rowOff>171450</xdr:rowOff>
    </xdr:from>
    <xdr:ext cx="3981450" cy="2457450"/>
    <xdr:graphicFrame macro="">
      <xdr:nvGraphicFramePr>
        <xdr:cNvPr id="1704711750" name="Chart 2">
          <a:extLst>
            <a:ext uri="{FF2B5EF4-FFF2-40B4-BE49-F238E27FC236}">
              <a16:creationId xmlns:a16="http://schemas.microsoft.com/office/drawing/2014/main" id="{00000000-0008-0000-0100-000046D69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571500</xdr:colOff>
      <xdr:row>13</xdr:row>
      <xdr:rowOff>142875</xdr:rowOff>
    </xdr:from>
    <xdr:ext cx="3971925" cy="2457450"/>
    <xdr:graphicFrame macro="">
      <xdr:nvGraphicFramePr>
        <xdr:cNvPr id="100832145" name="Chart 3">
          <a:extLst>
            <a:ext uri="{FF2B5EF4-FFF2-40B4-BE49-F238E27FC236}">
              <a16:creationId xmlns:a16="http://schemas.microsoft.com/office/drawing/2014/main" id="{00000000-0008-0000-0200-000091930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2</xdr:row>
      <xdr:rowOff>57150</xdr:rowOff>
    </xdr:from>
    <xdr:ext cx="4457700" cy="2686050"/>
    <xdr:graphicFrame macro="">
      <xdr:nvGraphicFramePr>
        <xdr:cNvPr id="2096634607" name="Chart 4">
          <a:extLst>
            <a:ext uri="{FF2B5EF4-FFF2-40B4-BE49-F238E27FC236}">
              <a16:creationId xmlns:a16="http://schemas.microsoft.com/office/drawing/2014/main" id="{00000000-0008-0000-0900-0000EF1AF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24</xdr:row>
      <xdr:rowOff>123825</xdr:rowOff>
    </xdr:from>
    <xdr:ext cx="4248150" cy="2686050"/>
    <xdr:graphicFrame macro="">
      <xdr:nvGraphicFramePr>
        <xdr:cNvPr id="1660466889" name="Chart 5">
          <a:extLst>
            <a:ext uri="{FF2B5EF4-FFF2-40B4-BE49-F238E27FC236}">
              <a16:creationId xmlns:a16="http://schemas.microsoft.com/office/drawing/2014/main" id="{00000000-0008-0000-0A00-0000C9B6F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0</xdr:colOff>
      <xdr:row>28</xdr:row>
      <xdr:rowOff>0</xdr:rowOff>
    </xdr:from>
    <xdr:ext cx="4029075" cy="2647950"/>
    <xdr:graphicFrame macro="">
      <xdr:nvGraphicFramePr>
        <xdr:cNvPr id="1506338332" name="Chart 6">
          <a:extLst>
            <a:ext uri="{FF2B5EF4-FFF2-40B4-BE49-F238E27FC236}">
              <a16:creationId xmlns:a16="http://schemas.microsoft.com/office/drawing/2014/main" id="{00000000-0008-0000-0A00-00001CE6C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56;&#1072;&#1073;&#1086;&#1090;&#1072;\&#1048;&#1058;&#1052;&#1054;\&#1052;&#1072;&#1090;&#1089;&#1090;&#1072;&#1090;&#1080;&#1089;&#1090;&#1080;&#1082;&#1072;\Backup\&#1050;&#1086;&#1085;&#1090;&#1088;&#1086;&#1083;&#1100;&#1085;&#1099;&#1077;\&#1048;&#1085;&#1078;&#1077;&#1085;&#1077;&#1088;&#1086;-&#1101;&#1082;&#1086;&#1085;&#1086;&#1084;&#1080;&#1095;&#1077;&#1089;&#1082;&#1080;&#1081;\&#1057;&#1090;&#1072;&#1090;&#1080;&#1089;&#1090;&#1080;&#1082;&#1072;\&#1057;&#1090;&#1072;&#1090;&#1080;&#1089;&#1090;&#1080;&#1082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T/Excel%20course/Check%20Ant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борка "/>
      <sheetName val="Выборка 2"/>
      <sheetName val="выборка 3"/>
      <sheetName val="Ранжир 1"/>
      <sheetName val="Ряд 1"/>
      <sheetName val="ФР"/>
      <sheetName val="Полигон"/>
      <sheetName val="Гистограмма"/>
      <sheetName val="X"/>
      <sheetName val="XO"/>
      <sheetName val="Норм "/>
      <sheetName val="Облако"/>
      <sheetName val="Ранжир 2"/>
      <sheetName val="Ряд 2"/>
      <sheetName val="Y"/>
      <sheetName val="Ткорр"/>
      <sheetName val="УКорр"/>
      <sheetName val="Корр"/>
      <sheetName val="Лкорр"/>
      <sheetName val="Данные"/>
      <sheetName val="Датчик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ултанов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opLeftCell="A5" workbookViewId="0"/>
  </sheetViews>
  <sheetFormatPr defaultColWidth="14.44140625" defaultRowHeight="15" customHeight="1"/>
  <cols>
    <col min="1" max="3" width="12.5546875" customWidth="1"/>
    <col min="4" max="14" width="8.6640625" customWidth="1"/>
    <col min="15" max="16" width="12.5546875" customWidth="1"/>
    <col min="17" max="26" width="8.6640625" customWidth="1"/>
  </cols>
  <sheetData>
    <row r="1" spans="1:17" ht="13.5" customHeight="1">
      <c r="A1" s="1" t="s">
        <v>0</v>
      </c>
      <c r="B1" s="2" t="s">
        <v>1</v>
      </c>
      <c r="C1" s="2" t="s">
        <v>2</v>
      </c>
      <c r="O1" s="1" t="s">
        <v>0</v>
      </c>
      <c r="P1" s="2" t="s">
        <v>1</v>
      </c>
      <c r="Q1" s="2" t="s">
        <v>2</v>
      </c>
    </row>
    <row r="2" spans="1:17" ht="13.5" customHeight="1">
      <c r="B2" s="3" t="s">
        <v>3</v>
      </c>
      <c r="C2" s="3" t="s">
        <v>4</v>
      </c>
      <c r="J2" s="3" t="s">
        <v>5</v>
      </c>
      <c r="O2" s="4">
        <v>1</v>
      </c>
      <c r="P2" s="4">
        <v>80</v>
      </c>
      <c r="Q2" s="4">
        <v>20</v>
      </c>
    </row>
    <row r="3" spans="1:17" ht="13.5" customHeight="1">
      <c r="O3" s="4">
        <v>21</v>
      </c>
      <c r="P3" s="4">
        <v>87</v>
      </c>
      <c r="Q3" s="4">
        <v>60</v>
      </c>
    </row>
    <row r="4" spans="1:17" ht="20.25" customHeight="1">
      <c r="O4" s="4">
        <v>8</v>
      </c>
      <c r="P4" s="4">
        <v>88</v>
      </c>
      <c r="Q4" s="4">
        <v>50</v>
      </c>
    </row>
    <row r="5" spans="1:17" ht="13.5" customHeight="1">
      <c r="A5" s="4">
        <v>1</v>
      </c>
      <c r="B5" s="4">
        <v>80</v>
      </c>
      <c r="C5" s="4">
        <v>20</v>
      </c>
      <c r="J5" s="3" t="s">
        <v>6</v>
      </c>
      <c r="O5" s="4">
        <v>29</v>
      </c>
      <c r="P5" s="4">
        <v>88</v>
      </c>
      <c r="Q5" s="4">
        <v>40</v>
      </c>
    </row>
    <row r="6" spans="1:17" ht="13.5" customHeight="1">
      <c r="A6" s="4">
        <v>2</v>
      </c>
      <c r="B6" s="4">
        <v>105</v>
      </c>
      <c r="C6" s="4">
        <v>50</v>
      </c>
      <c r="J6" s="3" t="s">
        <v>7</v>
      </c>
      <c r="O6" s="4">
        <v>24</v>
      </c>
      <c r="P6" s="4">
        <v>89</v>
      </c>
      <c r="Q6" s="4">
        <v>25</v>
      </c>
    </row>
    <row r="7" spans="1:17" ht="13.5" customHeight="1">
      <c r="A7" s="4">
        <v>3</v>
      </c>
      <c r="B7" s="4">
        <v>100</v>
      </c>
      <c r="C7" s="4">
        <v>80</v>
      </c>
      <c r="O7" s="4">
        <v>10</v>
      </c>
      <c r="P7" s="4">
        <v>90</v>
      </c>
      <c r="Q7" s="4">
        <v>35</v>
      </c>
    </row>
    <row r="8" spans="1:17" ht="13.5" customHeight="1">
      <c r="A8" s="4">
        <v>4</v>
      </c>
      <c r="B8" s="4">
        <v>94</v>
      </c>
      <c r="C8" s="4">
        <v>35</v>
      </c>
      <c r="J8" s="3" t="s">
        <v>8</v>
      </c>
      <c r="O8" s="4">
        <v>15</v>
      </c>
      <c r="P8" s="4">
        <v>90</v>
      </c>
      <c r="Q8" s="4">
        <v>65</v>
      </c>
    </row>
    <row r="9" spans="1:17" ht="13.5" customHeight="1">
      <c r="A9" s="4">
        <v>5</v>
      </c>
      <c r="B9" s="4">
        <v>112</v>
      </c>
      <c r="C9" s="4">
        <v>115</v>
      </c>
      <c r="O9" s="4">
        <v>18</v>
      </c>
      <c r="P9" s="4">
        <v>90</v>
      </c>
      <c r="Q9" s="4">
        <v>50</v>
      </c>
    </row>
    <row r="10" spans="1:17" ht="13.5" customHeight="1">
      <c r="A10" s="4">
        <v>6</v>
      </c>
      <c r="B10" s="4">
        <v>108</v>
      </c>
      <c r="C10" s="4">
        <v>40</v>
      </c>
      <c r="J10" s="3" t="s">
        <v>9</v>
      </c>
      <c r="O10" s="4">
        <v>20</v>
      </c>
      <c r="P10" s="4">
        <v>90</v>
      </c>
      <c r="Q10" s="4">
        <v>50</v>
      </c>
    </row>
    <row r="11" spans="1:17" ht="13.5" customHeight="1">
      <c r="A11" s="4">
        <v>7</v>
      </c>
      <c r="B11" s="4">
        <v>100</v>
      </c>
      <c r="C11" s="4">
        <v>40</v>
      </c>
      <c r="J11" s="3" t="s">
        <v>10</v>
      </c>
      <c r="O11" s="4">
        <v>25</v>
      </c>
      <c r="P11" s="4">
        <v>90</v>
      </c>
      <c r="Q11" s="4">
        <v>85</v>
      </c>
    </row>
    <row r="12" spans="1:17" ht="13.5" customHeight="1">
      <c r="A12" s="4">
        <v>8</v>
      </c>
      <c r="B12" s="4">
        <v>88</v>
      </c>
      <c r="C12" s="4">
        <v>50</v>
      </c>
      <c r="J12" s="3" t="s">
        <v>11</v>
      </c>
      <c r="O12" s="4">
        <v>34</v>
      </c>
      <c r="P12" s="4">
        <v>90</v>
      </c>
      <c r="Q12" s="4">
        <v>60</v>
      </c>
    </row>
    <row r="13" spans="1:17" ht="13.5" customHeight="1">
      <c r="A13" s="4">
        <v>9</v>
      </c>
      <c r="B13" s="4">
        <v>92</v>
      </c>
      <c r="C13" s="4">
        <v>30</v>
      </c>
      <c r="I13" s="5" t="s">
        <v>12</v>
      </c>
      <c r="J13" s="3" t="s">
        <v>13</v>
      </c>
      <c r="L13" s="3" t="s">
        <v>14</v>
      </c>
      <c r="O13" s="4">
        <v>43</v>
      </c>
      <c r="P13" s="4">
        <v>90</v>
      </c>
      <c r="Q13" s="4">
        <v>55</v>
      </c>
    </row>
    <row r="14" spans="1:17" ht="13.5" customHeight="1">
      <c r="A14" s="4">
        <v>10</v>
      </c>
      <c r="B14" s="4">
        <v>90</v>
      </c>
      <c r="C14" s="4">
        <v>35</v>
      </c>
      <c r="J14" s="3" t="s">
        <v>15</v>
      </c>
      <c r="O14" s="4">
        <v>9</v>
      </c>
      <c r="P14" s="4">
        <v>92</v>
      </c>
      <c r="Q14" s="4">
        <v>30</v>
      </c>
    </row>
    <row r="15" spans="1:17" ht="13.5" customHeight="1">
      <c r="A15" s="4">
        <v>11</v>
      </c>
      <c r="B15" s="4">
        <v>92</v>
      </c>
      <c r="C15" s="4">
        <v>70</v>
      </c>
      <c r="O15" s="4">
        <v>11</v>
      </c>
      <c r="P15" s="4">
        <v>92</v>
      </c>
      <c r="Q15" s="4">
        <v>70</v>
      </c>
    </row>
    <row r="16" spans="1:17" ht="13.5" customHeight="1">
      <c r="A16" s="4">
        <v>12</v>
      </c>
      <c r="B16" s="4">
        <v>101</v>
      </c>
      <c r="C16" s="4">
        <v>120</v>
      </c>
      <c r="J16" s="3" t="s">
        <v>16</v>
      </c>
      <c r="O16" s="4">
        <v>31</v>
      </c>
      <c r="P16" s="4">
        <v>92</v>
      </c>
      <c r="Q16" s="4">
        <v>75</v>
      </c>
    </row>
    <row r="17" spans="1:17" ht="13.5" customHeight="1">
      <c r="A17" s="4">
        <v>13</v>
      </c>
      <c r="B17" s="4">
        <v>98</v>
      </c>
      <c r="C17" s="4">
        <v>100</v>
      </c>
      <c r="J17" s="3" t="s">
        <v>17</v>
      </c>
      <c r="O17" s="4">
        <v>35</v>
      </c>
      <c r="P17" s="4">
        <v>92</v>
      </c>
      <c r="Q17" s="4">
        <v>70</v>
      </c>
    </row>
    <row r="18" spans="1:17" ht="13.5" customHeight="1">
      <c r="A18" s="4">
        <v>14</v>
      </c>
      <c r="B18" s="4">
        <v>95</v>
      </c>
      <c r="C18" s="4">
        <v>70</v>
      </c>
      <c r="J18" s="3" t="s">
        <v>18</v>
      </c>
      <c r="O18" s="4">
        <v>4</v>
      </c>
      <c r="P18" s="4">
        <v>94</v>
      </c>
      <c r="Q18" s="4">
        <v>35</v>
      </c>
    </row>
    <row r="19" spans="1:17" ht="13.5" customHeight="1">
      <c r="A19" s="4">
        <v>15</v>
      </c>
      <c r="B19" s="4">
        <v>90</v>
      </c>
      <c r="C19" s="4">
        <v>65</v>
      </c>
      <c r="O19" s="4">
        <v>14</v>
      </c>
      <c r="P19" s="4">
        <v>95</v>
      </c>
      <c r="Q19" s="4">
        <v>70</v>
      </c>
    </row>
    <row r="20" spans="1:17" ht="13.5" customHeight="1">
      <c r="A20" s="4">
        <v>16</v>
      </c>
      <c r="B20" s="4">
        <v>95</v>
      </c>
      <c r="C20" s="4">
        <v>80</v>
      </c>
      <c r="I20" s="5" t="s">
        <v>19</v>
      </c>
      <c r="J20" s="3">
        <f>(120-80)/7</f>
        <v>5.7142857142857144</v>
      </c>
      <c r="O20" s="4">
        <v>16</v>
      </c>
      <c r="P20" s="4">
        <v>95</v>
      </c>
      <c r="Q20" s="4">
        <v>80</v>
      </c>
    </row>
    <row r="21" spans="1:17" ht="13.5" customHeight="1">
      <c r="A21" s="4">
        <v>17</v>
      </c>
      <c r="B21" s="4">
        <v>109</v>
      </c>
      <c r="C21" s="4">
        <v>150</v>
      </c>
      <c r="O21" s="4">
        <v>36</v>
      </c>
      <c r="P21" s="4">
        <v>95</v>
      </c>
      <c r="Q21" s="4">
        <v>85</v>
      </c>
    </row>
    <row r="22" spans="1:17" ht="13.5" customHeight="1">
      <c r="A22" s="4">
        <v>18</v>
      </c>
      <c r="B22" s="4">
        <v>90</v>
      </c>
      <c r="C22" s="4">
        <v>50</v>
      </c>
      <c r="I22" s="3" t="s">
        <v>20</v>
      </c>
      <c r="O22" s="4">
        <v>38</v>
      </c>
      <c r="P22" s="4">
        <v>95</v>
      </c>
      <c r="Q22" s="4">
        <v>120</v>
      </c>
    </row>
    <row r="23" spans="1:17" ht="13.5" customHeight="1">
      <c r="A23" s="4">
        <v>19</v>
      </c>
      <c r="B23" s="4">
        <v>97</v>
      </c>
      <c r="C23" s="4">
        <v>60</v>
      </c>
      <c r="I23" s="3" t="s">
        <v>21</v>
      </c>
      <c r="O23" s="4">
        <v>42</v>
      </c>
      <c r="P23" s="4">
        <v>95</v>
      </c>
      <c r="Q23" s="4">
        <v>20</v>
      </c>
    </row>
    <row r="24" spans="1:17" ht="13.5" customHeight="1">
      <c r="A24" s="4">
        <v>20</v>
      </c>
      <c r="B24" s="4">
        <v>90</v>
      </c>
      <c r="C24" s="4">
        <v>50</v>
      </c>
      <c r="I24" s="3" t="s">
        <v>22</v>
      </c>
      <c r="O24" s="4">
        <v>48</v>
      </c>
      <c r="P24" s="4">
        <v>95</v>
      </c>
      <c r="Q24" s="4">
        <v>50</v>
      </c>
    </row>
    <row r="25" spans="1:17" ht="13.5" customHeight="1">
      <c r="A25" s="4">
        <v>21</v>
      </c>
      <c r="B25" s="4">
        <v>87</v>
      </c>
      <c r="C25" s="4">
        <v>60</v>
      </c>
      <c r="I25" s="3" t="s">
        <v>23</v>
      </c>
      <c r="O25" s="4">
        <v>30</v>
      </c>
      <c r="P25" s="4">
        <v>96</v>
      </c>
      <c r="Q25" s="4">
        <v>50</v>
      </c>
    </row>
    <row r="26" spans="1:17" ht="13.5" customHeight="1">
      <c r="A26" s="4">
        <v>22</v>
      </c>
      <c r="B26" s="4">
        <v>100</v>
      </c>
      <c r="C26" s="4">
        <v>90</v>
      </c>
      <c r="O26" s="4">
        <v>19</v>
      </c>
      <c r="P26" s="4">
        <v>97</v>
      </c>
      <c r="Q26" s="4">
        <v>60</v>
      </c>
    </row>
    <row r="27" spans="1:17" ht="13.5" customHeight="1">
      <c r="A27" s="4">
        <v>23</v>
      </c>
      <c r="B27" s="4">
        <v>98</v>
      </c>
      <c r="C27" s="4">
        <v>40</v>
      </c>
      <c r="I27" s="3" t="s">
        <v>24</v>
      </c>
      <c r="O27" s="4">
        <v>26</v>
      </c>
      <c r="P27" s="4">
        <v>97</v>
      </c>
      <c r="Q27" s="4">
        <v>75</v>
      </c>
    </row>
    <row r="28" spans="1:17" ht="13.5" customHeight="1">
      <c r="A28" s="4">
        <v>24</v>
      </c>
      <c r="B28" s="4">
        <v>89</v>
      </c>
      <c r="C28" s="4">
        <v>25</v>
      </c>
      <c r="I28" s="3" t="s">
        <v>25</v>
      </c>
      <c r="O28" s="4">
        <v>40</v>
      </c>
      <c r="P28" s="4">
        <v>97</v>
      </c>
      <c r="Q28" s="4">
        <v>50</v>
      </c>
    </row>
    <row r="29" spans="1:17" ht="13.5" customHeight="1">
      <c r="A29" s="4">
        <v>25</v>
      </c>
      <c r="B29" s="4">
        <v>90</v>
      </c>
      <c r="C29" s="4">
        <v>85</v>
      </c>
      <c r="O29" s="4">
        <v>13</v>
      </c>
      <c r="P29" s="4">
        <v>98</v>
      </c>
      <c r="Q29" s="4">
        <v>100</v>
      </c>
    </row>
    <row r="30" spans="1:17" ht="13.5" customHeight="1">
      <c r="A30" s="4">
        <v>26</v>
      </c>
      <c r="B30" s="4">
        <v>97</v>
      </c>
      <c r="C30" s="4">
        <v>75</v>
      </c>
      <c r="O30" s="4">
        <v>23</v>
      </c>
      <c r="P30" s="4">
        <v>98</v>
      </c>
      <c r="Q30" s="4">
        <v>40</v>
      </c>
    </row>
    <row r="31" spans="1:17" ht="13.5" customHeight="1">
      <c r="A31" s="4">
        <v>27</v>
      </c>
      <c r="B31" s="4">
        <v>108</v>
      </c>
      <c r="C31" s="4">
        <v>175</v>
      </c>
      <c r="O31" s="4">
        <v>49</v>
      </c>
      <c r="P31" s="4">
        <v>98</v>
      </c>
      <c r="Q31" s="4">
        <v>70</v>
      </c>
    </row>
    <row r="32" spans="1:17" ht="13.5" customHeight="1">
      <c r="A32" s="4">
        <v>28</v>
      </c>
      <c r="B32" s="4">
        <v>102</v>
      </c>
      <c r="C32" s="4">
        <v>100</v>
      </c>
      <c r="O32" s="4">
        <v>39</v>
      </c>
      <c r="P32" s="4">
        <v>99</v>
      </c>
      <c r="Q32" s="4">
        <v>160</v>
      </c>
    </row>
    <row r="33" spans="1:17" ht="13.5" customHeight="1">
      <c r="A33" s="4">
        <v>29</v>
      </c>
      <c r="B33" s="4">
        <v>88</v>
      </c>
      <c r="C33" s="4">
        <v>40</v>
      </c>
      <c r="O33" s="4">
        <v>3</v>
      </c>
      <c r="P33" s="4">
        <v>100</v>
      </c>
      <c r="Q33" s="4">
        <v>80</v>
      </c>
    </row>
    <row r="34" spans="1:17" ht="13.5" customHeight="1">
      <c r="A34" s="4">
        <v>30</v>
      </c>
      <c r="B34" s="4">
        <v>96</v>
      </c>
      <c r="C34" s="4">
        <v>50</v>
      </c>
      <c r="N34" s="3" t="s">
        <v>26</v>
      </c>
      <c r="O34" s="4">
        <v>7</v>
      </c>
      <c r="P34" s="4">
        <v>100</v>
      </c>
      <c r="Q34" s="4">
        <v>40</v>
      </c>
    </row>
    <row r="35" spans="1:17" ht="13.5" customHeight="1">
      <c r="A35" s="4">
        <v>31</v>
      </c>
      <c r="B35" s="4">
        <v>92</v>
      </c>
      <c r="C35" s="4">
        <v>75</v>
      </c>
      <c r="O35" s="4">
        <v>22</v>
      </c>
      <c r="P35" s="4">
        <v>100</v>
      </c>
      <c r="Q35" s="4">
        <v>90</v>
      </c>
    </row>
    <row r="36" spans="1:17" ht="13.5" customHeight="1">
      <c r="A36" s="4">
        <v>32</v>
      </c>
      <c r="B36" s="4">
        <v>102</v>
      </c>
      <c r="C36" s="4">
        <v>25</v>
      </c>
      <c r="O36" s="4">
        <v>12</v>
      </c>
      <c r="P36" s="4">
        <v>101</v>
      </c>
      <c r="Q36" s="4">
        <v>120</v>
      </c>
    </row>
    <row r="37" spans="1:17" ht="13.5" customHeight="1">
      <c r="A37" s="4">
        <v>33</v>
      </c>
      <c r="B37" s="4">
        <v>115</v>
      </c>
      <c r="C37" s="4">
        <v>95</v>
      </c>
      <c r="O37" s="4">
        <v>44</v>
      </c>
      <c r="P37" s="4">
        <v>101</v>
      </c>
      <c r="Q37" s="4">
        <v>70</v>
      </c>
    </row>
    <row r="38" spans="1:17" ht="13.5" customHeight="1">
      <c r="A38" s="4">
        <v>34</v>
      </c>
      <c r="B38" s="4">
        <v>90</v>
      </c>
      <c r="C38" s="4">
        <v>60</v>
      </c>
      <c r="O38" s="4">
        <v>47</v>
      </c>
      <c r="P38" s="4">
        <v>101</v>
      </c>
      <c r="Q38" s="4">
        <v>60</v>
      </c>
    </row>
    <row r="39" spans="1:17" ht="13.5" customHeight="1">
      <c r="A39" s="4">
        <v>35</v>
      </c>
      <c r="B39" s="4">
        <v>92</v>
      </c>
      <c r="C39" s="4">
        <v>70</v>
      </c>
      <c r="O39" s="4">
        <v>28</v>
      </c>
      <c r="P39" s="4">
        <v>102</v>
      </c>
      <c r="Q39" s="4">
        <v>100</v>
      </c>
    </row>
    <row r="40" spans="1:17" ht="13.5" customHeight="1">
      <c r="A40" s="4">
        <v>36</v>
      </c>
      <c r="B40" s="4">
        <v>95</v>
      </c>
      <c r="C40" s="4">
        <v>85</v>
      </c>
      <c r="O40" s="4">
        <v>32</v>
      </c>
      <c r="P40" s="4">
        <v>102</v>
      </c>
      <c r="Q40" s="4">
        <v>25</v>
      </c>
    </row>
    <row r="41" spans="1:17" ht="13.5" customHeight="1">
      <c r="A41" s="4">
        <v>37</v>
      </c>
      <c r="B41" s="4">
        <v>108</v>
      </c>
      <c r="C41" s="4">
        <v>170</v>
      </c>
      <c r="O41" s="4">
        <v>41</v>
      </c>
      <c r="P41" s="4">
        <v>102</v>
      </c>
      <c r="Q41" s="4">
        <v>80</v>
      </c>
    </row>
    <row r="42" spans="1:17" ht="13.5" customHeight="1">
      <c r="A42" s="4">
        <v>38</v>
      </c>
      <c r="B42" s="4">
        <v>95</v>
      </c>
      <c r="C42" s="4">
        <v>120</v>
      </c>
      <c r="O42" s="4">
        <v>45</v>
      </c>
      <c r="P42" s="4">
        <v>104</v>
      </c>
      <c r="Q42" s="4">
        <v>80</v>
      </c>
    </row>
    <row r="43" spans="1:17" ht="13.5" customHeight="1">
      <c r="A43" s="4">
        <v>39</v>
      </c>
      <c r="B43" s="4">
        <v>99</v>
      </c>
      <c r="C43" s="4">
        <v>160</v>
      </c>
      <c r="O43" s="4">
        <v>2</v>
      </c>
      <c r="P43" s="4">
        <v>105</v>
      </c>
      <c r="Q43" s="4">
        <v>50</v>
      </c>
    </row>
    <row r="44" spans="1:17" ht="13.5" customHeight="1">
      <c r="A44" s="4">
        <v>40</v>
      </c>
      <c r="B44" s="4">
        <v>97</v>
      </c>
      <c r="C44" s="4">
        <v>50</v>
      </c>
      <c r="O44" s="4">
        <v>6</v>
      </c>
      <c r="P44" s="4">
        <v>108</v>
      </c>
      <c r="Q44" s="4">
        <v>40</v>
      </c>
    </row>
    <row r="45" spans="1:17" ht="13.5" customHeight="1">
      <c r="A45" s="4">
        <v>41</v>
      </c>
      <c r="B45" s="4">
        <v>102</v>
      </c>
      <c r="C45" s="4">
        <v>80</v>
      </c>
      <c r="O45" s="4">
        <v>27</v>
      </c>
      <c r="P45" s="4">
        <v>108</v>
      </c>
      <c r="Q45" s="4">
        <v>175</v>
      </c>
    </row>
    <row r="46" spans="1:17" ht="13.5" customHeight="1">
      <c r="A46" s="4">
        <v>42</v>
      </c>
      <c r="B46" s="4">
        <v>95</v>
      </c>
      <c r="C46" s="4">
        <v>20</v>
      </c>
      <c r="O46" s="4">
        <v>37</v>
      </c>
      <c r="P46" s="4">
        <v>108</v>
      </c>
      <c r="Q46" s="4">
        <v>170</v>
      </c>
    </row>
    <row r="47" spans="1:17" ht="13.5" customHeight="1">
      <c r="A47" s="4">
        <v>43</v>
      </c>
      <c r="B47" s="4">
        <v>90</v>
      </c>
      <c r="C47" s="4">
        <v>55</v>
      </c>
      <c r="O47" s="4">
        <v>50</v>
      </c>
      <c r="P47" s="4">
        <v>108</v>
      </c>
      <c r="Q47" s="4">
        <v>160</v>
      </c>
    </row>
    <row r="48" spans="1:17" ht="13.5" customHeight="1">
      <c r="A48" s="4">
        <v>44</v>
      </c>
      <c r="B48" s="4">
        <v>101</v>
      </c>
      <c r="C48" s="4">
        <v>70</v>
      </c>
      <c r="O48" s="4">
        <v>17</v>
      </c>
      <c r="P48" s="4">
        <v>109</v>
      </c>
      <c r="Q48" s="4">
        <v>150</v>
      </c>
    </row>
    <row r="49" spans="1:17" ht="13.5" customHeight="1">
      <c r="A49" s="4">
        <v>45</v>
      </c>
      <c r="B49" s="4">
        <v>104</v>
      </c>
      <c r="C49" s="4">
        <v>80</v>
      </c>
      <c r="O49" s="4">
        <v>5</v>
      </c>
      <c r="P49" s="4">
        <v>112</v>
      </c>
      <c r="Q49" s="4">
        <v>115</v>
      </c>
    </row>
    <row r="50" spans="1:17" ht="13.5" customHeight="1">
      <c r="A50" s="4">
        <v>46</v>
      </c>
      <c r="B50" s="4">
        <v>120</v>
      </c>
      <c r="C50" s="4">
        <v>100</v>
      </c>
      <c r="O50" s="4">
        <v>33</v>
      </c>
      <c r="P50" s="4">
        <v>115</v>
      </c>
      <c r="Q50" s="4">
        <v>95</v>
      </c>
    </row>
    <row r="51" spans="1:17" ht="13.5" customHeight="1">
      <c r="A51" s="4">
        <v>47</v>
      </c>
      <c r="B51" s="4">
        <v>101</v>
      </c>
      <c r="C51" s="4">
        <v>60</v>
      </c>
      <c r="O51" s="4">
        <v>46</v>
      </c>
      <c r="P51" s="4">
        <v>120</v>
      </c>
      <c r="Q51" s="4">
        <v>100</v>
      </c>
    </row>
    <row r="52" spans="1:17" ht="13.5" customHeight="1">
      <c r="A52" s="4">
        <v>48</v>
      </c>
      <c r="B52" s="4">
        <v>95</v>
      </c>
      <c r="C52" s="4">
        <v>50</v>
      </c>
      <c r="O52" s="4"/>
      <c r="P52" s="4"/>
      <c r="Q52" s="4"/>
    </row>
    <row r="53" spans="1:17" ht="13.5" customHeight="1">
      <c r="A53" s="4">
        <v>49</v>
      </c>
      <c r="B53" s="4">
        <v>98</v>
      </c>
      <c r="C53" s="4">
        <v>70</v>
      </c>
      <c r="O53" s="4"/>
      <c r="P53" s="4"/>
      <c r="Q53" s="4"/>
    </row>
    <row r="54" spans="1:17" ht="13.5" customHeight="1">
      <c r="A54" s="4">
        <v>50</v>
      </c>
      <c r="B54" s="4">
        <v>108</v>
      </c>
      <c r="C54" s="4">
        <v>160</v>
      </c>
      <c r="O54" s="4"/>
      <c r="P54" s="4"/>
      <c r="Q54" s="4"/>
    </row>
    <row r="55" spans="1:17" ht="13.5" customHeight="1">
      <c r="A55" s="4"/>
      <c r="B55" s="4"/>
      <c r="C55" s="4"/>
      <c r="O55" s="4"/>
      <c r="P55" s="4"/>
      <c r="Q55" s="4"/>
    </row>
    <row r="56" spans="1:17" ht="13.5" customHeight="1">
      <c r="A56" s="4"/>
      <c r="B56" s="4"/>
      <c r="C56" s="4"/>
    </row>
    <row r="57" spans="1:17" ht="13.5" customHeight="1">
      <c r="A57" s="4"/>
      <c r="B57" s="4"/>
      <c r="C57" s="4"/>
    </row>
    <row r="58" spans="1:17" ht="13.5" customHeight="1">
      <c r="A58" s="4"/>
      <c r="B58" s="4"/>
      <c r="C58" s="4"/>
    </row>
    <row r="59" spans="1:17" ht="13.5" customHeight="1"/>
    <row r="60" spans="1:17" ht="13.5" customHeight="1"/>
    <row r="61" spans="1:17" ht="13.5" customHeight="1"/>
    <row r="62" spans="1:17" ht="13.5" customHeight="1"/>
    <row r="63" spans="1:17" ht="13.5" customHeight="1"/>
    <row r="64" spans="1:17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workbookViewId="0">
      <selection activeCell="L1" sqref="L1"/>
    </sheetView>
  </sheetViews>
  <sheetFormatPr defaultColWidth="14.44140625" defaultRowHeight="15" customHeight="1"/>
  <cols>
    <col min="1" max="3" width="8.6640625" customWidth="1"/>
    <col min="4" max="4" width="16.88671875" customWidth="1"/>
    <col min="5" max="5" width="20.88671875" customWidth="1"/>
    <col min="6" max="6" width="24.88671875" customWidth="1"/>
    <col min="7" max="7" width="8.6640625" customWidth="1"/>
    <col min="8" max="8" width="11" customWidth="1"/>
    <col min="9" max="10" width="12.5546875" customWidth="1"/>
    <col min="11" max="26" width="8.6640625" customWidth="1"/>
  </cols>
  <sheetData>
    <row r="1" spans="1:18" ht="13.5" customHeight="1">
      <c r="A1" s="1" t="s">
        <v>0</v>
      </c>
      <c r="B1" s="58" t="s">
        <v>27</v>
      </c>
      <c r="C1" s="59"/>
      <c r="D1" s="3" t="s">
        <v>28</v>
      </c>
      <c r="E1" s="3" t="s">
        <v>29</v>
      </c>
      <c r="F1" s="3" t="s">
        <v>30</v>
      </c>
      <c r="I1" s="1" t="s">
        <v>0</v>
      </c>
      <c r="J1" s="2" t="s">
        <v>1</v>
      </c>
      <c r="K1" s="2" t="s">
        <v>2</v>
      </c>
    </row>
    <row r="2" spans="1:18" ht="13.5" customHeight="1">
      <c r="A2" s="1"/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4">
        <v>1</v>
      </c>
      <c r="J2" s="4">
        <v>80</v>
      </c>
      <c r="K2" s="4">
        <v>20</v>
      </c>
      <c r="L2" s="5" t="s">
        <v>19</v>
      </c>
      <c r="M2" s="7">
        <v>5.72</v>
      </c>
      <c r="R2" s="3" t="s">
        <v>38</v>
      </c>
    </row>
    <row r="3" spans="1:18" ht="13.5" customHeight="1">
      <c r="A3" s="4">
        <v>1</v>
      </c>
      <c r="B3" s="3">
        <v>80</v>
      </c>
      <c r="C3" s="8">
        <f t="shared" ref="C3:C9" si="0">B3+$M$2</f>
        <v>85.72</v>
      </c>
      <c r="D3" s="3">
        <f t="shared" ref="D3:D9" si="1">COUNTIFS(Прибыль1,"&gt;="&amp;B3,Прибыль1,"&lt;"&amp;C3)</f>
        <v>1</v>
      </c>
      <c r="E3" s="3">
        <f t="shared" ref="E3:E9" si="2">D3/50</f>
        <v>0.02</v>
      </c>
      <c r="F3" s="3">
        <f t="shared" ref="F3:F9" si="3">(B3+C3)/2</f>
        <v>82.86</v>
      </c>
      <c r="G3" s="3">
        <f t="shared" ref="G3:G9" si="4">F3*D3</f>
        <v>82.86</v>
      </c>
      <c r="H3" s="3">
        <f t="shared" ref="H3:H9" si="5">G3*F3</f>
        <v>6865.7795999999998</v>
      </c>
      <c r="I3" s="4">
        <v>21</v>
      </c>
      <c r="J3" s="4">
        <v>87</v>
      </c>
      <c r="K3" s="4">
        <v>60</v>
      </c>
      <c r="L3" s="3" t="s">
        <v>39</v>
      </c>
      <c r="R3" s="7">
        <f t="shared" ref="R3:R9" si="6">COUNTIF(Прибыль1, "&lt;"&amp;C3)/50</f>
        <v>0.02</v>
      </c>
    </row>
    <row r="4" spans="1:18" ht="13.5" customHeight="1">
      <c r="A4" s="4">
        <v>2</v>
      </c>
      <c r="B4" s="8">
        <f t="shared" ref="B4:B9" si="7">C3</f>
        <v>85.72</v>
      </c>
      <c r="C4" s="8">
        <f t="shared" si="0"/>
        <v>91.44</v>
      </c>
      <c r="D4" s="3">
        <f t="shared" si="1"/>
        <v>11</v>
      </c>
      <c r="E4" s="3">
        <f t="shared" si="2"/>
        <v>0.22</v>
      </c>
      <c r="F4" s="3">
        <f t="shared" si="3"/>
        <v>88.58</v>
      </c>
      <c r="G4" s="3">
        <f t="shared" si="4"/>
        <v>974.38</v>
      </c>
      <c r="H4" s="3">
        <f t="shared" si="5"/>
        <v>86310.580399999992</v>
      </c>
      <c r="I4" s="4">
        <v>8</v>
      </c>
      <c r="J4" s="4">
        <v>88</v>
      </c>
      <c r="K4" s="4">
        <v>50</v>
      </c>
      <c r="L4" s="3" t="s">
        <v>40</v>
      </c>
      <c r="R4" s="7">
        <f t="shared" si="6"/>
        <v>0.24</v>
      </c>
    </row>
    <row r="5" spans="1:18" ht="13.5" customHeight="1">
      <c r="A5" s="4">
        <v>3</v>
      </c>
      <c r="B5" s="8">
        <f t="shared" si="7"/>
        <v>91.44</v>
      </c>
      <c r="C5" s="8">
        <f t="shared" si="0"/>
        <v>97.16</v>
      </c>
      <c r="D5" s="3">
        <f t="shared" si="1"/>
        <v>15</v>
      </c>
      <c r="E5" s="3">
        <f t="shared" si="2"/>
        <v>0.3</v>
      </c>
      <c r="F5" s="3">
        <f t="shared" si="3"/>
        <v>94.3</v>
      </c>
      <c r="G5" s="3">
        <f t="shared" si="4"/>
        <v>1414.5</v>
      </c>
      <c r="H5" s="3">
        <f t="shared" si="5"/>
        <v>133387.35</v>
      </c>
      <c r="I5" s="4">
        <v>29</v>
      </c>
      <c r="J5" s="4">
        <v>88</v>
      </c>
      <c r="K5" s="4">
        <v>40</v>
      </c>
      <c r="L5" s="3" t="s">
        <v>41</v>
      </c>
      <c r="R5" s="7">
        <f t="shared" si="6"/>
        <v>0.54</v>
      </c>
    </row>
    <row r="6" spans="1:18" ht="13.5" customHeight="1">
      <c r="A6" s="4">
        <v>4</v>
      </c>
      <c r="B6" s="8">
        <f t="shared" si="7"/>
        <v>97.16</v>
      </c>
      <c r="C6" s="8">
        <f t="shared" si="0"/>
        <v>102.88</v>
      </c>
      <c r="D6" s="3">
        <f t="shared" si="1"/>
        <v>13</v>
      </c>
      <c r="E6" s="3">
        <f t="shared" si="2"/>
        <v>0.26</v>
      </c>
      <c r="F6" s="3">
        <f t="shared" si="3"/>
        <v>100.02</v>
      </c>
      <c r="G6" s="3">
        <f t="shared" si="4"/>
        <v>1300.26</v>
      </c>
      <c r="H6" s="3">
        <f t="shared" si="5"/>
        <v>130052.0052</v>
      </c>
      <c r="I6" s="4">
        <v>24</v>
      </c>
      <c r="J6" s="4">
        <v>89</v>
      </c>
      <c r="K6" s="4">
        <v>25</v>
      </c>
      <c r="R6" s="7">
        <f t="shared" si="6"/>
        <v>0.8</v>
      </c>
    </row>
    <row r="7" spans="1:18" ht="13.5" customHeight="1">
      <c r="A7" s="4">
        <v>5</v>
      </c>
      <c r="B7" s="8">
        <f t="shared" si="7"/>
        <v>102.88</v>
      </c>
      <c r="C7" s="8">
        <f t="shared" si="0"/>
        <v>108.6</v>
      </c>
      <c r="D7" s="3">
        <f t="shared" si="1"/>
        <v>6</v>
      </c>
      <c r="E7" s="3">
        <f t="shared" si="2"/>
        <v>0.12</v>
      </c>
      <c r="F7" s="3">
        <f t="shared" si="3"/>
        <v>105.74</v>
      </c>
      <c r="G7" s="3">
        <f t="shared" si="4"/>
        <v>634.43999999999994</v>
      </c>
      <c r="H7" s="3">
        <f t="shared" si="5"/>
        <v>67085.685599999997</v>
      </c>
      <c r="I7" s="4">
        <v>10</v>
      </c>
      <c r="J7" s="4">
        <v>90</v>
      </c>
      <c r="K7" s="4">
        <v>35</v>
      </c>
      <c r="L7" s="3" t="s">
        <v>42</v>
      </c>
      <c r="R7" s="7">
        <f t="shared" si="6"/>
        <v>0.92</v>
      </c>
    </row>
    <row r="8" spans="1:18" ht="13.5" customHeight="1">
      <c r="A8" s="4">
        <v>6</v>
      </c>
      <c r="B8" s="8">
        <f t="shared" si="7"/>
        <v>108.6</v>
      </c>
      <c r="C8" s="8">
        <f t="shared" si="0"/>
        <v>114.32</v>
      </c>
      <c r="D8" s="3">
        <f t="shared" si="1"/>
        <v>2</v>
      </c>
      <c r="E8" s="3">
        <f t="shared" si="2"/>
        <v>0.04</v>
      </c>
      <c r="F8" s="3">
        <f t="shared" si="3"/>
        <v>111.46</v>
      </c>
      <c r="G8" s="3">
        <f t="shared" si="4"/>
        <v>222.92</v>
      </c>
      <c r="H8" s="3">
        <f t="shared" si="5"/>
        <v>24846.663199999995</v>
      </c>
      <c r="I8" s="4">
        <v>15</v>
      </c>
      <c r="J8" s="4">
        <v>90</v>
      </c>
      <c r="K8" s="4">
        <v>65</v>
      </c>
      <c r="O8" s="3" t="s">
        <v>43</v>
      </c>
      <c r="R8" s="7">
        <f t="shared" si="6"/>
        <v>0.96</v>
      </c>
    </row>
    <row r="9" spans="1:18" ht="13.5" customHeight="1">
      <c r="A9" s="4">
        <v>7</v>
      </c>
      <c r="B9" s="8">
        <f t="shared" si="7"/>
        <v>114.32</v>
      </c>
      <c r="C9" s="8">
        <f t="shared" si="0"/>
        <v>120.03999999999999</v>
      </c>
      <c r="D9" s="3">
        <f t="shared" si="1"/>
        <v>2</v>
      </c>
      <c r="E9" s="3">
        <f t="shared" si="2"/>
        <v>0.04</v>
      </c>
      <c r="F9" s="3">
        <f t="shared" si="3"/>
        <v>117.17999999999999</v>
      </c>
      <c r="G9" s="3">
        <f t="shared" si="4"/>
        <v>234.35999999999999</v>
      </c>
      <c r="H9" s="3">
        <f t="shared" si="5"/>
        <v>27462.304799999998</v>
      </c>
      <c r="I9" s="4">
        <v>18</v>
      </c>
      <c r="J9" s="4">
        <v>90</v>
      </c>
      <c r="K9" s="4">
        <v>50</v>
      </c>
      <c r="R9" s="7">
        <f t="shared" si="6"/>
        <v>1</v>
      </c>
    </row>
    <row r="10" spans="1:18" ht="13.5" customHeight="1">
      <c r="A10" s="4"/>
      <c r="H10" s="3">
        <f>SUM(H3:H9)</f>
        <v>476010.36879999994</v>
      </c>
      <c r="I10" s="4">
        <v>20</v>
      </c>
      <c r="J10" s="4">
        <v>90</v>
      </c>
      <c r="K10" s="4">
        <v>50</v>
      </c>
      <c r="L10" s="3" t="s">
        <v>44</v>
      </c>
      <c r="N10" s="3" t="s">
        <v>45</v>
      </c>
      <c r="R10" s="9"/>
    </row>
    <row r="11" spans="1:18" ht="13.5" customHeight="1">
      <c r="A11" s="4">
        <v>8</v>
      </c>
      <c r="B11" s="8">
        <f>C9</f>
        <v>120.03999999999999</v>
      </c>
      <c r="C11" s="8">
        <f t="shared" ref="C11:C57" si="8">B11+$M$2</f>
        <v>125.75999999999999</v>
      </c>
      <c r="I11" s="4">
        <v>25</v>
      </c>
      <c r="J11" s="4">
        <v>90</v>
      </c>
      <c r="K11" s="4">
        <v>85</v>
      </c>
    </row>
    <row r="12" spans="1:18" ht="13.5" customHeight="1">
      <c r="A12" s="4">
        <v>9</v>
      </c>
      <c r="B12" s="8">
        <f t="shared" ref="B12:B57" si="9">C11</f>
        <v>125.75999999999999</v>
      </c>
      <c r="C12" s="8">
        <f t="shared" si="8"/>
        <v>131.47999999999999</v>
      </c>
      <c r="I12" s="4">
        <v>34</v>
      </c>
      <c r="J12" s="4">
        <v>90</v>
      </c>
      <c r="K12" s="4">
        <v>60</v>
      </c>
      <c r="L12" s="3" t="s">
        <v>46</v>
      </c>
    </row>
    <row r="13" spans="1:18" ht="13.5" customHeight="1">
      <c r="A13" s="4">
        <v>10</v>
      </c>
      <c r="B13" s="8">
        <f t="shared" si="9"/>
        <v>131.47999999999999</v>
      </c>
      <c r="C13" s="8">
        <f t="shared" si="8"/>
        <v>137.19999999999999</v>
      </c>
      <c r="E13" s="5" t="s">
        <v>47</v>
      </c>
      <c r="F13" s="10">
        <f>1/50 * SUM(G3:G9)</f>
        <v>97.274399999999986</v>
      </c>
      <c r="I13" s="4">
        <v>43</v>
      </c>
      <c r="J13" s="4">
        <v>90</v>
      </c>
      <c r="K13" s="4">
        <v>55</v>
      </c>
    </row>
    <row r="14" spans="1:18" ht="13.5" customHeight="1">
      <c r="A14" s="4">
        <v>11</v>
      </c>
      <c r="B14" s="8">
        <f t="shared" si="9"/>
        <v>137.19999999999999</v>
      </c>
      <c r="C14" s="8">
        <f t="shared" si="8"/>
        <v>142.91999999999999</v>
      </c>
      <c r="I14" s="4">
        <v>9</v>
      </c>
      <c r="J14" s="4">
        <v>92</v>
      </c>
      <c r="K14" s="4">
        <v>30</v>
      </c>
    </row>
    <row r="15" spans="1:18" ht="13.5" customHeight="1">
      <c r="A15" s="4">
        <v>12</v>
      </c>
      <c r="B15" s="8">
        <f t="shared" si="9"/>
        <v>142.91999999999999</v>
      </c>
      <c r="C15" s="8">
        <f t="shared" si="8"/>
        <v>148.63999999999999</v>
      </c>
      <c r="I15" s="4">
        <v>11</v>
      </c>
      <c r="J15" s="4">
        <v>92</v>
      </c>
      <c r="K15" s="4">
        <v>70</v>
      </c>
    </row>
    <row r="16" spans="1:18" ht="13.5" customHeight="1">
      <c r="A16" s="4">
        <v>13</v>
      </c>
      <c r="B16" s="8">
        <f t="shared" si="9"/>
        <v>148.63999999999999</v>
      </c>
      <c r="C16" s="8">
        <f t="shared" si="8"/>
        <v>154.35999999999999</v>
      </c>
      <c r="E16" s="5" t="s">
        <v>48</v>
      </c>
      <c r="F16" s="10">
        <f>1/50 * H10 - F13*F13</f>
        <v>57.898480640000344</v>
      </c>
      <c r="I16" s="4">
        <v>31</v>
      </c>
      <c r="J16" s="4">
        <v>92</v>
      </c>
      <c r="K16" s="4">
        <v>75</v>
      </c>
      <c r="L16" s="3" t="s">
        <v>49</v>
      </c>
      <c r="N16" s="3" t="s">
        <v>50</v>
      </c>
    </row>
    <row r="17" spans="1:12" ht="13.5" customHeight="1">
      <c r="A17" s="4">
        <v>14</v>
      </c>
      <c r="B17" s="8">
        <f t="shared" si="9"/>
        <v>154.35999999999999</v>
      </c>
      <c r="C17" s="8">
        <f t="shared" si="8"/>
        <v>160.07999999999998</v>
      </c>
      <c r="E17" s="5" t="s">
        <v>51</v>
      </c>
      <c r="F17" s="10">
        <f>50/49 * F16</f>
        <v>59.080082285714639</v>
      </c>
      <c r="I17" s="4">
        <v>35</v>
      </c>
      <c r="J17" s="4">
        <v>92</v>
      </c>
      <c r="K17" s="4">
        <v>70</v>
      </c>
    </row>
    <row r="18" spans="1:12" ht="13.5" customHeight="1">
      <c r="A18" s="4">
        <v>15</v>
      </c>
      <c r="B18" s="8">
        <f t="shared" si="9"/>
        <v>160.07999999999998</v>
      </c>
      <c r="C18" s="8">
        <f t="shared" si="8"/>
        <v>165.79999999999998</v>
      </c>
      <c r="E18" s="5" t="s">
        <v>52</v>
      </c>
      <c r="F18" s="11">
        <f t="shared" ref="F18:F19" si="10">SQRT(F16)</f>
        <v>7.609105114269374</v>
      </c>
      <c r="I18" s="4">
        <v>4</v>
      </c>
      <c r="J18" s="4">
        <v>94</v>
      </c>
      <c r="K18" s="4">
        <v>35</v>
      </c>
      <c r="L18" s="3" t="s">
        <v>53</v>
      </c>
    </row>
    <row r="19" spans="1:12" ht="13.5" customHeight="1">
      <c r="A19" s="4">
        <v>16</v>
      </c>
      <c r="B19" s="8">
        <f t="shared" si="9"/>
        <v>165.79999999999998</v>
      </c>
      <c r="C19" s="8">
        <f t="shared" si="8"/>
        <v>171.51999999999998</v>
      </c>
      <c r="E19" s="5" t="s">
        <v>54</v>
      </c>
      <c r="F19" s="11">
        <f t="shared" si="10"/>
        <v>7.686356892944449</v>
      </c>
      <c r="I19" s="4">
        <v>14</v>
      </c>
      <c r="J19" s="4">
        <v>95</v>
      </c>
      <c r="K19" s="4">
        <v>70</v>
      </c>
    </row>
    <row r="20" spans="1:12" ht="13.5" customHeight="1">
      <c r="A20" s="4">
        <v>17</v>
      </c>
      <c r="B20" s="8">
        <f t="shared" si="9"/>
        <v>171.51999999999998</v>
      </c>
      <c r="C20" s="8">
        <f t="shared" si="8"/>
        <v>177.23999999999998</v>
      </c>
      <c r="I20" s="4">
        <v>16</v>
      </c>
      <c r="J20" s="4">
        <v>95</v>
      </c>
      <c r="K20" s="4">
        <v>80</v>
      </c>
      <c r="L20" s="3" t="s">
        <v>55</v>
      </c>
    </row>
    <row r="21" spans="1:12" ht="13.5" customHeight="1">
      <c r="A21" s="4">
        <v>18</v>
      </c>
      <c r="B21" s="8">
        <f t="shared" si="9"/>
        <v>177.23999999999998</v>
      </c>
      <c r="C21" s="8">
        <f t="shared" si="8"/>
        <v>182.95999999999998</v>
      </c>
      <c r="I21" s="4">
        <v>36</v>
      </c>
      <c r="J21" s="4">
        <v>95</v>
      </c>
      <c r="K21" s="4">
        <v>85</v>
      </c>
    </row>
    <row r="22" spans="1:12" ht="13.5" customHeight="1">
      <c r="A22" s="4">
        <v>19</v>
      </c>
      <c r="B22" s="8">
        <f t="shared" si="9"/>
        <v>182.95999999999998</v>
      </c>
      <c r="C22" s="8">
        <f t="shared" si="8"/>
        <v>188.67999999999998</v>
      </c>
      <c r="I22" s="4">
        <v>38</v>
      </c>
      <c r="J22" s="4">
        <v>95</v>
      </c>
      <c r="K22" s="4">
        <v>120</v>
      </c>
      <c r="L22" s="3" t="s">
        <v>56</v>
      </c>
    </row>
    <row r="23" spans="1:12" ht="13.5" customHeight="1">
      <c r="A23" s="4">
        <v>20</v>
      </c>
      <c r="B23" s="8">
        <f t="shared" si="9"/>
        <v>188.67999999999998</v>
      </c>
      <c r="C23" s="8">
        <f t="shared" si="8"/>
        <v>194.39999999999998</v>
      </c>
      <c r="I23" s="4">
        <v>42</v>
      </c>
      <c r="J23" s="4">
        <v>95</v>
      </c>
      <c r="K23" s="4">
        <v>20</v>
      </c>
      <c r="L23" s="3" t="s">
        <v>57</v>
      </c>
    </row>
    <row r="24" spans="1:12" ht="13.5" customHeight="1">
      <c r="A24" s="4">
        <v>21</v>
      </c>
      <c r="B24" s="8">
        <f t="shared" si="9"/>
        <v>194.39999999999998</v>
      </c>
      <c r="C24" s="8">
        <f t="shared" si="8"/>
        <v>200.11999999999998</v>
      </c>
      <c r="I24" s="4">
        <v>48</v>
      </c>
      <c r="J24" s="4">
        <v>95</v>
      </c>
      <c r="K24" s="4">
        <v>50</v>
      </c>
    </row>
    <row r="25" spans="1:12" ht="13.5" customHeight="1">
      <c r="A25" s="4">
        <v>22</v>
      </c>
      <c r="B25" s="8">
        <f t="shared" si="9"/>
        <v>200.11999999999998</v>
      </c>
      <c r="C25" s="8">
        <f t="shared" si="8"/>
        <v>205.83999999999997</v>
      </c>
      <c r="I25" s="4">
        <v>30</v>
      </c>
      <c r="J25" s="4">
        <v>96</v>
      </c>
      <c r="K25" s="4">
        <v>50</v>
      </c>
      <c r="L25" s="3" t="s">
        <v>58</v>
      </c>
    </row>
    <row r="26" spans="1:12" ht="13.5" customHeight="1">
      <c r="A26" s="4">
        <v>23</v>
      </c>
      <c r="B26" s="8">
        <f t="shared" si="9"/>
        <v>205.83999999999997</v>
      </c>
      <c r="C26" s="8">
        <f t="shared" si="8"/>
        <v>211.55999999999997</v>
      </c>
      <c r="I26" s="4">
        <v>19</v>
      </c>
      <c r="J26" s="4">
        <v>97</v>
      </c>
      <c r="K26" s="4">
        <v>60</v>
      </c>
      <c r="L26" s="3" t="s">
        <v>59</v>
      </c>
    </row>
    <row r="27" spans="1:12" ht="13.5" customHeight="1">
      <c r="A27" s="4">
        <v>24</v>
      </c>
      <c r="B27" s="8">
        <f t="shared" si="9"/>
        <v>211.55999999999997</v>
      </c>
      <c r="C27" s="8">
        <f t="shared" si="8"/>
        <v>217.27999999999997</v>
      </c>
      <c r="I27" s="4">
        <v>26</v>
      </c>
      <c r="J27" s="4">
        <v>97</v>
      </c>
      <c r="K27" s="4">
        <v>75</v>
      </c>
    </row>
    <row r="28" spans="1:12" ht="13.5" customHeight="1">
      <c r="A28" s="4">
        <v>25</v>
      </c>
      <c r="B28" s="8">
        <f t="shared" si="9"/>
        <v>217.27999999999997</v>
      </c>
      <c r="C28" s="8">
        <f t="shared" si="8"/>
        <v>222.99999999999997</v>
      </c>
      <c r="I28" s="4">
        <v>40</v>
      </c>
      <c r="J28" s="4">
        <v>97</v>
      </c>
      <c r="K28" s="4">
        <v>50</v>
      </c>
      <c r="L28" s="3" t="s">
        <v>60</v>
      </c>
    </row>
    <row r="29" spans="1:12" ht="13.5" customHeight="1">
      <c r="A29" s="4">
        <v>26</v>
      </c>
      <c r="B29" s="8">
        <f t="shared" si="9"/>
        <v>222.99999999999997</v>
      </c>
      <c r="C29" s="8">
        <f t="shared" si="8"/>
        <v>228.71999999999997</v>
      </c>
      <c r="I29" s="4">
        <v>13</v>
      </c>
      <c r="J29" s="4">
        <v>98</v>
      </c>
      <c r="K29" s="4">
        <v>100</v>
      </c>
      <c r="L29" s="3" t="s">
        <v>61</v>
      </c>
    </row>
    <row r="30" spans="1:12" ht="13.5" customHeight="1">
      <c r="A30" s="4">
        <v>27</v>
      </c>
      <c r="B30" s="8">
        <f t="shared" si="9"/>
        <v>228.71999999999997</v>
      </c>
      <c r="C30" s="8">
        <f t="shared" si="8"/>
        <v>234.43999999999997</v>
      </c>
      <c r="I30" s="4">
        <v>23</v>
      </c>
      <c r="J30" s="4">
        <v>98</v>
      </c>
      <c r="K30" s="4">
        <v>40</v>
      </c>
      <c r="L30" s="3">
        <f>AVERAGE(Прибыль1)</f>
        <v>97.6</v>
      </c>
    </row>
    <row r="31" spans="1:12" ht="13.5" customHeight="1">
      <c r="A31" s="4">
        <v>28</v>
      </c>
      <c r="B31" s="8">
        <f t="shared" si="9"/>
        <v>234.43999999999997</v>
      </c>
      <c r="C31" s="8">
        <f t="shared" si="8"/>
        <v>240.15999999999997</v>
      </c>
      <c r="I31" s="4">
        <v>49</v>
      </c>
      <c r="J31" s="4">
        <v>98</v>
      </c>
      <c r="K31" s="4">
        <v>70</v>
      </c>
      <c r="L31" s="3" t="s">
        <v>62</v>
      </c>
    </row>
    <row r="32" spans="1:12" ht="13.5" customHeight="1">
      <c r="A32" s="4">
        <v>29</v>
      </c>
      <c r="B32" s="8">
        <f t="shared" si="9"/>
        <v>240.15999999999997</v>
      </c>
      <c r="C32" s="8">
        <f t="shared" si="8"/>
        <v>245.87999999999997</v>
      </c>
      <c r="I32" s="4">
        <v>39</v>
      </c>
      <c r="J32" s="4">
        <v>99</v>
      </c>
      <c r="K32" s="4">
        <v>160</v>
      </c>
      <c r="L32" s="3">
        <f>_xlfn.VAR.P(Прибыль1)</f>
        <v>60.999999999999993</v>
      </c>
    </row>
    <row r="33" spans="1:12" ht="13.5" customHeight="1">
      <c r="A33" s="4">
        <v>30</v>
      </c>
      <c r="B33" s="8">
        <f t="shared" si="9"/>
        <v>245.87999999999997</v>
      </c>
      <c r="C33" s="8">
        <f t="shared" si="8"/>
        <v>251.59999999999997</v>
      </c>
      <c r="I33" s="4">
        <v>3</v>
      </c>
      <c r="J33" s="4">
        <v>100</v>
      </c>
      <c r="K33" s="4">
        <v>80</v>
      </c>
      <c r="L33" s="3" t="s">
        <v>63</v>
      </c>
    </row>
    <row r="34" spans="1:12" ht="13.5" customHeight="1">
      <c r="A34" s="4">
        <v>31</v>
      </c>
      <c r="B34" s="8">
        <f t="shared" si="9"/>
        <v>251.59999999999997</v>
      </c>
      <c r="C34" s="8">
        <f t="shared" si="8"/>
        <v>257.32</v>
      </c>
      <c r="I34" s="4">
        <v>7</v>
      </c>
      <c r="J34" s="4">
        <v>100</v>
      </c>
      <c r="K34" s="4">
        <v>40</v>
      </c>
      <c r="L34" s="3">
        <f>_xlfn.VAR.S(Прибыль1)</f>
        <v>62.244897959183668</v>
      </c>
    </row>
    <row r="35" spans="1:12" ht="13.5" customHeight="1">
      <c r="A35" s="4">
        <v>32</v>
      </c>
      <c r="B35" s="8">
        <f t="shared" si="9"/>
        <v>257.32</v>
      </c>
      <c r="C35" s="8">
        <f t="shared" si="8"/>
        <v>263.04000000000002</v>
      </c>
      <c r="I35" s="4">
        <v>22</v>
      </c>
      <c r="J35" s="4">
        <v>100</v>
      </c>
      <c r="K35" s="4">
        <v>90</v>
      </c>
      <c r="L35" s="3" t="s">
        <v>64</v>
      </c>
    </row>
    <row r="36" spans="1:12" ht="13.5" customHeight="1">
      <c r="A36" s="4">
        <v>33</v>
      </c>
      <c r="B36" s="8">
        <f t="shared" si="9"/>
        <v>263.04000000000002</v>
      </c>
      <c r="C36" s="8">
        <f t="shared" si="8"/>
        <v>268.76000000000005</v>
      </c>
      <c r="I36" s="4">
        <v>12</v>
      </c>
      <c r="J36" s="4">
        <v>101</v>
      </c>
      <c r="K36" s="4">
        <v>120</v>
      </c>
      <c r="L36" s="3">
        <f>_xlfn.STDEV.P(Прибыль1)</f>
        <v>7.810249675906654</v>
      </c>
    </row>
    <row r="37" spans="1:12" ht="13.5" customHeight="1">
      <c r="A37" s="4">
        <v>34</v>
      </c>
      <c r="B37" s="8">
        <f t="shared" si="9"/>
        <v>268.76000000000005</v>
      </c>
      <c r="C37" s="8">
        <f t="shared" si="8"/>
        <v>274.48000000000008</v>
      </c>
      <c r="I37" s="4">
        <v>44</v>
      </c>
      <c r="J37" s="4">
        <v>101</v>
      </c>
      <c r="K37" s="4">
        <v>70</v>
      </c>
      <c r="L37" s="3" t="s">
        <v>65</v>
      </c>
    </row>
    <row r="38" spans="1:12" ht="13.5" customHeight="1">
      <c r="A38" s="4">
        <v>35</v>
      </c>
      <c r="B38" s="8">
        <f t="shared" si="9"/>
        <v>274.48000000000008</v>
      </c>
      <c r="C38" s="8">
        <f t="shared" si="8"/>
        <v>280.2000000000001</v>
      </c>
      <c r="I38" s="4">
        <v>47</v>
      </c>
      <c r="J38" s="4">
        <v>101</v>
      </c>
      <c r="K38" s="4">
        <v>60</v>
      </c>
      <c r="L38" s="3">
        <f>_xlfn.STDEV.S(Прибыль1)</f>
        <v>7.8895435837051862</v>
      </c>
    </row>
    <row r="39" spans="1:12" ht="13.5" customHeight="1">
      <c r="A39" s="4">
        <v>36</v>
      </c>
      <c r="B39" s="8">
        <f t="shared" si="9"/>
        <v>280.2000000000001</v>
      </c>
      <c r="C39" s="8">
        <f t="shared" si="8"/>
        <v>285.92000000000013</v>
      </c>
      <c r="I39" s="4">
        <v>28</v>
      </c>
      <c r="J39" s="4">
        <v>102</v>
      </c>
      <c r="K39" s="4">
        <v>100</v>
      </c>
      <c r="L39" s="3" t="s">
        <v>66</v>
      </c>
    </row>
    <row r="40" spans="1:12" ht="13.5" customHeight="1">
      <c r="A40" s="4">
        <v>37</v>
      </c>
      <c r="B40" s="8">
        <f t="shared" si="9"/>
        <v>285.92000000000013</v>
      </c>
      <c r="C40" s="8">
        <f t="shared" si="8"/>
        <v>291.64000000000016</v>
      </c>
      <c r="I40" s="4">
        <v>32</v>
      </c>
      <c r="J40" s="4">
        <v>102</v>
      </c>
      <c r="K40" s="4">
        <v>25</v>
      </c>
      <c r="L40" s="3">
        <f>MEDIAN(Прибыль1)</f>
        <v>97</v>
      </c>
    </row>
    <row r="41" spans="1:12" ht="13.5" customHeight="1">
      <c r="A41" s="4">
        <v>38</v>
      </c>
      <c r="B41" s="8">
        <f t="shared" si="9"/>
        <v>291.64000000000016</v>
      </c>
      <c r="C41" s="8">
        <f t="shared" si="8"/>
        <v>297.36000000000018</v>
      </c>
      <c r="I41" s="4">
        <v>41</v>
      </c>
      <c r="J41" s="4">
        <v>102</v>
      </c>
      <c r="K41" s="4">
        <v>80</v>
      </c>
    </row>
    <row r="42" spans="1:12" ht="13.5" customHeight="1">
      <c r="A42" s="4">
        <v>39</v>
      </c>
      <c r="B42" s="8">
        <f t="shared" si="9"/>
        <v>297.36000000000018</v>
      </c>
      <c r="C42" s="8">
        <f t="shared" si="8"/>
        <v>303.08000000000021</v>
      </c>
      <c r="I42" s="4">
        <v>45</v>
      </c>
      <c r="J42" s="4">
        <v>104</v>
      </c>
      <c r="K42" s="4">
        <v>80</v>
      </c>
    </row>
    <row r="43" spans="1:12" ht="13.5" customHeight="1">
      <c r="A43" s="4">
        <v>40</v>
      </c>
      <c r="B43" s="8">
        <f t="shared" si="9"/>
        <v>303.08000000000021</v>
      </c>
      <c r="C43" s="8">
        <f t="shared" si="8"/>
        <v>308.80000000000024</v>
      </c>
      <c r="I43" s="4">
        <v>2</v>
      </c>
      <c r="J43" s="4">
        <v>105</v>
      </c>
      <c r="K43" s="4">
        <v>50</v>
      </c>
    </row>
    <row r="44" spans="1:12" ht="13.5" customHeight="1">
      <c r="A44" s="4">
        <v>41</v>
      </c>
      <c r="B44" s="8">
        <f t="shared" si="9"/>
        <v>308.80000000000024</v>
      </c>
      <c r="C44" s="8">
        <f t="shared" si="8"/>
        <v>314.52000000000027</v>
      </c>
      <c r="I44" s="4">
        <v>6</v>
      </c>
      <c r="J44" s="4">
        <v>108</v>
      </c>
      <c r="K44" s="4">
        <v>40</v>
      </c>
    </row>
    <row r="45" spans="1:12" ht="13.5" customHeight="1">
      <c r="A45" s="4">
        <v>42</v>
      </c>
      <c r="B45" s="8">
        <f t="shared" si="9"/>
        <v>314.52000000000027</v>
      </c>
      <c r="C45" s="8">
        <f t="shared" si="8"/>
        <v>320.24000000000029</v>
      </c>
      <c r="I45" s="4">
        <v>27</v>
      </c>
      <c r="J45" s="4">
        <v>108</v>
      </c>
      <c r="K45" s="4">
        <v>175</v>
      </c>
    </row>
    <row r="46" spans="1:12" ht="13.5" customHeight="1">
      <c r="A46" s="4">
        <v>43</v>
      </c>
      <c r="B46" s="8">
        <f t="shared" si="9"/>
        <v>320.24000000000029</v>
      </c>
      <c r="C46" s="8">
        <f t="shared" si="8"/>
        <v>325.96000000000032</v>
      </c>
      <c r="I46" s="4">
        <v>37</v>
      </c>
      <c r="J46" s="4">
        <v>108</v>
      </c>
      <c r="K46" s="4">
        <v>170</v>
      </c>
    </row>
    <row r="47" spans="1:12" ht="13.5" customHeight="1">
      <c r="A47" s="4">
        <v>44</v>
      </c>
      <c r="B47" s="8">
        <f t="shared" si="9"/>
        <v>325.96000000000032</v>
      </c>
      <c r="C47" s="8">
        <f t="shared" si="8"/>
        <v>331.68000000000035</v>
      </c>
      <c r="I47" s="4">
        <v>50</v>
      </c>
      <c r="J47" s="4">
        <v>108</v>
      </c>
      <c r="K47" s="4">
        <v>160</v>
      </c>
    </row>
    <row r="48" spans="1:12" ht="13.5" customHeight="1">
      <c r="A48" s="4">
        <v>45</v>
      </c>
      <c r="B48" s="8">
        <f t="shared" si="9"/>
        <v>331.68000000000035</v>
      </c>
      <c r="C48" s="8">
        <f t="shared" si="8"/>
        <v>337.40000000000038</v>
      </c>
      <c r="I48" s="4">
        <v>17</v>
      </c>
      <c r="J48" s="4">
        <v>109</v>
      </c>
      <c r="K48" s="4">
        <v>150</v>
      </c>
    </row>
    <row r="49" spans="1:11" ht="13.5" customHeight="1">
      <c r="A49" s="4">
        <v>46</v>
      </c>
      <c r="B49" s="8">
        <f t="shared" si="9"/>
        <v>337.40000000000038</v>
      </c>
      <c r="C49" s="8">
        <f t="shared" si="8"/>
        <v>343.1200000000004</v>
      </c>
      <c r="I49" s="4">
        <v>5</v>
      </c>
      <c r="J49" s="4">
        <v>112</v>
      </c>
      <c r="K49" s="4">
        <v>115</v>
      </c>
    </row>
    <row r="50" spans="1:11" ht="13.5" customHeight="1">
      <c r="A50" s="4">
        <v>47</v>
      </c>
      <c r="B50" s="8">
        <f t="shared" si="9"/>
        <v>343.1200000000004</v>
      </c>
      <c r="C50" s="8">
        <f t="shared" si="8"/>
        <v>348.84000000000043</v>
      </c>
      <c r="I50" s="4">
        <v>33</v>
      </c>
      <c r="J50" s="4">
        <v>115</v>
      </c>
      <c r="K50" s="4">
        <v>95</v>
      </c>
    </row>
    <row r="51" spans="1:11" ht="13.5" customHeight="1">
      <c r="A51" s="4">
        <v>48</v>
      </c>
      <c r="B51" s="8">
        <f t="shared" si="9"/>
        <v>348.84000000000043</v>
      </c>
      <c r="C51" s="8">
        <f t="shared" si="8"/>
        <v>354.56000000000046</v>
      </c>
      <c r="I51" s="4">
        <v>46</v>
      </c>
      <c r="J51" s="4">
        <v>120</v>
      </c>
      <c r="K51" s="4">
        <v>100</v>
      </c>
    </row>
    <row r="52" spans="1:11" ht="13.5" customHeight="1">
      <c r="A52" s="4">
        <v>49</v>
      </c>
      <c r="B52" s="8">
        <f t="shared" si="9"/>
        <v>354.56000000000046</v>
      </c>
      <c r="C52" s="8">
        <f t="shared" si="8"/>
        <v>360.28000000000048</v>
      </c>
      <c r="I52" s="4"/>
      <c r="J52" s="4"/>
      <c r="K52" s="4"/>
    </row>
    <row r="53" spans="1:11" ht="13.5" customHeight="1">
      <c r="A53" s="4">
        <v>50</v>
      </c>
      <c r="B53" s="8">
        <f t="shared" si="9"/>
        <v>360.28000000000048</v>
      </c>
      <c r="C53" s="8">
        <f t="shared" si="8"/>
        <v>366.00000000000051</v>
      </c>
      <c r="I53" s="4"/>
      <c r="J53" s="4"/>
      <c r="K53" s="4"/>
    </row>
    <row r="54" spans="1:11" ht="13.5" customHeight="1">
      <c r="A54" s="4">
        <v>47</v>
      </c>
      <c r="B54" s="8">
        <f t="shared" si="9"/>
        <v>366.00000000000051</v>
      </c>
      <c r="C54" s="8">
        <f t="shared" si="8"/>
        <v>371.72000000000054</v>
      </c>
      <c r="I54" s="4"/>
      <c r="J54" s="4"/>
      <c r="K54" s="4"/>
    </row>
    <row r="55" spans="1:11" ht="13.5" customHeight="1">
      <c r="A55" s="4">
        <v>48</v>
      </c>
      <c r="B55" s="8">
        <f t="shared" si="9"/>
        <v>371.72000000000054</v>
      </c>
      <c r="C55" s="8">
        <f t="shared" si="8"/>
        <v>377.44000000000057</v>
      </c>
      <c r="I55" s="4"/>
      <c r="J55" s="4"/>
      <c r="K55" s="4"/>
    </row>
    <row r="56" spans="1:11" ht="13.5" customHeight="1">
      <c r="A56" s="4">
        <v>49</v>
      </c>
      <c r="B56" s="8">
        <f t="shared" si="9"/>
        <v>377.44000000000057</v>
      </c>
      <c r="C56" s="8">
        <f t="shared" si="8"/>
        <v>383.16000000000059</v>
      </c>
    </row>
    <row r="57" spans="1:11" ht="13.5" customHeight="1">
      <c r="A57" s="4">
        <v>50</v>
      </c>
      <c r="B57" s="8">
        <f t="shared" si="9"/>
        <v>383.16000000000059</v>
      </c>
      <c r="C57" s="8">
        <f t="shared" si="8"/>
        <v>388.88000000000062</v>
      </c>
    </row>
    <row r="58" spans="1:11" ht="13.5" customHeight="1"/>
    <row r="59" spans="1:11" ht="13.5" customHeight="1"/>
    <row r="60" spans="1:11" ht="13.5" customHeight="1"/>
    <row r="61" spans="1:11" ht="13.5" customHeight="1"/>
    <row r="62" spans="1:11" ht="13.5" customHeight="1"/>
    <row r="63" spans="1:11" ht="13.5" customHeight="1"/>
    <row r="64" spans="1:11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B1:C1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0"/>
  <sheetViews>
    <sheetView workbookViewId="0">
      <selection activeCell="Q7" sqref="Q7"/>
    </sheetView>
  </sheetViews>
  <sheetFormatPr defaultColWidth="14.44140625" defaultRowHeight="15" customHeight="1"/>
  <cols>
    <col min="1" max="16" width="8.6640625" customWidth="1"/>
    <col min="17" max="17" width="8.88671875" customWidth="1"/>
    <col min="18" max="18" width="13.5546875" customWidth="1"/>
    <col min="19" max="26" width="8.6640625" customWidth="1"/>
  </cols>
  <sheetData>
    <row r="1" spans="1:19" ht="13.5" customHeight="1">
      <c r="A1" s="4">
        <v>1</v>
      </c>
      <c r="B1" s="4">
        <v>80</v>
      </c>
      <c r="C1" s="4">
        <v>20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Q1" s="5" t="s">
        <v>67</v>
      </c>
      <c r="R1" s="11">
        <v>7</v>
      </c>
    </row>
    <row r="2" spans="1:19" ht="13.5" customHeight="1">
      <c r="A2" s="4">
        <v>42</v>
      </c>
      <c r="B2" s="4">
        <v>95</v>
      </c>
      <c r="C2" s="4">
        <v>20</v>
      </c>
      <c r="D2" s="12">
        <v>1</v>
      </c>
      <c r="E2" s="3">
        <f>C1</f>
        <v>20</v>
      </c>
      <c r="F2" s="13">
        <f t="shared" ref="F2:F8" si="0">E2+$R$2</f>
        <v>42.150000000000006</v>
      </c>
      <c r="G2" s="3">
        <f t="shared" ref="G2:G8" si="1">COUNTIFS(Цена,"&gt;="&amp;E2,Цена,"&lt;"&amp;F2)</f>
        <v>11</v>
      </c>
      <c r="H2" s="3">
        <f t="shared" ref="H2:H8" si="2">G2/$R$3</f>
        <v>0.22</v>
      </c>
      <c r="I2" s="3">
        <f t="shared" ref="I2:I8" si="3">(E2+F2)/2</f>
        <v>31.075000000000003</v>
      </c>
      <c r="J2" s="3">
        <f t="shared" ref="J2:J8" si="4">I2*G2</f>
        <v>341.82500000000005</v>
      </c>
      <c r="K2" s="3">
        <f t="shared" ref="K2:K8" si="5">J2*I2</f>
        <v>10622.211875000003</v>
      </c>
      <c r="Q2" s="5" t="s">
        <v>19</v>
      </c>
      <c r="R2" s="14">
        <f>ROUNDUP((C50-C1)/R1, 2)</f>
        <v>22.150000000000002</v>
      </c>
    </row>
    <row r="3" spans="1:19" ht="13.5" customHeight="1">
      <c r="A3" s="4">
        <v>24</v>
      </c>
      <c r="B3" s="4">
        <v>89</v>
      </c>
      <c r="C3" s="4">
        <v>25</v>
      </c>
      <c r="D3" s="12">
        <v>2</v>
      </c>
      <c r="E3" s="13">
        <f t="shared" ref="E3:E8" si="6">F2</f>
        <v>42.150000000000006</v>
      </c>
      <c r="F3" s="13">
        <f t="shared" si="0"/>
        <v>64.300000000000011</v>
      </c>
      <c r="G3" s="3">
        <f t="shared" si="1"/>
        <v>12</v>
      </c>
      <c r="H3" s="3">
        <f t="shared" si="2"/>
        <v>0.24</v>
      </c>
      <c r="I3" s="3">
        <f t="shared" si="3"/>
        <v>53.225000000000009</v>
      </c>
      <c r="J3" s="3">
        <f t="shared" si="4"/>
        <v>638.70000000000005</v>
      </c>
      <c r="K3" s="3">
        <f t="shared" si="5"/>
        <v>33994.80750000001</v>
      </c>
      <c r="Q3" s="5" t="s">
        <v>68</v>
      </c>
      <c r="R3" s="11">
        <v>50</v>
      </c>
    </row>
    <row r="4" spans="1:19" ht="13.5" customHeight="1">
      <c r="A4" s="4">
        <v>32</v>
      </c>
      <c r="B4" s="4">
        <v>102</v>
      </c>
      <c r="C4" s="4">
        <v>25</v>
      </c>
      <c r="D4" s="12">
        <v>2</v>
      </c>
      <c r="E4" s="13">
        <f t="shared" si="6"/>
        <v>64.300000000000011</v>
      </c>
      <c r="F4" s="13">
        <f t="shared" si="0"/>
        <v>86.450000000000017</v>
      </c>
      <c r="G4" s="3">
        <f t="shared" si="1"/>
        <v>14</v>
      </c>
      <c r="H4" s="3">
        <f t="shared" si="2"/>
        <v>0.28000000000000003</v>
      </c>
      <c r="I4" s="3">
        <f t="shared" si="3"/>
        <v>75.375000000000014</v>
      </c>
      <c r="J4" s="3">
        <f t="shared" si="4"/>
        <v>1055.2500000000002</v>
      </c>
      <c r="K4" s="3">
        <f t="shared" si="5"/>
        <v>79539.468750000029</v>
      </c>
      <c r="Q4" s="5" t="s">
        <v>47</v>
      </c>
      <c r="R4" s="11">
        <f>J10/R3</f>
        <v>73.603000000000023</v>
      </c>
      <c r="S4" s="3">
        <f>AVERAGE(Цена)</f>
        <v>74.099999999999994</v>
      </c>
    </row>
    <row r="5" spans="1:19" ht="13.5" customHeight="1">
      <c r="A5" s="4">
        <v>9</v>
      </c>
      <c r="B5" s="4">
        <v>92</v>
      </c>
      <c r="C5" s="4">
        <v>30</v>
      </c>
      <c r="D5" s="15">
        <v>3</v>
      </c>
      <c r="E5" s="13">
        <f t="shared" si="6"/>
        <v>86.450000000000017</v>
      </c>
      <c r="F5" s="13">
        <f t="shared" si="0"/>
        <v>108.60000000000002</v>
      </c>
      <c r="G5" s="3">
        <f t="shared" si="1"/>
        <v>5</v>
      </c>
      <c r="H5" s="3">
        <f t="shared" si="2"/>
        <v>0.1</v>
      </c>
      <c r="I5" s="3">
        <f t="shared" si="3"/>
        <v>97.52500000000002</v>
      </c>
      <c r="J5" s="3">
        <f t="shared" si="4"/>
        <v>487.62500000000011</v>
      </c>
      <c r="K5" s="3">
        <f t="shared" si="5"/>
        <v>47555.628125000017</v>
      </c>
      <c r="Q5" s="5" t="s">
        <v>48</v>
      </c>
      <c r="R5" s="11">
        <f>K10/R3-R4*R4</f>
        <v>1429.4777159999994</v>
      </c>
      <c r="S5" s="3">
        <f>_xlfn.VAR.P(Цена)</f>
        <v>1491.69</v>
      </c>
    </row>
    <row r="6" spans="1:19" ht="13.5" customHeight="1">
      <c r="A6" s="4">
        <v>4</v>
      </c>
      <c r="B6" s="4">
        <v>94</v>
      </c>
      <c r="C6" s="4">
        <v>35</v>
      </c>
      <c r="D6" s="15">
        <v>4</v>
      </c>
      <c r="E6" s="13">
        <f t="shared" si="6"/>
        <v>108.60000000000002</v>
      </c>
      <c r="F6" s="13">
        <f t="shared" si="0"/>
        <v>130.75000000000003</v>
      </c>
      <c r="G6" s="3">
        <f t="shared" si="1"/>
        <v>3</v>
      </c>
      <c r="H6" s="3">
        <f t="shared" si="2"/>
        <v>0.06</v>
      </c>
      <c r="I6" s="3">
        <f t="shared" si="3"/>
        <v>119.67500000000003</v>
      </c>
      <c r="J6" s="3">
        <f t="shared" si="4"/>
        <v>359.02500000000009</v>
      </c>
      <c r="K6" s="3">
        <f t="shared" si="5"/>
        <v>42966.316875000019</v>
      </c>
      <c r="Q6" s="5" t="s">
        <v>69</v>
      </c>
      <c r="R6" s="11"/>
      <c r="S6" s="3">
        <f>_xlfn.VAR.S(Цена)</f>
        <v>1522.1326530612246</v>
      </c>
    </row>
    <row r="7" spans="1:19" ht="13.5" customHeight="1">
      <c r="A7" s="4">
        <v>10</v>
      </c>
      <c r="B7" s="4">
        <v>90</v>
      </c>
      <c r="C7" s="4">
        <v>35</v>
      </c>
      <c r="D7" s="15">
        <v>5</v>
      </c>
      <c r="E7" s="13">
        <f t="shared" si="6"/>
        <v>130.75000000000003</v>
      </c>
      <c r="F7" s="13">
        <f t="shared" si="0"/>
        <v>152.90000000000003</v>
      </c>
      <c r="G7" s="3">
        <f t="shared" si="1"/>
        <v>1</v>
      </c>
      <c r="H7" s="3">
        <f t="shared" si="2"/>
        <v>0.02</v>
      </c>
      <c r="I7" s="3">
        <f t="shared" si="3"/>
        <v>141.82500000000005</v>
      </c>
      <c r="J7" s="3">
        <f t="shared" si="4"/>
        <v>141.82500000000005</v>
      </c>
      <c r="K7" s="3">
        <f t="shared" si="5"/>
        <v>20114.330625000013</v>
      </c>
      <c r="Q7" s="5" t="s">
        <v>70</v>
      </c>
      <c r="R7" s="11"/>
      <c r="S7" s="3">
        <f>_xlfn.STDEV.P(Цена)</f>
        <v>38.622402825303347</v>
      </c>
    </row>
    <row r="8" spans="1:19" ht="13.5" customHeight="1">
      <c r="A8" s="4">
        <v>6</v>
      </c>
      <c r="B8" s="4">
        <v>108</v>
      </c>
      <c r="C8" s="4">
        <v>40</v>
      </c>
      <c r="D8" s="15">
        <v>6</v>
      </c>
      <c r="E8" s="13">
        <f t="shared" si="6"/>
        <v>152.90000000000003</v>
      </c>
      <c r="F8" s="13">
        <f t="shared" si="0"/>
        <v>175.05000000000004</v>
      </c>
      <c r="G8" s="3">
        <f t="shared" si="1"/>
        <v>4</v>
      </c>
      <c r="H8" s="3">
        <f t="shared" si="2"/>
        <v>0.08</v>
      </c>
      <c r="I8" s="3">
        <f t="shared" si="3"/>
        <v>163.97500000000002</v>
      </c>
      <c r="J8" s="3">
        <f t="shared" si="4"/>
        <v>655.90000000000009</v>
      </c>
      <c r="K8" s="3">
        <f t="shared" si="5"/>
        <v>107551.20250000003</v>
      </c>
      <c r="Q8" s="5" t="s">
        <v>71</v>
      </c>
      <c r="R8" s="11"/>
      <c r="S8" s="3">
        <f>_xlfn.STDEV.S(Цена)</f>
        <v>39.014518490700674</v>
      </c>
    </row>
    <row r="9" spans="1:19" ht="13.5" customHeight="1">
      <c r="A9" s="4">
        <v>7</v>
      </c>
      <c r="B9" s="4">
        <v>100</v>
      </c>
      <c r="C9" s="4">
        <v>40</v>
      </c>
      <c r="D9" s="15"/>
      <c r="Q9" s="5" t="s">
        <v>72</v>
      </c>
      <c r="R9" s="11"/>
      <c r="S9" s="3">
        <f>MEDIAN(Цена)</f>
        <v>70</v>
      </c>
    </row>
    <row r="10" spans="1:19" ht="13.5" customHeight="1">
      <c r="A10" s="4">
        <v>23</v>
      </c>
      <c r="B10" s="4">
        <v>98</v>
      </c>
      <c r="C10" s="4">
        <v>40</v>
      </c>
      <c r="J10" s="16">
        <f t="shared" ref="J10:K10" si="7">SUM(J2:J8)</f>
        <v>3680.150000000001</v>
      </c>
      <c r="K10" s="16">
        <f t="shared" si="7"/>
        <v>342343.96625000011</v>
      </c>
      <c r="Q10" s="5"/>
      <c r="R10" s="11"/>
    </row>
    <row r="11" spans="1:19" ht="13.5" customHeight="1">
      <c r="A11" s="4">
        <v>29</v>
      </c>
      <c r="B11" s="4">
        <v>88</v>
      </c>
      <c r="C11" s="4">
        <v>40</v>
      </c>
      <c r="Q11" s="5"/>
      <c r="R11" s="11"/>
    </row>
    <row r="12" spans="1:19" ht="13.5" customHeight="1">
      <c r="A12" s="4">
        <v>2</v>
      </c>
      <c r="B12" s="4">
        <v>105</v>
      </c>
      <c r="C12" s="4">
        <v>50</v>
      </c>
      <c r="D12" s="3" t="s">
        <v>73</v>
      </c>
      <c r="Q12" s="5"/>
      <c r="R12" s="11"/>
    </row>
    <row r="13" spans="1:19" ht="13.5" customHeight="1">
      <c r="A13" s="4">
        <v>8</v>
      </c>
      <c r="B13" s="4">
        <v>88</v>
      </c>
      <c r="C13" s="4">
        <v>50</v>
      </c>
      <c r="D13" s="3" t="s">
        <v>74</v>
      </c>
      <c r="Q13" s="5"/>
      <c r="R13" s="11"/>
    </row>
    <row r="14" spans="1:19" ht="13.5" customHeight="1">
      <c r="A14" s="4">
        <v>18</v>
      </c>
      <c r="B14" s="4">
        <v>90</v>
      </c>
      <c r="C14" s="4">
        <v>50</v>
      </c>
      <c r="D14" s="3" t="s">
        <v>75</v>
      </c>
      <c r="Q14" s="5"/>
      <c r="R14" s="11"/>
    </row>
    <row r="15" spans="1:19" ht="13.5" customHeight="1">
      <c r="A15" s="4">
        <v>20</v>
      </c>
      <c r="B15" s="4">
        <v>90</v>
      </c>
      <c r="C15" s="4">
        <v>50</v>
      </c>
      <c r="Q15" s="5"/>
      <c r="R15" s="11"/>
    </row>
    <row r="16" spans="1:19" ht="13.5" customHeight="1">
      <c r="A16" s="4">
        <v>30</v>
      </c>
      <c r="B16" s="4">
        <v>96</v>
      </c>
      <c r="C16" s="4">
        <v>50</v>
      </c>
      <c r="Q16" s="5"/>
      <c r="R16" s="11"/>
    </row>
    <row r="17" spans="1:18" ht="13.5" customHeight="1">
      <c r="A17" s="4">
        <v>40</v>
      </c>
      <c r="B17" s="4">
        <v>97</v>
      </c>
      <c r="C17" s="4">
        <v>50</v>
      </c>
      <c r="Q17" s="5"/>
      <c r="R17" s="11"/>
    </row>
    <row r="18" spans="1:18" ht="13.5" customHeight="1">
      <c r="A18" s="4">
        <v>48</v>
      </c>
      <c r="B18" s="4">
        <v>95</v>
      </c>
      <c r="C18" s="4">
        <v>50</v>
      </c>
      <c r="Q18" s="5"/>
      <c r="R18" s="11"/>
    </row>
    <row r="19" spans="1:18" ht="13.5" customHeight="1">
      <c r="A19" s="4">
        <v>43</v>
      </c>
      <c r="B19" s="4">
        <v>90</v>
      </c>
      <c r="C19" s="4">
        <v>55</v>
      </c>
      <c r="Q19" s="5"/>
      <c r="R19" s="11"/>
    </row>
    <row r="20" spans="1:18" ht="13.5" customHeight="1">
      <c r="A20" s="4">
        <v>19</v>
      </c>
      <c r="B20" s="4">
        <v>97</v>
      </c>
      <c r="C20" s="4">
        <v>60</v>
      </c>
      <c r="Q20" s="5"/>
      <c r="R20" s="11"/>
    </row>
    <row r="21" spans="1:18" ht="13.5" customHeight="1">
      <c r="A21" s="4">
        <v>21</v>
      </c>
      <c r="B21" s="4">
        <v>87</v>
      </c>
      <c r="C21" s="4">
        <v>60</v>
      </c>
      <c r="Q21" s="5"/>
      <c r="R21" s="11"/>
    </row>
    <row r="22" spans="1:18" ht="13.5" customHeight="1">
      <c r="A22" s="4">
        <v>34</v>
      </c>
      <c r="B22" s="4">
        <v>90</v>
      </c>
      <c r="C22" s="4">
        <v>60</v>
      </c>
      <c r="Q22" s="5"/>
      <c r="R22" s="11"/>
    </row>
    <row r="23" spans="1:18" ht="13.5" customHeight="1">
      <c r="A23" s="4">
        <v>47</v>
      </c>
      <c r="B23" s="4">
        <v>101</v>
      </c>
      <c r="C23" s="4">
        <v>60</v>
      </c>
      <c r="Q23" s="5"/>
      <c r="R23" s="11"/>
    </row>
    <row r="24" spans="1:18" ht="13.5" customHeight="1">
      <c r="A24" s="4">
        <v>15</v>
      </c>
      <c r="B24" s="4">
        <v>90</v>
      </c>
      <c r="C24" s="4">
        <v>65</v>
      </c>
      <c r="Q24" s="5"/>
      <c r="R24" s="11"/>
    </row>
    <row r="25" spans="1:18" ht="13.5" customHeight="1">
      <c r="A25" s="4">
        <v>11</v>
      </c>
      <c r="B25" s="4">
        <v>92</v>
      </c>
      <c r="C25" s="4">
        <v>70</v>
      </c>
      <c r="Q25" s="5"/>
      <c r="R25" s="11"/>
    </row>
    <row r="26" spans="1:18" ht="13.5" customHeight="1">
      <c r="A26" s="4">
        <v>14</v>
      </c>
      <c r="B26" s="4">
        <v>95</v>
      </c>
      <c r="C26" s="4">
        <v>70</v>
      </c>
      <c r="Q26" s="5"/>
      <c r="R26" s="11"/>
    </row>
    <row r="27" spans="1:18" ht="13.5" customHeight="1">
      <c r="A27" s="4">
        <v>35</v>
      </c>
      <c r="B27" s="4">
        <v>92</v>
      </c>
      <c r="C27" s="4">
        <v>70</v>
      </c>
      <c r="Q27" s="5"/>
      <c r="R27" s="11"/>
    </row>
    <row r="28" spans="1:18" ht="13.5" customHeight="1">
      <c r="A28" s="4">
        <v>44</v>
      </c>
      <c r="B28" s="4">
        <v>101</v>
      </c>
      <c r="C28" s="4">
        <v>70</v>
      </c>
      <c r="Q28" s="5"/>
      <c r="R28" s="11"/>
    </row>
    <row r="29" spans="1:18" ht="13.5" customHeight="1">
      <c r="A29" s="4">
        <v>49</v>
      </c>
      <c r="B29" s="4">
        <v>98</v>
      </c>
      <c r="C29" s="4">
        <v>70</v>
      </c>
      <c r="Q29" s="5"/>
      <c r="R29" s="11"/>
    </row>
    <row r="30" spans="1:18" ht="13.5" customHeight="1">
      <c r="A30" s="4">
        <v>26</v>
      </c>
      <c r="B30" s="4">
        <v>97</v>
      </c>
      <c r="C30" s="4">
        <v>75</v>
      </c>
      <c r="Q30" s="5"/>
      <c r="R30" s="11"/>
    </row>
    <row r="31" spans="1:18" ht="13.5" customHeight="1">
      <c r="A31" s="4">
        <v>31</v>
      </c>
      <c r="B31" s="4">
        <v>92</v>
      </c>
      <c r="C31" s="4">
        <v>75</v>
      </c>
      <c r="Q31" s="5"/>
      <c r="R31" s="11"/>
    </row>
    <row r="32" spans="1:18" ht="13.5" customHeight="1">
      <c r="A32" s="4">
        <v>3</v>
      </c>
      <c r="B32" s="4">
        <v>100</v>
      </c>
      <c r="C32" s="4">
        <v>80</v>
      </c>
      <c r="Q32" s="5"/>
      <c r="R32" s="11"/>
    </row>
    <row r="33" spans="1:18" ht="13.5" customHeight="1">
      <c r="A33" s="4">
        <v>16</v>
      </c>
      <c r="B33" s="4">
        <v>95</v>
      </c>
      <c r="C33" s="4">
        <v>80</v>
      </c>
      <c r="Q33" s="5"/>
      <c r="R33" s="11"/>
    </row>
    <row r="34" spans="1:18" ht="13.5" customHeight="1">
      <c r="A34" s="4">
        <v>41</v>
      </c>
      <c r="B34" s="4">
        <v>102</v>
      </c>
      <c r="C34" s="4">
        <v>80</v>
      </c>
      <c r="Q34" s="5"/>
      <c r="R34" s="11"/>
    </row>
    <row r="35" spans="1:18" ht="13.5" customHeight="1">
      <c r="A35" s="4">
        <v>45</v>
      </c>
      <c r="B35" s="4">
        <v>104</v>
      </c>
      <c r="C35" s="4">
        <v>80</v>
      </c>
      <c r="Q35" s="5"/>
      <c r="R35" s="11"/>
    </row>
    <row r="36" spans="1:18" ht="13.5" customHeight="1">
      <c r="A36" s="4">
        <v>25</v>
      </c>
      <c r="B36" s="4">
        <v>90</v>
      </c>
      <c r="C36" s="4">
        <v>85</v>
      </c>
      <c r="Q36" s="5"/>
      <c r="R36" s="11"/>
    </row>
    <row r="37" spans="1:18" ht="13.5" customHeight="1">
      <c r="A37" s="4">
        <v>36</v>
      </c>
      <c r="B37" s="4">
        <v>95</v>
      </c>
      <c r="C37" s="4">
        <v>85</v>
      </c>
      <c r="Q37" s="5"/>
      <c r="R37" s="11"/>
    </row>
    <row r="38" spans="1:18" ht="13.5" customHeight="1">
      <c r="A38" s="4">
        <v>22</v>
      </c>
      <c r="B38" s="4">
        <v>100</v>
      </c>
      <c r="C38" s="4">
        <v>90</v>
      </c>
      <c r="Q38" s="5"/>
      <c r="R38" s="11"/>
    </row>
    <row r="39" spans="1:18" ht="13.5" customHeight="1">
      <c r="A39" s="4">
        <v>33</v>
      </c>
      <c r="B39" s="4">
        <v>115</v>
      </c>
      <c r="C39" s="4">
        <v>95</v>
      </c>
      <c r="Q39" s="5"/>
      <c r="R39" s="11"/>
    </row>
    <row r="40" spans="1:18" ht="13.5" customHeight="1">
      <c r="A40" s="4">
        <v>13</v>
      </c>
      <c r="B40" s="4">
        <v>98</v>
      </c>
      <c r="C40" s="4">
        <v>100</v>
      </c>
      <c r="Q40" s="5"/>
      <c r="R40" s="11"/>
    </row>
    <row r="41" spans="1:18" ht="13.5" customHeight="1">
      <c r="A41" s="4">
        <v>28</v>
      </c>
      <c r="B41" s="4">
        <v>102</v>
      </c>
      <c r="C41" s="4">
        <v>100</v>
      </c>
      <c r="Q41" s="5"/>
      <c r="R41" s="11"/>
    </row>
    <row r="42" spans="1:18" ht="13.5" customHeight="1">
      <c r="A42" s="4">
        <v>46</v>
      </c>
      <c r="B42" s="4">
        <v>120</v>
      </c>
      <c r="C42" s="4">
        <v>100</v>
      </c>
      <c r="Q42" s="5"/>
      <c r="R42" s="11"/>
    </row>
    <row r="43" spans="1:18" ht="13.5" customHeight="1">
      <c r="A43" s="4">
        <v>5</v>
      </c>
      <c r="B43" s="4">
        <v>112</v>
      </c>
      <c r="C43" s="4">
        <v>115</v>
      </c>
      <c r="Q43" s="5"/>
      <c r="R43" s="11"/>
    </row>
    <row r="44" spans="1:18" ht="13.5" customHeight="1">
      <c r="A44" s="4">
        <v>12</v>
      </c>
      <c r="B44" s="4">
        <v>101</v>
      </c>
      <c r="C44" s="4">
        <v>120</v>
      </c>
      <c r="Q44" s="5"/>
      <c r="R44" s="11"/>
    </row>
    <row r="45" spans="1:18" ht="13.5" customHeight="1">
      <c r="A45" s="4">
        <v>38</v>
      </c>
      <c r="B45" s="4">
        <v>95</v>
      </c>
      <c r="C45" s="4">
        <v>120</v>
      </c>
      <c r="Q45" s="5"/>
      <c r="R45" s="11"/>
    </row>
    <row r="46" spans="1:18" ht="13.5" customHeight="1">
      <c r="A46" s="4">
        <v>17</v>
      </c>
      <c r="B46" s="4">
        <v>109</v>
      </c>
      <c r="C46" s="4">
        <v>150</v>
      </c>
      <c r="Q46" s="5"/>
      <c r="R46" s="11"/>
    </row>
    <row r="47" spans="1:18" ht="13.5" customHeight="1">
      <c r="A47" s="4">
        <v>39</v>
      </c>
      <c r="B47" s="4">
        <v>99</v>
      </c>
      <c r="C47" s="4">
        <v>160</v>
      </c>
      <c r="Q47" s="5"/>
      <c r="R47" s="11"/>
    </row>
    <row r="48" spans="1:18" ht="13.5" customHeight="1">
      <c r="A48" s="4">
        <v>50</v>
      </c>
      <c r="B48" s="4">
        <v>108</v>
      </c>
      <c r="C48" s="4">
        <v>160</v>
      </c>
      <c r="Q48" s="5"/>
      <c r="R48" s="11"/>
    </row>
    <row r="49" spans="1:18" ht="13.5" customHeight="1">
      <c r="A49" s="4">
        <v>37</v>
      </c>
      <c r="B49" s="4">
        <v>108</v>
      </c>
      <c r="C49" s="4">
        <v>170</v>
      </c>
      <c r="Q49" s="5"/>
      <c r="R49" s="11"/>
    </row>
    <row r="50" spans="1:18" ht="13.5" customHeight="1">
      <c r="A50" s="4">
        <v>27</v>
      </c>
      <c r="B50" s="4">
        <v>108</v>
      </c>
      <c r="C50" s="4">
        <v>175</v>
      </c>
      <c r="Q50" s="5"/>
      <c r="R50" s="11"/>
    </row>
    <row r="51" spans="1:18" ht="13.5" customHeight="1">
      <c r="Q51" s="5"/>
      <c r="R51" s="11"/>
    </row>
    <row r="52" spans="1:18" ht="13.5" customHeight="1">
      <c r="Q52" s="5"/>
      <c r="R52" s="11"/>
    </row>
    <row r="53" spans="1:18" ht="13.5" customHeight="1">
      <c r="Q53" s="5"/>
      <c r="R53" s="11"/>
    </row>
    <row r="54" spans="1:18" ht="13.5" customHeight="1">
      <c r="Q54" s="5"/>
      <c r="R54" s="11"/>
    </row>
    <row r="55" spans="1:18" ht="13.5" customHeight="1">
      <c r="Q55" s="5"/>
      <c r="R55" s="11"/>
    </row>
    <row r="56" spans="1:18" ht="13.5" customHeight="1">
      <c r="Q56" s="5"/>
      <c r="R56" s="11"/>
    </row>
    <row r="57" spans="1:18" ht="13.5" customHeight="1">
      <c r="Q57" s="5"/>
      <c r="R57" s="11"/>
    </row>
    <row r="58" spans="1:18" ht="13.5" customHeight="1">
      <c r="Q58" s="5"/>
      <c r="R58" s="11"/>
    </row>
    <row r="59" spans="1:18" ht="13.5" customHeight="1">
      <c r="Q59" s="5"/>
      <c r="R59" s="11"/>
    </row>
    <row r="60" spans="1:18" ht="13.5" customHeight="1">
      <c r="Q60" s="5"/>
      <c r="R60" s="11"/>
    </row>
    <row r="61" spans="1:18" ht="13.5" customHeight="1">
      <c r="Q61" s="5"/>
      <c r="R61" s="11"/>
    </row>
    <row r="62" spans="1:18" ht="13.5" customHeight="1">
      <c r="Q62" s="5"/>
      <c r="R62" s="11"/>
    </row>
    <row r="63" spans="1:18" ht="13.5" customHeight="1">
      <c r="Q63" s="5"/>
      <c r="R63" s="11"/>
    </row>
    <row r="64" spans="1:18" ht="13.5" customHeight="1">
      <c r="Q64" s="5"/>
      <c r="R64" s="11"/>
    </row>
    <row r="65" spans="17:18" ht="13.5" customHeight="1">
      <c r="Q65" s="5"/>
      <c r="R65" s="11"/>
    </row>
    <row r="66" spans="17:18" ht="13.5" customHeight="1">
      <c r="Q66" s="5"/>
      <c r="R66" s="11"/>
    </row>
    <row r="67" spans="17:18" ht="13.5" customHeight="1">
      <c r="Q67" s="5"/>
      <c r="R67" s="11"/>
    </row>
    <row r="68" spans="17:18" ht="13.5" customHeight="1">
      <c r="Q68" s="5"/>
      <c r="R68" s="11"/>
    </row>
    <row r="69" spans="17:18" ht="13.5" customHeight="1">
      <c r="Q69" s="5"/>
      <c r="R69" s="11"/>
    </row>
    <row r="70" spans="17:18" ht="13.5" customHeight="1">
      <c r="Q70" s="5"/>
      <c r="R70" s="11"/>
    </row>
    <row r="71" spans="17:18" ht="13.5" customHeight="1">
      <c r="Q71" s="5"/>
      <c r="R71" s="11"/>
    </row>
    <row r="72" spans="17:18" ht="13.5" customHeight="1">
      <c r="Q72" s="5"/>
      <c r="R72" s="11"/>
    </row>
    <row r="73" spans="17:18" ht="13.5" customHeight="1">
      <c r="Q73" s="5"/>
      <c r="R73" s="11"/>
    </row>
    <row r="74" spans="17:18" ht="13.5" customHeight="1">
      <c r="Q74" s="5"/>
      <c r="R74" s="11"/>
    </row>
    <row r="75" spans="17:18" ht="13.5" customHeight="1">
      <c r="Q75" s="5"/>
      <c r="R75" s="11"/>
    </row>
    <row r="76" spans="17:18" ht="13.5" customHeight="1">
      <c r="Q76" s="5"/>
      <c r="R76" s="11"/>
    </row>
    <row r="77" spans="17:18" ht="13.5" customHeight="1">
      <c r="Q77" s="5"/>
      <c r="R77" s="11"/>
    </row>
    <row r="78" spans="17:18" ht="13.5" customHeight="1">
      <c r="Q78" s="5"/>
      <c r="R78" s="11"/>
    </row>
    <row r="79" spans="17:18" ht="13.5" customHeight="1">
      <c r="Q79" s="5"/>
      <c r="R79" s="11"/>
    </row>
    <row r="80" spans="17:18" ht="13.5" customHeight="1">
      <c r="Q80" s="5"/>
      <c r="R80" s="11"/>
    </row>
    <row r="81" spans="17:18" ht="13.5" customHeight="1">
      <c r="Q81" s="5"/>
      <c r="R81" s="11"/>
    </row>
    <row r="82" spans="17:18" ht="13.5" customHeight="1">
      <c r="Q82" s="5"/>
      <c r="R82" s="11"/>
    </row>
    <row r="83" spans="17:18" ht="13.5" customHeight="1">
      <c r="Q83" s="5"/>
      <c r="R83" s="11"/>
    </row>
    <row r="84" spans="17:18" ht="13.5" customHeight="1">
      <c r="Q84" s="5"/>
      <c r="R84" s="11"/>
    </row>
    <row r="85" spans="17:18" ht="13.5" customHeight="1">
      <c r="Q85" s="5"/>
      <c r="R85" s="11"/>
    </row>
    <row r="86" spans="17:18" ht="13.5" customHeight="1">
      <c r="Q86" s="5"/>
      <c r="R86" s="11"/>
    </row>
    <row r="87" spans="17:18" ht="13.5" customHeight="1">
      <c r="Q87" s="5"/>
      <c r="R87" s="11"/>
    </row>
    <row r="88" spans="17:18" ht="13.5" customHeight="1">
      <c r="Q88" s="5"/>
      <c r="R88" s="11"/>
    </row>
    <row r="89" spans="17:18" ht="13.5" customHeight="1">
      <c r="Q89" s="5"/>
      <c r="R89" s="11"/>
    </row>
    <row r="90" spans="17:18" ht="13.5" customHeight="1">
      <c r="Q90" s="5"/>
      <c r="R90" s="11"/>
    </row>
    <row r="91" spans="17:18" ht="13.5" customHeight="1">
      <c r="Q91" s="5"/>
      <c r="R91" s="11"/>
    </row>
    <row r="92" spans="17:18" ht="13.5" customHeight="1">
      <c r="Q92" s="5"/>
      <c r="R92" s="11"/>
    </row>
    <row r="93" spans="17:18" ht="13.5" customHeight="1">
      <c r="Q93" s="5"/>
      <c r="R93" s="11"/>
    </row>
    <row r="94" spans="17:18" ht="13.5" customHeight="1">
      <c r="Q94" s="5"/>
      <c r="R94" s="11"/>
    </row>
    <row r="95" spans="17:18" ht="13.5" customHeight="1">
      <c r="Q95" s="5"/>
      <c r="R95" s="11"/>
    </row>
    <row r="96" spans="17:18" ht="13.5" customHeight="1">
      <c r="Q96" s="5"/>
      <c r="R96" s="11"/>
    </row>
    <row r="97" spans="17:18" ht="13.5" customHeight="1">
      <c r="Q97" s="5"/>
      <c r="R97" s="11"/>
    </row>
    <row r="98" spans="17:18" ht="13.5" customHeight="1">
      <c r="Q98" s="5"/>
      <c r="R98" s="11"/>
    </row>
    <row r="99" spans="17:18" ht="13.5" customHeight="1">
      <c r="Q99" s="5"/>
      <c r="R99" s="11"/>
    </row>
    <row r="100" spans="17:18" ht="13.5" customHeight="1">
      <c r="Q100" s="5"/>
      <c r="R100" s="11"/>
    </row>
    <row r="101" spans="17:18" ht="13.5" customHeight="1">
      <c r="Q101" s="5"/>
      <c r="R101" s="11"/>
    </row>
    <row r="102" spans="17:18" ht="13.5" customHeight="1">
      <c r="Q102" s="5"/>
      <c r="R102" s="11"/>
    </row>
    <row r="103" spans="17:18" ht="13.5" customHeight="1">
      <c r="Q103" s="5"/>
      <c r="R103" s="11"/>
    </row>
    <row r="104" spans="17:18" ht="13.5" customHeight="1">
      <c r="Q104" s="5"/>
      <c r="R104" s="11"/>
    </row>
    <row r="105" spans="17:18" ht="13.5" customHeight="1">
      <c r="Q105" s="5"/>
      <c r="R105" s="11"/>
    </row>
    <row r="106" spans="17:18" ht="13.5" customHeight="1">
      <c r="Q106" s="5"/>
      <c r="R106" s="11"/>
    </row>
    <row r="107" spans="17:18" ht="13.5" customHeight="1">
      <c r="Q107" s="5"/>
      <c r="R107" s="11"/>
    </row>
    <row r="108" spans="17:18" ht="13.5" customHeight="1">
      <c r="Q108" s="5"/>
      <c r="R108" s="11"/>
    </row>
    <row r="109" spans="17:18" ht="13.5" customHeight="1">
      <c r="Q109" s="5"/>
      <c r="R109" s="11"/>
    </row>
    <row r="110" spans="17:18" ht="13.5" customHeight="1">
      <c r="Q110" s="5"/>
      <c r="R110" s="11"/>
    </row>
    <row r="111" spans="17:18" ht="13.5" customHeight="1">
      <c r="Q111" s="5"/>
      <c r="R111" s="11"/>
    </row>
    <row r="112" spans="17:18" ht="13.5" customHeight="1">
      <c r="Q112" s="5"/>
      <c r="R112" s="11"/>
    </row>
    <row r="113" spans="17:18" ht="13.5" customHeight="1">
      <c r="Q113" s="5"/>
      <c r="R113" s="11"/>
    </row>
    <row r="114" spans="17:18" ht="13.5" customHeight="1">
      <c r="Q114" s="5"/>
      <c r="R114" s="11"/>
    </row>
    <row r="115" spans="17:18" ht="13.5" customHeight="1">
      <c r="Q115" s="5"/>
      <c r="R115" s="11"/>
    </row>
    <row r="116" spans="17:18" ht="13.5" customHeight="1">
      <c r="Q116" s="5"/>
      <c r="R116" s="11"/>
    </row>
    <row r="117" spans="17:18" ht="13.5" customHeight="1">
      <c r="Q117" s="5"/>
      <c r="R117" s="11"/>
    </row>
    <row r="118" spans="17:18" ht="13.5" customHeight="1">
      <c r="Q118" s="5"/>
      <c r="R118" s="11"/>
    </row>
    <row r="119" spans="17:18" ht="13.5" customHeight="1">
      <c r="Q119" s="5"/>
      <c r="R119" s="11"/>
    </row>
    <row r="120" spans="17:18" ht="13.5" customHeight="1">
      <c r="Q120" s="5"/>
      <c r="R120" s="11"/>
    </row>
    <row r="121" spans="17:18" ht="13.5" customHeight="1">
      <c r="Q121" s="5"/>
      <c r="R121" s="11"/>
    </row>
    <row r="122" spans="17:18" ht="13.5" customHeight="1">
      <c r="Q122" s="5"/>
      <c r="R122" s="11"/>
    </row>
    <row r="123" spans="17:18" ht="13.5" customHeight="1">
      <c r="Q123" s="5"/>
      <c r="R123" s="11"/>
    </row>
    <row r="124" spans="17:18" ht="13.5" customHeight="1">
      <c r="Q124" s="5"/>
      <c r="R124" s="11"/>
    </row>
    <row r="125" spans="17:18" ht="13.5" customHeight="1">
      <c r="Q125" s="5"/>
      <c r="R125" s="11"/>
    </row>
    <row r="126" spans="17:18" ht="13.5" customHeight="1">
      <c r="Q126" s="5"/>
      <c r="R126" s="11"/>
    </row>
    <row r="127" spans="17:18" ht="13.5" customHeight="1">
      <c r="Q127" s="5"/>
      <c r="R127" s="11"/>
    </row>
    <row r="128" spans="17:18" ht="13.5" customHeight="1">
      <c r="Q128" s="5"/>
      <c r="R128" s="11"/>
    </row>
    <row r="129" spans="17:18" ht="13.5" customHeight="1">
      <c r="Q129" s="5"/>
      <c r="R129" s="11"/>
    </row>
    <row r="130" spans="17:18" ht="13.5" customHeight="1">
      <c r="Q130" s="5"/>
      <c r="R130" s="11"/>
    </row>
    <row r="131" spans="17:18" ht="13.5" customHeight="1">
      <c r="Q131" s="5"/>
      <c r="R131" s="11"/>
    </row>
    <row r="132" spans="17:18" ht="13.5" customHeight="1">
      <c r="Q132" s="5"/>
      <c r="R132" s="11"/>
    </row>
    <row r="133" spans="17:18" ht="13.5" customHeight="1">
      <c r="Q133" s="5"/>
      <c r="R133" s="11"/>
    </row>
    <row r="134" spans="17:18" ht="13.5" customHeight="1">
      <c r="Q134" s="5"/>
      <c r="R134" s="11"/>
    </row>
    <row r="135" spans="17:18" ht="13.5" customHeight="1">
      <c r="Q135" s="5"/>
      <c r="R135" s="11"/>
    </row>
    <row r="136" spans="17:18" ht="13.5" customHeight="1">
      <c r="Q136" s="5"/>
      <c r="R136" s="11"/>
    </row>
    <row r="137" spans="17:18" ht="13.5" customHeight="1">
      <c r="Q137" s="5"/>
      <c r="R137" s="11"/>
    </row>
    <row r="138" spans="17:18" ht="13.5" customHeight="1">
      <c r="Q138" s="5"/>
      <c r="R138" s="11"/>
    </row>
    <row r="139" spans="17:18" ht="13.5" customHeight="1">
      <c r="Q139" s="5"/>
      <c r="R139" s="11"/>
    </row>
    <row r="140" spans="17:18" ht="13.5" customHeight="1">
      <c r="Q140" s="5"/>
      <c r="R140" s="11"/>
    </row>
    <row r="141" spans="17:18" ht="13.5" customHeight="1">
      <c r="Q141" s="5"/>
      <c r="R141" s="11"/>
    </row>
    <row r="142" spans="17:18" ht="13.5" customHeight="1">
      <c r="Q142" s="5"/>
      <c r="R142" s="11"/>
    </row>
    <row r="143" spans="17:18" ht="13.5" customHeight="1">
      <c r="Q143" s="5"/>
      <c r="R143" s="11"/>
    </row>
    <row r="144" spans="17:18" ht="13.5" customHeight="1">
      <c r="Q144" s="5"/>
      <c r="R144" s="11"/>
    </row>
    <row r="145" spans="17:18" ht="13.5" customHeight="1">
      <c r="Q145" s="5"/>
      <c r="R145" s="11"/>
    </row>
    <row r="146" spans="17:18" ht="13.5" customHeight="1">
      <c r="Q146" s="5"/>
      <c r="R146" s="11"/>
    </row>
    <row r="147" spans="17:18" ht="13.5" customHeight="1">
      <c r="Q147" s="5"/>
      <c r="R147" s="11"/>
    </row>
    <row r="148" spans="17:18" ht="13.5" customHeight="1">
      <c r="Q148" s="5"/>
      <c r="R148" s="11"/>
    </row>
    <row r="149" spans="17:18" ht="13.5" customHeight="1">
      <c r="Q149" s="5"/>
      <c r="R149" s="11"/>
    </row>
    <row r="150" spans="17:18" ht="13.5" customHeight="1">
      <c r="Q150" s="5"/>
      <c r="R150" s="11"/>
    </row>
    <row r="151" spans="17:18" ht="13.5" customHeight="1">
      <c r="Q151" s="5"/>
      <c r="R151" s="11"/>
    </row>
    <row r="152" spans="17:18" ht="13.5" customHeight="1">
      <c r="Q152" s="5"/>
      <c r="R152" s="11"/>
    </row>
    <row r="153" spans="17:18" ht="13.5" customHeight="1">
      <c r="Q153" s="5"/>
      <c r="R153" s="11"/>
    </row>
    <row r="154" spans="17:18" ht="13.5" customHeight="1">
      <c r="Q154" s="5"/>
      <c r="R154" s="11"/>
    </row>
    <row r="155" spans="17:18" ht="13.5" customHeight="1">
      <c r="Q155" s="5"/>
      <c r="R155" s="11"/>
    </row>
    <row r="156" spans="17:18" ht="13.5" customHeight="1">
      <c r="Q156" s="5"/>
      <c r="R156" s="11"/>
    </row>
    <row r="157" spans="17:18" ht="13.5" customHeight="1">
      <c r="Q157" s="5"/>
      <c r="R157" s="11"/>
    </row>
    <row r="158" spans="17:18" ht="13.5" customHeight="1">
      <c r="Q158" s="5"/>
      <c r="R158" s="11"/>
    </row>
    <row r="159" spans="17:18" ht="13.5" customHeight="1">
      <c r="Q159" s="5"/>
      <c r="R159" s="11"/>
    </row>
    <row r="160" spans="17:18" ht="13.5" customHeight="1">
      <c r="Q160" s="5"/>
      <c r="R160" s="11"/>
    </row>
    <row r="161" spans="17:18" ht="13.5" customHeight="1">
      <c r="Q161" s="5"/>
      <c r="R161" s="11"/>
    </row>
    <row r="162" spans="17:18" ht="13.5" customHeight="1">
      <c r="Q162" s="5"/>
      <c r="R162" s="11"/>
    </row>
    <row r="163" spans="17:18" ht="13.5" customHeight="1">
      <c r="Q163" s="5"/>
      <c r="R163" s="11"/>
    </row>
    <row r="164" spans="17:18" ht="13.5" customHeight="1">
      <c r="Q164" s="5"/>
      <c r="R164" s="11"/>
    </row>
    <row r="165" spans="17:18" ht="13.5" customHeight="1">
      <c r="Q165" s="5"/>
      <c r="R165" s="11"/>
    </row>
    <row r="166" spans="17:18" ht="13.5" customHeight="1">
      <c r="Q166" s="5"/>
      <c r="R166" s="11"/>
    </row>
    <row r="167" spans="17:18" ht="13.5" customHeight="1">
      <c r="Q167" s="5"/>
      <c r="R167" s="11"/>
    </row>
    <row r="168" spans="17:18" ht="13.5" customHeight="1">
      <c r="Q168" s="5"/>
      <c r="R168" s="11"/>
    </row>
    <row r="169" spans="17:18" ht="13.5" customHeight="1">
      <c r="Q169" s="5"/>
      <c r="R169" s="11"/>
    </row>
    <row r="170" spans="17:18" ht="13.5" customHeight="1">
      <c r="Q170" s="5"/>
      <c r="R170" s="11"/>
    </row>
    <row r="171" spans="17:18" ht="13.5" customHeight="1">
      <c r="Q171" s="5"/>
      <c r="R171" s="11"/>
    </row>
    <row r="172" spans="17:18" ht="13.5" customHeight="1">
      <c r="Q172" s="5"/>
      <c r="R172" s="11"/>
    </row>
    <row r="173" spans="17:18" ht="13.5" customHeight="1">
      <c r="Q173" s="5"/>
      <c r="R173" s="11"/>
    </row>
    <row r="174" spans="17:18" ht="13.5" customHeight="1">
      <c r="Q174" s="5"/>
      <c r="R174" s="11"/>
    </row>
    <row r="175" spans="17:18" ht="13.5" customHeight="1">
      <c r="Q175" s="5"/>
      <c r="R175" s="11"/>
    </row>
    <row r="176" spans="17:18" ht="13.5" customHeight="1">
      <c r="Q176" s="5"/>
      <c r="R176" s="11"/>
    </row>
    <row r="177" spans="17:18" ht="13.5" customHeight="1">
      <c r="Q177" s="5"/>
      <c r="R177" s="11"/>
    </row>
    <row r="178" spans="17:18" ht="13.5" customHeight="1">
      <c r="Q178" s="5"/>
      <c r="R178" s="11"/>
    </row>
    <row r="179" spans="17:18" ht="13.5" customHeight="1">
      <c r="Q179" s="5"/>
      <c r="R179" s="11"/>
    </row>
    <row r="180" spans="17:18" ht="13.5" customHeight="1">
      <c r="Q180" s="5"/>
      <c r="R180" s="11"/>
    </row>
    <row r="181" spans="17:18" ht="13.5" customHeight="1">
      <c r="Q181" s="5"/>
      <c r="R181" s="11"/>
    </row>
    <row r="182" spans="17:18" ht="13.5" customHeight="1">
      <c r="Q182" s="5"/>
      <c r="R182" s="11"/>
    </row>
    <row r="183" spans="17:18" ht="13.5" customHeight="1">
      <c r="Q183" s="5"/>
      <c r="R183" s="11"/>
    </row>
    <row r="184" spans="17:18" ht="13.5" customHeight="1">
      <c r="Q184" s="5"/>
      <c r="R184" s="11"/>
    </row>
    <row r="185" spans="17:18" ht="13.5" customHeight="1">
      <c r="Q185" s="5"/>
      <c r="R185" s="11"/>
    </row>
    <row r="186" spans="17:18" ht="13.5" customHeight="1">
      <c r="Q186" s="5"/>
      <c r="R186" s="11"/>
    </row>
    <row r="187" spans="17:18" ht="13.5" customHeight="1">
      <c r="Q187" s="5"/>
      <c r="R187" s="11"/>
    </row>
    <row r="188" spans="17:18" ht="13.5" customHeight="1">
      <c r="Q188" s="5"/>
      <c r="R188" s="11"/>
    </row>
    <row r="189" spans="17:18" ht="13.5" customHeight="1">
      <c r="Q189" s="5"/>
      <c r="R189" s="11"/>
    </row>
    <row r="190" spans="17:18" ht="13.5" customHeight="1">
      <c r="Q190" s="5"/>
      <c r="R190" s="11"/>
    </row>
    <row r="191" spans="17:18" ht="13.5" customHeight="1">
      <c r="Q191" s="5"/>
      <c r="R191" s="11"/>
    </row>
    <row r="192" spans="17:18" ht="13.5" customHeight="1">
      <c r="Q192" s="5"/>
      <c r="R192" s="11"/>
    </row>
    <row r="193" spans="17:18" ht="13.5" customHeight="1">
      <c r="Q193" s="5"/>
      <c r="R193" s="11"/>
    </row>
    <row r="194" spans="17:18" ht="13.5" customHeight="1">
      <c r="Q194" s="5"/>
      <c r="R194" s="11"/>
    </row>
    <row r="195" spans="17:18" ht="13.5" customHeight="1">
      <c r="Q195" s="5"/>
      <c r="R195" s="11"/>
    </row>
    <row r="196" spans="17:18" ht="13.5" customHeight="1">
      <c r="Q196" s="5"/>
      <c r="R196" s="11"/>
    </row>
    <row r="197" spans="17:18" ht="13.5" customHeight="1">
      <c r="Q197" s="5"/>
      <c r="R197" s="11"/>
    </row>
    <row r="198" spans="17:18" ht="13.5" customHeight="1">
      <c r="Q198" s="5"/>
      <c r="R198" s="11"/>
    </row>
    <row r="199" spans="17:18" ht="13.5" customHeight="1">
      <c r="Q199" s="5"/>
      <c r="R199" s="11"/>
    </row>
    <row r="200" spans="17:18" ht="13.5" customHeight="1">
      <c r="Q200" s="5"/>
      <c r="R200" s="11"/>
    </row>
    <row r="201" spans="17:18" ht="13.5" customHeight="1">
      <c r="Q201" s="5"/>
      <c r="R201" s="11"/>
    </row>
    <row r="202" spans="17:18" ht="13.5" customHeight="1">
      <c r="Q202" s="5"/>
      <c r="R202" s="11"/>
    </row>
    <row r="203" spans="17:18" ht="13.5" customHeight="1">
      <c r="Q203" s="5"/>
      <c r="R203" s="11"/>
    </row>
    <row r="204" spans="17:18" ht="13.5" customHeight="1">
      <c r="Q204" s="5"/>
      <c r="R204" s="11"/>
    </row>
    <row r="205" spans="17:18" ht="13.5" customHeight="1">
      <c r="Q205" s="5"/>
      <c r="R205" s="11"/>
    </row>
    <row r="206" spans="17:18" ht="13.5" customHeight="1">
      <c r="Q206" s="5"/>
      <c r="R206" s="11"/>
    </row>
    <row r="207" spans="17:18" ht="13.5" customHeight="1">
      <c r="Q207" s="5"/>
      <c r="R207" s="11"/>
    </row>
    <row r="208" spans="17:18" ht="13.5" customHeight="1">
      <c r="Q208" s="5"/>
      <c r="R208" s="11"/>
    </row>
    <row r="209" spans="17:18" ht="13.5" customHeight="1">
      <c r="Q209" s="5"/>
      <c r="R209" s="11"/>
    </row>
    <row r="210" spans="17:18" ht="13.5" customHeight="1">
      <c r="Q210" s="5"/>
      <c r="R210" s="11"/>
    </row>
    <row r="211" spans="17:18" ht="13.5" customHeight="1">
      <c r="Q211" s="5"/>
      <c r="R211" s="11"/>
    </row>
    <row r="212" spans="17:18" ht="13.5" customHeight="1">
      <c r="Q212" s="5"/>
      <c r="R212" s="11"/>
    </row>
    <row r="213" spans="17:18" ht="13.5" customHeight="1">
      <c r="Q213" s="5"/>
      <c r="R213" s="11"/>
    </row>
    <row r="214" spans="17:18" ht="13.5" customHeight="1">
      <c r="Q214" s="5"/>
      <c r="R214" s="11"/>
    </row>
    <row r="215" spans="17:18" ht="13.5" customHeight="1">
      <c r="Q215" s="5"/>
      <c r="R215" s="11"/>
    </row>
    <row r="216" spans="17:18" ht="13.5" customHeight="1">
      <c r="Q216" s="5"/>
      <c r="R216" s="11"/>
    </row>
    <row r="217" spans="17:18" ht="13.5" customHeight="1">
      <c r="Q217" s="5"/>
      <c r="R217" s="11"/>
    </row>
    <row r="218" spans="17:18" ht="13.5" customHeight="1">
      <c r="Q218" s="5"/>
      <c r="R218" s="11"/>
    </row>
    <row r="219" spans="17:18" ht="13.5" customHeight="1">
      <c r="Q219" s="5"/>
      <c r="R219" s="11"/>
    </row>
    <row r="220" spans="17:18" ht="13.5" customHeight="1">
      <c r="Q220" s="5"/>
      <c r="R220" s="11"/>
    </row>
    <row r="221" spans="17:18" ht="13.5" customHeight="1">
      <c r="Q221" s="5"/>
      <c r="R221" s="11"/>
    </row>
    <row r="222" spans="17:18" ht="13.5" customHeight="1">
      <c r="Q222" s="5"/>
      <c r="R222" s="11"/>
    </row>
    <row r="223" spans="17:18" ht="13.5" customHeight="1">
      <c r="Q223" s="5"/>
      <c r="R223" s="11"/>
    </row>
    <row r="224" spans="17:18" ht="13.5" customHeight="1">
      <c r="Q224" s="5"/>
      <c r="R224" s="11"/>
    </row>
    <row r="225" spans="17:18" ht="13.5" customHeight="1">
      <c r="Q225" s="5"/>
      <c r="R225" s="11"/>
    </row>
    <row r="226" spans="17:18" ht="13.5" customHeight="1">
      <c r="Q226" s="5"/>
      <c r="R226" s="11"/>
    </row>
    <row r="227" spans="17:18" ht="13.5" customHeight="1">
      <c r="Q227" s="5"/>
      <c r="R227" s="11"/>
    </row>
    <row r="228" spans="17:18" ht="13.5" customHeight="1">
      <c r="Q228" s="5"/>
      <c r="R228" s="11"/>
    </row>
    <row r="229" spans="17:18" ht="13.5" customHeight="1">
      <c r="Q229" s="5"/>
      <c r="R229" s="11"/>
    </row>
    <row r="230" spans="17:18" ht="13.5" customHeight="1">
      <c r="Q230" s="5"/>
      <c r="R230" s="11"/>
    </row>
    <row r="231" spans="17:18" ht="13.5" customHeight="1">
      <c r="Q231" s="5"/>
      <c r="R231" s="11"/>
    </row>
    <row r="232" spans="17:18" ht="13.5" customHeight="1">
      <c r="Q232" s="5"/>
      <c r="R232" s="11"/>
    </row>
    <row r="233" spans="17:18" ht="13.5" customHeight="1">
      <c r="Q233" s="5"/>
      <c r="R233" s="11"/>
    </row>
    <row r="234" spans="17:18" ht="13.5" customHeight="1">
      <c r="Q234" s="5"/>
      <c r="R234" s="11"/>
    </row>
    <row r="235" spans="17:18" ht="13.5" customHeight="1">
      <c r="Q235" s="5"/>
      <c r="R235" s="11"/>
    </row>
    <row r="236" spans="17:18" ht="13.5" customHeight="1">
      <c r="Q236" s="5"/>
      <c r="R236" s="11"/>
    </row>
    <row r="237" spans="17:18" ht="13.5" customHeight="1">
      <c r="Q237" s="5"/>
      <c r="R237" s="11"/>
    </row>
    <row r="238" spans="17:18" ht="13.5" customHeight="1">
      <c r="Q238" s="5"/>
      <c r="R238" s="11"/>
    </row>
    <row r="239" spans="17:18" ht="13.5" customHeight="1">
      <c r="Q239" s="5"/>
      <c r="R239" s="11"/>
    </row>
    <row r="240" spans="17:18" ht="13.5" customHeight="1">
      <c r="Q240" s="5"/>
      <c r="R240" s="11"/>
    </row>
    <row r="241" spans="17:18" ht="13.5" customHeight="1">
      <c r="Q241" s="5"/>
      <c r="R241" s="11"/>
    </row>
    <row r="242" spans="17:18" ht="13.5" customHeight="1">
      <c r="Q242" s="5"/>
      <c r="R242" s="11"/>
    </row>
    <row r="243" spans="17:18" ht="13.5" customHeight="1">
      <c r="Q243" s="5"/>
      <c r="R243" s="11"/>
    </row>
    <row r="244" spans="17:18" ht="13.5" customHeight="1">
      <c r="Q244" s="5"/>
      <c r="R244" s="11"/>
    </row>
    <row r="245" spans="17:18" ht="13.5" customHeight="1">
      <c r="Q245" s="5"/>
      <c r="R245" s="11"/>
    </row>
    <row r="246" spans="17:18" ht="13.5" customHeight="1">
      <c r="Q246" s="5"/>
      <c r="R246" s="11"/>
    </row>
    <row r="247" spans="17:18" ht="13.5" customHeight="1">
      <c r="Q247" s="5"/>
      <c r="R247" s="11"/>
    </row>
    <row r="248" spans="17:18" ht="13.5" customHeight="1">
      <c r="Q248" s="5"/>
      <c r="R248" s="11"/>
    </row>
    <row r="249" spans="17:18" ht="13.5" customHeight="1">
      <c r="Q249" s="5"/>
      <c r="R249" s="11"/>
    </row>
    <row r="250" spans="17:18" ht="13.5" customHeight="1">
      <c r="Q250" s="5"/>
      <c r="R250" s="11"/>
    </row>
    <row r="251" spans="17:18" ht="13.5" customHeight="1">
      <c r="Q251" s="5"/>
      <c r="R251" s="11"/>
    </row>
    <row r="252" spans="17:18" ht="13.5" customHeight="1">
      <c r="Q252" s="5"/>
      <c r="R252" s="11"/>
    </row>
    <row r="253" spans="17:18" ht="13.5" customHeight="1">
      <c r="Q253" s="5"/>
      <c r="R253" s="11"/>
    </row>
    <row r="254" spans="17:18" ht="13.5" customHeight="1">
      <c r="Q254" s="5"/>
      <c r="R254" s="11"/>
    </row>
    <row r="255" spans="17:18" ht="13.5" customHeight="1">
      <c r="Q255" s="5"/>
      <c r="R255" s="11"/>
    </row>
    <row r="256" spans="17:18" ht="13.5" customHeight="1">
      <c r="Q256" s="5"/>
      <c r="R256" s="11"/>
    </row>
    <row r="257" spans="17:18" ht="13.5" customHeight="1">
      <c r="Q257" s="5"/>
      <c r="R257" s="11"/>
    </row>
    <row r="258" spans="17:18" ht="13.5" customHeight="1">
      <c r="Q258" s="5"/>
      <c r="R258" s="11"/>
    </row>
    <row r="259" spans="17:18" ht="13.5" customHeight="1">
      <c r="Q259" s="5"/>
      <c r="R259" s="11"/>
    </row>
    <row r="260" spans="17:18" ht="13.5" customHeight="1">
      <c r="Q260" s="5"/>
      <c r="R260" s="11"/>
    </row>
    <row r="261" spans="17:18" ht="13.5" customHeight="1">
      <c r="Q261" s="5"/>
      <c r="R261" s="11"/>
    </row>
    <row r="262" spans="17:18" ht="13.5" customHeight="1">
      <c r="Q262" s="5"/>
      <c r="R262" s="11"/>
    </row>
    <row r="263" spans="17:18" ht="13.5" customHeight="1">
      <c r="Q263" s="5"/>
      <c r="R263" s="11"/>
    </row>
    <row r="264" spans="17:18" ht="13.5" customHeight="1">
      <c r="Q264" s="5"/>
      <c r="R264" s="11"/>
    </row>
    <row r="265" spans="17:18" ht="13.5" customHeight="1">
      <c r="Q265" s="5"/>
      <c r="R265" s="11"/>
    </row>
    <row r="266" spans="17:18" ht="13.5" customHeight="1">
      <c r="Q266" s="5"/>
      <c r="R266" s="11"/>
    </row>
    <row r="267" spans="17:18" ht="13.5" customHeight="1">
      <c r="Q267" s="5"/>
      <c r="R267" s="11"/>
    </row>
    <row r="268" spans="17:18" ht="13.5" customHeight="1">
      <c r="Q268" s="5"/>
      <c r="R268" s="11"/>
    </row>
    <row r="269" spans="17:18" ht="13.5" customHeight="1">
      <c r="Q269" s="5"/>
      <c r="R269" s="11"/>
    </row>
    <row r="270" spans="17:18" ht="13.5" customHeight="1">
      <c r="Q270" s="5"/>
      <c r="R270" s="11"/>
    </row>
    <row r="271" spans="17:18" ht="13.5" customHeight="1">
      <c r="Q271" s="5"/>
      <c r="R271" s="11"/>
    </row>
    <row r="272" spans="17:18" ht="13.5" customHeight="1">
      <c r="Q272" s="5"/>
      <c r="R272" s="11"/>
    </row>
    <row r="273" spans="17:18" ht="13.5" customHeight="1">
      <c r="Q273" s="5"/>
      <c r="R273" s="11"/>
    </row>
    <row r="274" spans="17:18" ht="13.5" customHeight="1">
      <c r="Q274" s="5"/>
      <c r="R274" s="11"/>
    </row>
    <row r="275" spans="17:18" ht="13.5" customHeight="1">
      <c r="Q275" s="5"/>
      <c r="R275" s="11"/>
    </row>
    <row r="276" spans="17:18" ht="13.5" customHeight="1">
      <c r="Q276" s="5"/>
      <c r="R276" s="11"/>
    </row>
    <row r="277" spans="17:18" ht="13.5" customHeight="1">
      <c r="Q277" s="5"/>
      <c r="R277" s="11"/>
    </row>
    <row r="278" spans="17:18" ht="13.5" customHeight="1">
      <c r="Q278" s="5"/>
      <c r="R278" s="11"/>
    </row>
    <row r="279" spans="17:18" ht="13.5" customHeight="1">
      <c r="Q279" s="5"/>
      <c r="R279" s="11"/>
    </row>
    <row r="280" spans="17:18" ht="13.5" customHeight="1">
      <c r="Q280" s="5"/>
      <c r="R280" s="11"/>
    </row>
    <row r="281" spans="17:18" ht="13.5" customHeight="1">
      <c r="Q281" s="5"/>
      <c r="R281" s="11"/>
    </row>
    <row r="282" spans="17:18" ht="13.5" customHeight="1">
      <c r="Q282" s="5"/>
      <c r="R282" s="11"/>
    </row>
    <row r="283" spans="17:18" ht="13.5" customHeight="1">
      <c r="Q283" s="5"/>
      <c r="R283" s="11"/>
    </row>
    <row r="284" spans="17:18" ht="13.5" customHeight="1">
      <c r="Q284" s="5"/>
      <c r="R284" s="11"/>
    </row>
    <row r="285" spans="17:18" ht="13.5" customHeight="1">
      <c r="Q285" s="5"/>
      <c r="R285" s="11"/>
    </row>
    <row r="286" spans="17:18" ht="13.5" customHeight="1">
      <c r="Q286" s="5"/>
      <c r="R286" s="11"/>
    </row>
    <row r="287" spans="17:18" ht="13.5" customHeight="1">
      <c r="Q287" s="5"/>
      <c r="R287" s="11"/>
    </row>
    <row r="288" spans="17:18" ht="13.5" customHeight="1">
      <c r="Q288" s="5"/>
      <c r="R288" s="11"/>
    </row>
    <row r="289" spans="17:18" ht="13.5" customHeight="1">
      <c r="Q289" s="5"/>
      <c r="R289" s="11"/>
    </row>
    <row r="290" spans="17:18" ht="13.5" customHeight="1">
      <c r="Q290" s="5"/>
      <c r="R290" s="11"/>
    </row>
    <row r="291" spans="17:18" ht="13.5" customHeight="1">
      <c r="Q291" s="5"/>
      <c r="R291" s="11"/>
    </row>
    <row r="292" spans="17:18" ht="13.5" customHeight="1">
      <c r="Q292" s="5"/>
      <c r="R292" s="11"/>
    </row>
    <row r="293" spans="17:18" ht="13.5" customHeight="1">
      <c r="Q293" s="5"/>
      <c r="R293" s="11"/>
    </row>
    <row r="294" spans="17:18" ht="13.5" customHeight="1">
      <c r="Q294" s="5"/>
      <c r="R294" s="11"/>
    </row>
    <row r="295" spans="17:18" ht="13.5" customHeight="1">
      <c r="Q295" s="5"/>
      <c r="R295" s="11"/>
    </row>
    <row r="296" spans="17:18" ht="13.5" customHeight="1">
      <c r="Q296" s="5"/>
      <c r="R296" s="11"/>
    </row>
    <row r="297" spans="17:18" ht="13.5" customHeight="1">
      <c r="Q297" s="5"/>
      <c r="R297" s="11"/>
    </row>
    <row r="298" spans="17:18" ht="13.5" customHeight="1">
      <c r="Q298" s="5"/>
      <c r="R298" s="11"/>
    </row>
    <row r="299" spans="17:18" ht="13.5" customHeight="1">
      <c r="Q299" s="5"/>
      <c r="R299" s="11"/>
    </row>
    <row r="300" spans="17:18" ht="13.5" customHeight="1">
      <c r="Q300" s="5"/>
      <c r="R300" s="11"/>
    </row>
    <row r="301" spans="17:18" ht="13.5" customHeight="1">
      <c r="Q301" s="5"/>
      <c r="R301" s="11"/>
    </row>
    <row r="302" spans="17:18" ht="13.5" customHeight="1">
      <c r="Q302" s="5"/>
      <c r="R302" s="11"/>
    </row>
    <row r="303" spans="17:18" ht="13.5" customHeight="1">
      <c r="Q303" s="5"/>
      <c r="R303" s="11"/>
    </row>
    <row r="304" spans="17:18" ht="13.5" customHeight="1">
      <c r="Q304" s="5"/>
      <c r="R304" s="11"/>
    </row>
    <row r="305" spans="17:18" ht="13.5" customHeight="1">
      <c r="Q305" s="5"/>
      <c r="R305" s="11"/>
    </row>
    <row r="306" spans="17:18" ht="13.5" customHeight="1">
      <c r="Q306" s="5"/>
      <c r="R306" s="11"/>
    </row>
    <row r="307" spans="17:18" ht="13.5" customHeight="1">
      <c r="Q307" s="5"/>
      <c r="R307" s="11"/>
    </row>
    <row r="308" spans="17:18" ht="13.5" customHeight="1">
      <c r="Q308" s="5"/>
      <c r="R308" s="11"/>
    </row>
    <row r="309" spans="17:18" ht="13.5" customHeight="1">
      <c r="Q309" s="5"/>
      <c r="R309" s="11"/>
    </row>
    <row r="310" spans="17:18" ht="13.5" customHeight="1">
      <c r="Q310" s="5"/>
      <c r="R310" s="11"/>
    </row>
    <row r="311" spans="17:18" ht="13.5" customHeight="1">
      <c r="Q311" s="5"/>
      <c r="R311" s="11"/>
    </row>
    <row r="312" spans="17:18" ht="13.5" customHeight="1">
      <c r="Q312" s="5"/>
      <c r="R312" s="11"/>
    </row>
    <row r="313" spans="17:18" ht="13.5" customHeight="1">
      <c r="Q313" s="5"/>
      <c r="R313" s="11"/>
    </row>
    <row r="314" spans="17:18" ht="13.5" customHeight="1">
      <c r="Q314" s="5"/>
      <c r="R314" s="11"/>
    </row>
    <row r="315" spans="17:18" ht="13.5" customHeight="1">
      <c r="Q315" s="5"/>
      <c r="R315" s="11"/>
    </row>
    <row r="316" spans="17:18" ht="13.5" customHeight="1">
      <c r="Q316" s="5"/>
      <c r="R316" s="11"/>
    </row>
    <row r="317" spans="17:18" ht="13.5" customHeight="1">
      <c r="Q317" s="5"/>
      <c r="R317" s="11"/>
    </row>
    <row r="318" spans="17:18" ht="13.5" customHeight="1">
      <c r="Q318" s="5"/>
      <c r="R318" s="11"/>
    </row>
    <row r="319" spans="17:18" ht="13.5" customHeight="1">
      <c r="Q319" s="5"/>
      <c r="R319" s="11"/>
    </row>
    <row r="320" spans="17:18" ht="13.5" customHeight="1">
      <c r="Q320" s="5"/>
      <c r="R320" s="11"/>
    </row>
    <row r="321" spans="17:18" ht="13.5" customHeight="1">
      <c r="Q321" s="5"/>
      <c r="R321" s="11"/>
    </row>
    <row r="322" spans="17:18" ht="13.5" customHeight="1">
      <c r="Q322" s="5"/>
      <c r="R322" s="11"/>
    </row>
    <row r="323" spans="17:18" ht="13.5" customHeight="1">
      <c r="Q323" s="5"/>
      <c r="R323" s="11"/>
    </row>
    <row r="324" spans="17:18" ht="13.5" customHeight="1">
      <c r="Q324" s="5"/>
      <c r="R324" s="11"/>
    </row>
    <row r="325" spans="17:18" ht="13.5" customHeight="1">
      <c r="Q325" s="5"/>
      <c r="R325" s="11"/>
    </row>
    <row r="326" spans="17:18" ht="13.5" customHeight="1">
      <c r="Q326" s="5"/>
      <c r="R326" s="11"/>
    </row>
    <row r="327" spans="17:18" ht="13.5" customHeight="1">
      <c r="Q327" s="5"/>
      <c r="R327" s="11"/>
    </row>
    <row r="328" spans="17:18" ht="13.5" customHeight="1">
      <c r="Q328" s="5"/>
      <c r="R328" s="11"/>
    </row>
    <row r="329" spans="17:18" ht="13.5" customHeight="1">
      <c r="Q329" s="5"/>
      <c r="R329" s="11"/>
    </row>
    <row r="330" spans="17:18" ht="13.5" customHeight="1">
      <c r="Q330" s="5"/>
      <c r="R330" s="11"/>
    </row>
    <row r="331" spans="17:18" ht="13.5" customHeight="1">
      <c r="Q331" s="5"/>
      <c r="R331" s="11"/>
    </row>
    <row r="332" spans="17:18" ht="13.5" customHeight="1">
      <c r="Q332" s="5"/>
      <c r="R332" s="11"/>
    </row>
    <row r="333" spans="17:18" ht="13.5" customHeight="1">
      <c r="Q333" s="5"/>
      <c r="R333" s="11"/>
    </row>
    <row r="334" spans="17:18" ht="13.5" customHeight="1">
      <c r="Q334" s="5"/>
      <c r="R334" s="11"/>
    </row>
    <row r="335" spans="17:18" ht="13.5" customHeight="1">
      <c r="Q335" s="5"/>
      <c r="R335" s="11"/>
    </row>
    <row r="336" spans="17:18" ht="13.5" customHeight="1">
      <c r="Q336" s="5"/>
      <c r="R336" s="11"/>
    </row>
    <row r="337" spans="17:18" ht="13.5" customHeight="1">
      <c r="Q337" s="5"/>
      <c r="R337" s="11"/>
    </row>
    <row r="338" spans="17:18" ht="13.5" customHeight="1">
      <c r="Q338" s="5"/>
      <c r="R338" s="11"/>
    </row>
    <row r="339" spans="17:18" ht="13.5" customHeight="1">
      <c r="Q339" s="5"/>
      <c r="R339" s="11"/>
    </row>
    <row r="340" spans="17:18" ht="13.5" customHeight="1">
      <c r="Q340" s="5"/>
      <c r="R340" s="11"/>
    </row>
    <row r="341" spans="17:18" ht="13.5" customHeight="1">
      <c r="Q341" s="5"/>
      <c r="R341" s="11"/>
    </row>
    <row r="342" spans="17:18" ht="13.5" customHeight="1">
      <c r="Q342" s="5"/>
      <c r="R342" s="11"/>
    </row>
    <row r="343" spans="17:18" ht="13.5" customHeight="1">
      <c r="Q343" s="5"/>
      <c r="R343" s="11"/>
    </row>
    <row r="344" spans="17:18" ht="13.5" customHeight="1">
      <c r="Q344" s="5"/>
      <c r="R344" s="11"/>
    </row>
    <row r="345" spans="17:18" ht="13.5" customHeight="1">
      <c r="Q345" s="5"/>
      <c r="R345" s="11"/>
    </row>
    <row r="346" spans="17:18" ht="13.5" customHeight="1">
      <c r="Q346" s="5"/>
      <c r="R346" s="11"/>
    </row>
    <row r="347" spans="17:18" ht="13.5" customHeight="1">
      <c r="Q347" s="5"/>
      <c r="R347" s="11"/>
    </row>
    <row r="348" spans="17:18" ht="13.5" customHeight="1">
      <c r="Q348" s="5"/>
      <c r="R348" s="11"/>
    </row>
    <row r="349" spans="17:18" ht="13.5" customHeight="1">
      <c r="Q349" s="5"/>
      <c r="R349" s="11"/>
    </row>
    <row r="350" spans="17:18" ht="13.5" customHeight="1">
      <c r="Q350" s="5"/>
      <c r="R350" s="11"/>
    </row>
    <row r="351" spans="17:18" ht="13.5" customHeight="1">
      <c r="Q351" s="5"/>
      <c r="R351" s="11"/>
    </row>
    <row r="352" spans="17:18" ht="13.5" customHeight="1">
      <c r="Q352" s="5"/>
      <c r="R352" s="11"/>
    </row>
    <row r="353" spans="17:18" ht="13.5" customHeight="1">
      <c r="Q353" s="5"/>
      <c r="R353" s="11"/>
    </row>
    <row r="354" spans="17:18" ht="13.5" customHeight="1">
      <c r="Q354" s="5"/>
      <c r="R354" s="11"/>
    </row>
    <row r="355" spans="17:18" ht="13.5" customHeight="1">
      <c r="Q355" s="5"/>
      <c r="R355" s="11"/>
    </row>
    <row r="356" spans="17:18" ht="13.5" customHeight="1">
      <c r="Q356" s="5"/>
      <c r="R356" s="11"/>
    </row>
    <row r="357" spans="17:18" ht="13.5" customHeight="1">
      <c r="Q357" s="5"/>
      <c r="R357" s="11"/>
    </row>
    <row r="358" spans="17:18" ht="13.5" customHeight="1">
      <c r="Q358" s="5"/>
      <c r="R358" s="11"/>
    </row>
    <row r="359" spans="17:18" ht="13.5" customHeight="1">
      <c r="Q359" s="5"/>
      <c r="R359" s="11"/>
    </row>
    <row r="360" spans="17:18" ht="13.5" customHeight="1">
      <c r="Q360" s="5"/>
      <c r="R360" s="11"/>
    </row>
    <row r="361" spans="17:18" ht="13.5" customHeight="1">
      <c r="Q361" s="5"/>
      <c r="R361" s="11"/>
    </row>
    <row r="362" spans="17:18" ht="13.5" customHeight="1">
      <c r="Q362" s="5"/>
      <c r="R362" s="11"/>
    </row>
    <row r="363" spans="17:18" ht="13.5" customHeight="1">
      <c r="Q363" s="5"/>
      <c r="R363" s="11"/>
    </row>
    <row r="364" spans="17:18" ht="13.5" customHeight="1">
      <c r="Q364" s="5"/>
      <c r="R364" s="11"/>
    </row>
    <row r="365" spans="17:18" ht="13.5" customHeight="1">
      <c r="Q365" s="5"/>
      <c r="R365" s="11"/>
    </row>
    <row r="366" spans="17:18" ht="13.5" customHeight="1">
      <c r="Q366" s="5"/>
      <c r="R366" s="11"/>
    </row>
    <row r="367" spans="17:18" ht="13.5" customHeight="1">
      <c r="Q367" s="5"/>
      <c r="R367" s="11"/>
    </row>
    <row r="368" spans="17:18" ht="13.5" customHeight="1">
      <c r="Q368" s="5"/>
      <c r="R368" s="11"/>
    </row>
    <row r="369" spans="17:18" ht="13.5" customHeight="1">
      <c r="Q369" s="5"/>
      <c r="R369" s="11"/>
    </row>
    <row r="370" spans="17:18" ht="13.5" customHeight="1">
      <c r="Q370" s="5"/>
      <c r="R370" s="11"/>
    </row>
    <row r="371" spans="17:18" ht="13.5" customHeight="1">
      <c r="Q371" s="5"/>
      <c r="R371" s="11"/>
    </row>
    <row r="372" spans="17:18" ht="13.5" customHeight="1">
      <c r="Q372" s="5"/>
      <c r="R372" s="11"/>
    </row>
    <row r="373" spans="17:18" ht="13.5" customHeight="1">
      <c r="Q373" s="5"/>
      <c r="R373" s="11"/>
    </row>
    <row r="374" spans="17:18" ht="13.5" customHeight="1">
      <c r="Q374" s="5"/>
      <c r="R374" s="11"/>
    </row>
    <row r="375" spans="17:18" ht="13.5" customHeight="1">
      <c r="Q375" s="5"/>
      <c r="R375" s="11"/>
    </row>
    <row r="376" spans="17:18" ht="13.5" customHeight="1">
      <c r="Q376" s="5"/>
      <c r="R376" s="11"/>
    </row>
    <row r="377" spans="17:18" ht="13.5" customHeight="1">
      <c r="Q377" s="5"/>
      <c r="R377" s="11"/>
    </row>
    <row r="378" spans="17:18" ht="13.5" customHeight="1">
      <c r="Q378" s="5"/>
      <c r="R378" s="11"/>
    </row>
    <row r="379" spans="17:18" ht="13.5" customHeight="1">
      <c r="Q379" s="5"/>
      <c r="R379" s="11"/>
    </row>
    <row r="380" spans="17:18" ht="13.5" customHeight="1">
      <c r="Q380" s="5"/>
      <c r="R380" s="11"/>
    </row>
    <row r="381" spans="17:18" ht="13.5" customHeight="1">
      <c r="Q381" s="5"/>
      <c r="R381" s="11"/>
    </row>
    <row r="382" spans="17:18" ht="13.5" customHeight="1">
      <c r="Q382" s="5"/>
      <c r="R382" s="11"/>
    </row>
    <row r="383" spans="17:18" ht="13.5" customHeight="1">
      <c r="Q383" s="5"/>
      <c r="R383" s="11"/>
    </row>
    <row r="384" spans="17:18" ht="13.5" customHeight="1">
      <c r="Q384" s="5"/>
      <c r="R384" s="11"/>
    </row>
    <row r="385" spans="17:18" ht="13.5" customHeight="1">
      <c r="Q385" s="5"/>
      <c r="R385" s="11"/>
    </row>
    <row r="386" spans="17:18" ht="13.5" customHeight="1">
      <c r="Q386" s="5"/>
      <c r="R386" s="11"/>
    </row>
    <row r="387" spans="17:18" ht="13.5" customHeight="1">
      <c r="Q387" s="5"/>
      <c r="R387" s="11"/>
    </row>
    <row r="388" spans="17:18" ht="13.5" customHeight="1">
      <c r="Q388" s="5"/>
      <c r="R388" s="11"/>
    </row>
    <row r="389" spans="17:18" ht="13.5" customHeight="1">
      <c r="Q389" s="5"/>
      <c r="R389" s="11"/>
    </row>
    <row r="390" spans="17:18" ht="13.5" customHeight="1">
      <c r="Q390" s="5"/>
      <c r="R390" s="11"/>
    </row>
    <row r="391" spans="17:18" ht="13.5" customHeight="1">
      <c r="Q391" s="5"/>
      <c r="R391" s="11"/>
    </row>
    <row r="392" spans="17:18" ht="13.5" customHeight="1">
      <c r="Q392" s="5"/>
      <c r="R392" s="11"/>
    </row>
    <row r="393" spans="17:18" ht="13.5" customHeight="1">
      <c r="Q393" s="5"/>
      <c r="R393" s="11"/>
    </row>
    <row r="394" spans="17:18" ht="13.5" customHeight="1">
      <c r="Q394" s="5"/>
      <c r="R394" s="11"/>
    </row>
    <row r="395" spans="17:18" ht="13.5" customHeight="1">
      <c r="Q395" s="5"/>
      <c r="R395" s="11"/>
    </row>
    <row r="396" spans="17:18" ht="13.5" customHeight="1">
      <c r="Q396" s="5"/>
      <c r="R396" s="11"/>
    </row>
    <row r="397" spans="17:18" ht="13.5" customHeight="1">
      <c r="Q397" s="5"/>
      <c r="R397" s="11"/>
    </row>
    <row r="398" spans="17:18" ht="13.5" customHeight="1">
      <c r="Q398" s="5"/>
      <c r="R398" s="11"/>
    </row>
    <row r="399" spans="17:18" ht="13.5" customHeight="1">
      <c r="Q399" s="5"/>
      <c r="R399" s="11"/>
    </row>
    <row r="400" spans="17:18" ht="13.5" customHeight="1">
      <c r="Q400" s="5"/>
      <c r="R400" s="11"/>
    </row>
    <row r="401" spans="17:18" ht="13.5" customHeight="1">
      <c r="Q401" s="5"/>
      <c r="R401" s="11"/>
    </row>
    <row r="402" spans="17:18" ht="13.5" customHeight="1">
      <c r="Q402" s="5"/>
      <c r="R402" s="11"/>
    </row>
    <row r="403" spans="17:18" ht="13.5" customHeight="1">
      <c r="Q403" s="5"/>
      <c r="R403" s="11"/>
    </row>
    <row r="404" spans="17:18" ht="13.5" customHeight="1">
      <c r="Q404" s="5"/>
      <c r="R404" s="11"/>
    </row>
    <row r="405" spans="17:18" ht="13.5" customHeight="1">
      <c r="Q405" s="5"/>
      <c r="R405" s="11"/>
    </row>
    <row r="406" spans="17:18" ht="13.5" customHeight="1">
      <c r="Q406" s="5"/>
      <c r="R406" s="11"/>
    </row>
    <row r="407" spans="17:18" ht="13.5" customHeight="1">
      <c r="Q407" s="5"/>
      <c r="R407" s="11"/>
    </row>
    <row r="408" spans="17:18" ht="13.5" customHeight="1">
      <c r="Q408" s="5"/>
      <c r="R408" s="11"/>
    </row>
    <row r="409" spans="17:18" ht="13.5" customHeight="1">
      <c r="Q409" s="5"/>
      <c r="R409" s="11"/>
    </row>
    <row r="410" spans="17:18" ht="13.5" customHeight="1">
      <c r="Q410" s="5"/>
      <c r="R410" s="11"/>
    </row>
    <row r="411" spans="17:18" ht="13.5" customHeight="1">
      <c r="Q411" s="5"/>
      <c r="R411" s="11"/>
    </row>
    <row r="412" spans="17:18" ht="13.5" customHeight="1">
      <c r="Q412" s="5"/>
      <c r="R412" s="11"/>
    </row>
    <row r="413" spans="17:18" ht="13.5" customHeight="1">
      <c r="Q413" s="5"/>
      <c r="R413" s="11"/>
    </row>
    <row r="414" spans="17:18" ht="13.5" customHeight="1">
      <c r="Q414" s="5"/>
      <c r="R414" s="11"/>
    </row>
    <row r="415" spans="17:18" ht="13.5" customHeight="1">
      <c r="Q415" s="5"/>
      <c r="R415" s="11"/>
    </row>
    <row r="416" spans="17:18" ht="13.5" customHeight="1">
      <c r="Q416" s="5"/>
      <c r="R416" s="11"/>
    </row>
    <row r="417" spans="17:18" ht="13.5" customHeight="1">
      <c r="Q417" s="5"/>
      <c r="R417" s="11"/>
    </row>
    <row r="418" spans="17:18" ht="13.5" customHeight="1">
      <c r="Q418" s="5"/>
      <c r="R418" s="11"/>
    </row>
    <row r="419" spans="17:18" ht="13.5" customHeight="1">
      <c r="Q419" s="5"/>
      <c r="R419" s="11"/>
    </row>
    <row r="420" spans="17:18" ht="13.5" customHeight="1">
      <c r="Q420" s="5"/>
      <c r="R420" s="11"/>
    </row>
    <row r="421" spans="17:18" ht="13.5" customHeight="1">
      <c r="Q421" s="5"/>
      <c r="R421" s="11"/>
    </row>
    <row r="422" spans="17:18" ht="13.5" customHeight="1">
      <c r="Q422" s="5"/>
      <c r="R422" s="11"/>
    </row>
    <row r="423" spans="17:18" ht="13.5" customHeight="1">
      <c r="Q423" s="5"/>
      <c r="R423" s="11"/>
    </row>
    <row r="424" spans="17:18" ht="13.5" customHeight="1">
      <c r="Q424" s="5"/>
      <c r="R424" s="11"/>
    </row>
    <row r="425" spans="17:18" ht="13.5" customHeight="1">
      <c r="Q425" s="5"/>
      <c r="R425" s="11"/>
    </row>
    <row r="426" spans="17:18" ht="13.5" customHeight="1">
      <c r="Q426" s="5"/>
      <c r="R426" s="11"/>
    </row>
    <row r="427" spans="17:18" ht="13.5" customHeight="1">
      <c r="Q427" s="5"/>
      <c r="R427" s="11"/>
    </row>
    <row r="428" spans="17:18" ht="13.5" customHeight="1">
      <c r="Q428" s="5"/>
      <c r="R428" s="11"/>
    </row>
    <row r="429" spans="17:18" ht="13.5" customHeight="1">
      <c r="Q429" s="5"/>
      <c r="R429" s="11"/>
    </row>
    <row r="430" spans="17:18" ht="13.5" customHeight="1">
      <c r="Q430" s="5"/>
      <c r="R430" s="11"/>
    </row>
    <row r="431" spans="17:18" ht="13.5" customHeight="1">
      <c r="Q431" s="5"/>
      <c r="R431" s="11"/>
    </row>
    <row r="432" spans="17:18" ht="13.5" customHeight="1">
      <c r="Q432" s="5"/>
      <c r="R432" s="11"/>
    </row>
    <row r="433" spans="17:18" ht="13.5" customHeight="1">
      <c r="Q433" s="5"/>
      <c r="R433" s="11"/>
    </row>
    <row r="434" spans="17:18" ht="13.5" customHeight="1">
      <c r="Q434" s="5"/>
      <c r="R434" s="11"/>
    </row>
    <row r="435" spans="17:18" ht="13.5" customHeight="1">
      <c r="Q435" s="5"/>
      <c r="R435" s="11"/>
    </row>
    <row r="436" spans="17:18" ht="13.5" customHeight="1">
      <c r="Q436" s="5"/>
      <c r="R436" s="11"/>
    </row>
    <row r="437" spans="17:18" ht="13.5" customHeight="1">
      <c r="Q437" s="5"/>
      <c r="R437" s="11"/>
    </row>
    <row r="438" spans="17:18" ht="13.5" customHeight="1">
      <c r="Q438" s="5"/>
      <c r="R438" s="11"/>
    </row>
    <row r="439" spans="17:18" ht="13.5" customHeight="1">
      <c r="Q439" s="5"/>
      <c r="R439" s="11"/>
    </row>
    <row r="440" spans="17:18" ht="13.5" customHeight="1">
      <c r="Q440" s="5"/>
      <c r="R440" s="11"/>
    </row>
    <row r="441" spans="17:18" ht="13.5" customHeight="1">
      <c r="Q441" s="5"/>
      <c r="R441" s="11"/>
    </row>
    <row r="442" spans="17:18" ht="13.5" customHeight="1">
      <c r="Q442" s="5"/>
      <c r="R442" s="11"/>
    </row>
    <row r="443" spans="17:18" ht="13.5" customHeight="1">
      <c r="Q443" s="5"/>
      <c r="R443" s="11"/>
    </row>
    <row r="444" spans="17:18" ht="13.5" customHeight="1">
      <c r="Q444" s="5"/>
      <c r="R444" s="11"/>
    </row>
    <row r="445" spans="17:18" ht="13.5" customHeight="1">
      <c r="Q445" s="5"/>
      <c r="R445" s="11"/>
    </row>
    <row r="446" spans="17:18" ht="13.5" customHeight="1">
      <c r="Q446" s="5"/>
      <c r="R446" s="11"/>
    </row>
    <row r="447" spans="17:18" ht="13.5" customHeight="1">
      <c r="Q447" s="5"/>
      <c r="R447" s="11"/>
    </row>
    <row r="448" spans="17:18" ht="13.5" customHeight="1">
      <c r="Q448" s="5"/>
      <c r="R448" s="11"/>
    </row>
    <row r="449" spans="17:18" ht="13.5" customHeight="1">
      <c r="Q449" s="5"/>
      <c r="R449" s="11"/>
    </row>
    <row r="450" spans="17:18" ht="13.5" customHeight="1">
      <c r="Q450" s="5"/>
      <c r="R450" s="11"/>
    </row>
    <row r="451" spans="17:18" ht="13.5" customHeight="1">
      <c r="Q451" s="5"/>
      <c r="R451" s="11"/>
    </row>
    <row r="452" spans="17:18" ht="13.5" customHeight="1">
      <c r="Q452" s="5"/>
      <c r="R452" s="11"/>
    </row>
    <row r="453" spans="17:18" ht="13.5" customHeight="1">
      <c r="Q453" s="5"/>
      <c r="R453" s="11"/>
    </row>
    <row r="454" spans="17:18" ht="13.5" customHeight="1">
      <c r="Q454" s="5"/>
      <c r="R454" s="11"/>
    </row>
    <row r="455" spans="17:18" ht="13.5" customHeight="1">
      <c r="Q455" s="5"/>
      <c r="R455" s="11"/>
    </row>
    <row r="456" spans="17:18" ht="13.5" customHeight="1">
      <c r="Q456" s="5"/>
      <c r="R456" s="11"/>
    </row>
    <row r="457" spans="17:18" ht="13.5" customHeight="1">
      <c r="Q457" s="5"/>
      <c r="R457" s="11"/>
    </row>
    <row r="458" spans="17:18" ht="13.5" customHeight="1">
      <c r="Q458" s="5"/>
      <c r="R458" s="11"/>
    </row>
    <row r="459" spans="17:18" ht="13.5" customHeight="1">
      <c r="Q459" s="5"/>
      <c r="R459" s="11"/>
    </row>
    <row r="460" spans="17:18" ht="13.5" customHeight="1">
      <c r="Q460" s="5"/>
      <c r="R460" s="11"/>
    </row>
    <row r="461" spans="17:18" ht="13.5" customHeight="1">
      <c r="Q461" s="5"/>
      <c r="R461" s="11"/>
    </row>
    <row r="462" spans="17:18" ht="13.5" customHeight="1">
      <c r="Q462" s="5"/>
      <c r="R462" s="11"/>
    </row>
    <row r="463" spans="17:18" ht="13.5" customHeight="1">
      <c r="Q463" s="5"/>
      <c r="R463" s="11"/>
    </row>
    <row r="464" spans="17:18" ht="13.5" customHeight="1">
      <c r="Q464" s="5"/>
      <c r="R464" s="11"/>
    </row>
    <row r="465" spans="17:18" ht="13.5" customHeight="1">
      <c r="Q465" s="5"/>
      <c r="R465" s="11"/>
    </row>
    <row r="466" spans="17:18" ht="13.5" customHeight="1">
      <c r="Q466" s="5"/>
      <c r="R466" s="11"/>
    </row>
    <row r="467" spans="17:18" ht="13.5" customHeight="1">
      <c r="Q467" s="5"/>
      <c r="R467" s="11"/>
    </row>
    <row r="468" spans="17:18" ht="13.5" customHeight="1">
      <c r="Q468" s="5"/>
      <c r="R468" s="11"/>
    </row>
    <row r="469" spans="17:18" ht="13.5" customHeight="1">
      <c r="Q469" s="5"/>
      <c r="R469" s="11"/>
    </row>
    <row r="470" spans="17:18" ht="13.5" customHeight="1">
      <c r="Q470" s="5"/>
      <c r="R470" s="11"/>
    </row>
    <row r="471" spans="17:18" ht="13.5" customHeight="1">
      <c r="Q471" s="5"/>
      <c r="R471" s="11"/>
    </row>
    <row r="472" spans="17:18" ht="13.5" customHeight="1">
      <c r="Q472" s="5"/>
      <c r="R472" s="11"/>
    </row>
    <row r="473" spans="17:18" ht="13.5" customHeight="1">
      <c r="Q473" s="5"/>
      <c r="R473" s="11"/>
    </row>
    <row r="474" spans="17:18" ht="13.5" customHeight="1">
      <c r="Q474" s="5"/>
      <c r="R474" s="11"/>
    </row>
    <row r="475" spans="17:18" ht="13.5" customHeight="1">
      <c r="Q475" s="5"/>
      <c r="R475" s="11"/>
    </row>
    <row r="476" spans="17:18" ht="13.5" customHeight="1">
      <c r="Q476" s="5"/>
      <c r="R476" s="11"/>
    </row>
    <row r="477" spans="17:18" ht="13.5" customHeight="1">
      <c r="Q477" s="5"/>
      <c r="R477" s="11"/>
    </row>
    <row r="478" spans="17:18" ht="13.5" customHeight="1">
      <c r="Q478" s="5"/>
      <c r="R478" s="11"/>
    </row>
    <row r="479" spans="17:18" ht="13.5" customHeight="1">
      <c r="Q479" s="5"/>
      <c r="R479" s="11"/>
    </row>
    <row r="480" spans="17:18" ht="13.5" customHeight="1">
      <c r="Q480" s="5"/>
      <c r="R480" s="11"/>
    </row>
    <row r="481" spans="17:18" ht="13.5" customHeight="1">
      <c r="Q481" s="5"/>
      <c r="R481" s="11"/>
    </row>
    <row r="482" spans="17:18" ht="13.5" customHeight="1">
      <c r="Q482" s="5"/>
      <c r="R482" s="11"/>
    </row>
    <row r="483" spans="17:18" ht="13.5" customHeight="1">
      <c r="Q483" s="5"/>
      <c r="R483" s="11"/>
    </row>
    <row r="484" spans="17:18" ht="13.5" customHeight="1">
      <c r="Q484" s="5"/>
      <c r="R484" s="11"/>
    </row>
    <row r="485" spans="17:18" ht="13.5" customHeight="1">
      <c r="Q485" s="5"/>
      <c r="R485" s="11"/>
    </row>
    <row r="486" spans="17:18" ht="13.5" customHeight="1">
      <c r="Q486" s="5"/>
      <c r="R486" s="11"/>
    </row>
    <row r="487" spans="17:18" ht="13.5" customHeight="1">
      <c r="Q487" s="5"/>
      <c r="R487" s="11"/>
    </row>
    <row r="488" spans="17:18" ht="13.5" customHeight="1">
      <c r="Q488" s="5"/>
      <c r="R488" s="11"/>
    </row>
    <row r="489" spans="17:18" ht="13.5" customHeight="1">
      <c r="Q489" s="5"/>
      <c r="R489" s="11"/>
    </row>
    <row r="490" spans="17:18" ht="13.5" customHeight="1">
      <c r="Q490" s="5"/>
      <c r="R490" s="11"/>
    </row>
    <row r="491" spans="17:18" ht="13.5" customHeight="1">
      <c r="Q491" s="5"/>
      <c r="R491" s="11"/>
    </row>
    <row r="492" spans="17:18" ht="13.5" customHeight="1">
      <c r="Q492" s="5"/>
      <c r="R492" s="11"/>
    </row>
    <row r="493" spans="17:18" ht="13.5" customHeight="1">
      <c r="Q493" s="5"/>
      <c r="R493" s="11"/>
    </row>
    <row r="494" spans="17:18" ht="13.5" customHeight="1">
      <c r="Q494" s="5"/>
      <c r="R494" s="11"/>
    </row>
    <row r="495" spans="17:18" ht="13.5" customHeight="1">
      <c r="Q495" s="5"/>
      <c r="R495" s="11"/>
    </row>
    <row r="496" spans="17:18" ht="13.5" customHeight="1">
      <c r="Q496" s="5"/>
      <c r="R496" s="11"/>
    </row>
    <row r="497" spans="17:18" ht="13.5" customHeight="1">
      <c r="Q497" s="5"/>
      <c r="R497" s="11"/>
    </row>
    <row r="498" spans="17:18" ht="13.5" customHeight="1">
      <c r="Q498" s="5"/>
      <c r="R498" s="11"/>
    </row>
    <row r="499" spans="17:18" ht="13.5" customHeight="1">
      <c r="Q499" s="5"/>
      <c r="R499" s="11"/>
    </row>
    <row r="500" spans="17:18" ht="13.5" customHeight="1">
      <c r="Q500" s="5"/>
      <c r="R500" s="11"/>
    </row>
    <row r="501" spans="17:18" ht="13.5" customHeight="1">
      <c r="Q501" s="5"/>
      <c r="R501" s="11"/>
    </row>
    <row r="502" spans="17:18" ht="13.5" customHeight="1">
      <c r="Q502" s="5"/>
      <c r="R502" s="11"/>
    </row>
    <row r="503" spans="17:18" ht="13.5" customHeight="1">
      <c r="Q503" s="5"/>
      <c r="R503" s="11"/>
    </row>
    <row r="504" spans="17:18" ht="13.5" customHeight="1">
      <c r="Q504" s="5"/>
      <c r="R504" s="11"/>
    </row>
    <row r="505" spans="17:18" ht="13.5" customHeight="1">
      <c r="Q505" s="5"/>
      <c r="R505" s="11"/>
    </row>
    <row r="506" spans="17:18" ht="13.5" customHeight="1">
      <c r="Q506" s="5"/>
      <c r="R506" s="11"/>
    </row>
    <row r="507" spans="17:18" ht="13.5" customHeight="1">
      <c r="Q507" s="5"/>
      <c r="R507" s="11"/>
    </row>
    <row r="508" spans="17:18" ht="13.5" customHeight="1">
      <c r="Q508" s="5"/>
      <c r="R508" s="11"/>
    </row>
    <row r="509" spans="17:18" ht="13.5" customHeight="1">
      <c r="Q509" s="5"/>
      <c r="R509" s="11"/>
    </row>
    <row r="510" spans="17:18" ht="13.5" customHeight="1">
      <c r="Q510" s="5"/>
      <c r="R510" s="11"/>
    </row>
    <row r="511" spans="17:18" ht="13.5" customHeight="1">
      <c r="Q511" s="5"/>
      <c r="R511" s="11"/>
    </row>
    <row r="512" spans="17:18" ht="13.5" customHeight="1">
      <c r="Q512" s="5"/>
      <c r="R512" s="11"/>
    </row>
    <row r="513" spans="17:18" ht="13.5" customHeight="1">
      <c r="Q513" s="5"/>
      <c r="R513" s="11"/>
    </row>
    <row r="514" spans="17:18" ht="13.5" customHeight="1">
      <c r="Q514" s="5"/>
      <c r="R514" s="11"/>
    </row>
    <row r="515" spans="17:18" ht="13.5" customHeight="1">
      <c r="Q515" s="5"/>
      <c r="R515" s="11"/>
    </row>
    <row r="516" spans="17:18" ht="13.5" customHeight="1">
      <c r="Q516" s="5"/>
      <c r="R516" s="11"/>
    </row>
    <row r="517" spans="17:18" ht="13.5" customHeight="1">
      <c r="Q517" s="5"/>
      <c r="R517" s="11"/>
    </row>
    <row r="518" spans="17:18" ht="13.5" customHeight="1">
      <c r="Q518" s="5"/>
      <c r="R518" s="11"/>
    </row>
    <row r="519" spans="17:18" ht="13.5" customHeight="1">
      <c r="Q519" s="5"/>
      <c r="R519" s="11"/>
    </row>
    <row r="520" spans="17:18" ht="13.5" customHeight="1">
      <c r="Q520" s="5"/>
      <c r="R520" s="11"/>
    </row>
    <row r="521" spans="17:18" ht="13.5" customHeight="1">
      <c r="Q521" s="5"/>
      <c r="R521" s="11"/>
    </row>
    <row r="522" spans="17:18" ht="13.5" customHeight="1">
      <c r="Q522" s="5"/>
      <c r="R522" s="11"/>
    </row>
    <row r="523" spans="17:18" ht="13.5" customHeight="1">
      <c r="Q523" s="5"/>
      <c r="R523" s="11"/>
    </row>
    <row r="524" spans="17:18" ht="13.5" customHeight="1">
      <c r="Q524" s="5"/>
      <c r="R524" s="11"/>
    </row>
    <row r="525" spans="17:18" ht="13.5" customHeight="1">
      <c r="Q525" s="5"/>
      <c r="R525" s="11"/>
    </row>
    <row r="526" spans="17:18" ht="13.5" customHeight="1">
      <c r="Q526" s="5"/>
      <c r="R526" s="11"/>
    </row>
    <row r="527" spans="17:18" ht="13.5" customHeight="1">
      <c r="Q527" s="5"/>
      <c r="R527" s="11"/>
    </row>
    <row r="528" spans="17:18" ht="13.5" customHeight="1">
      <c r="Q528" s="5"/>
      <c r="R528" s="11"/>
    </row>
    <row r="529" spans="17:18" ht="13.5" customHeight="1">
      <c r="Q529" s="5"/>
      <c r="R529" s="11"/>
    </row>
    <row r="530" spans="17:18" ht="13.5" customHeight="1">
      <c r="Q530" s="5"/>
      <c r="R530" s="11"/>
    </row>
    <row r="531" spans="17:18" ht="13.5" customHeight="1">
      <c r="Q531" s="5"/>
      <c r="R531" s="11"/>
    </row>
    <row r="532" spans="17:18" ht="13.5" customHeight="1">
      <c r="Q532" s="5"/>
      <c r="R532" s="11"/>
    </row>
    <row r="533" spans="17:18" ht="13.5" customHeight="1">
      <c r="Q533" s="5"/>
      <c r="R533" s="11"/>
    </row>
    <row r="534" spans="17:18" ht="13.5" customHeight="1">
      <c r="Q534" s="5"/>
      <c r="R534" s="11"/>
    </row>
    <row r="535" spans="17:18" ht="13.5" customHeight="1">
      <c r="Q535" s="5"/>
      <c r="R535" s="11"/>
    </row>
    <row r="536" spans="17:18" ht="13.5" customHeight="1">
      <c r="Q536" s="5"/>
      <c r="R536" s="11"/>
    </row>
    <row r="537" spans="17:18" ht="13.5" customHeight="1">
      <c r="Q537" s="5"/>
      <c r="R537" s="11"/>
    </row>
    <row r="538" spans="17:18" ht="13.5" customHeight="1">
      <c r="Q538" s="5"/>
      <c r="R538" s="11"/>
    </row>
    <row r="539" spans="17:18" ht="13.5" customHeight="1">
      <c r="Q539" s="5"/>
      <c r="R539" s="11"/>
    </row>
    <row r="540" spans="17:18" ht="13.5" customHeight="1">
      <c r="Q540" s="5"/>
      <c r="R540" s="11"/>
    </row>
    <row r="541" spans="17:18" ht="13.5" customHeight="1">
      <c r="Q541" s="5"/>
      <c r="R541" s="11"/>
    </row>
    <row r="542" spans="17:18" ht="13.5" customHeight="1">
      <c r="Q542" s="5"/>
      <c r="R542" s="11"/>
    </row>
    <row r="543" spans="17:18" ht="13.5" customHeight="1">
      <c r="Q543" s="5"/>
      <c r="R543" s="11"/>
    </row>
    <row r="544" spans="17:18" ht="13.5" customHeight="1">
      <c r="Q544" s="5"/>
      <c r="R544" s="11"/>
    </row>
    <row r="545" spans="17:18" ht="13.5" customHeight="1">
      <c r="Q545" s="5"/>
      <c r="R545" s="11"/>
    </row>
    <row r="546" spans="17:18" ht="13.5" customHeight="1">
      <c r="Q546" s="5"/>
      <c r="R546" s="11"/>
    </row>
    <row r="547" spans="17:18" ht="13.5" customHeight="1">
      <c r="Q547" s="5"/>
      <c r="R547" s="11"/>
    </row>
    <row r="548" spans="17:18" ht="13.5" customHeight="1">
      <c r="Q548" s="5"/>
      <c r="R548" s="11"/>
    </row>
    <row r="549" spans="17:18" ht="13.5" customHeight="1">
      <c r="Q549" s="5"/>
      <c r="R549" s="11"/>
    </row>
    <row r="550" spans="17:18" ht="13.5" customHeight="1">
      <c r="Q550" s="5"/>
      <c r="R550" s="11"/>
    </row>
    <row r="551" spans="17:18" ht="13.5" customHeight="1">
      <c r="Q551" s="5"/>
      <c r="R551" s="11"/>
    </row>
    <row r="552" spans="17:18" ht="13.5" customHeight="1">
      <c r="Q552" s="5"/>
      <c r="R552" s="11"/>
    </row>
    <row r="553" spans="17:18" ht="13.5" customHeight="1">
      <c r="Q553" s="5"/>
      <c r="R553" s="11"/>
    </row>
    <row r="554" spans="17:18" ht="13.5" customHeight="1">
      <c r="Q554" s="5"/>
      <c r="R554" s="11"/>
    </row>
    <row r="555" spans="17:18" ht="13.5" customHeight="1">
      <c r="Q555" s="5"/>
      <c r="R555" s="11"/>
    </row>
    <row r="556" spans="17:18" ht="13.5" customHeight="1">
      <c r="Q556" s="5"/>
      <c r="R556" s="11"/>
    </row>
    <row r="557" spans="17:18" ht="13.5" customHeight="1">
      <c r="Q557" s="5"/>
      <c r="R557" s="11"/>
    </row>
    <row r="558" spans="17:18" ht="13.5" customHeight="1">
      <c r="Q558" s="5"/>
      <c r="R558" s="11"/>
    </row>
    <row r="559" spans="17:18" ht="13.5" customHeight="1">
      <c r="Q559" s="5"/>
      <c r="R559" s="11"/>
    </row>
    <row r="560" spans="17:18" ht="13.5" customHeight="1">
      <c r="Q560" s="5"/>
      <c r="R560" s="11"/>
    </row>
    <row r="561" spans="17:18" ht="13.5" customHeight="1">
      <c r="Q561" s="5"/>
      <c r="R561" s="11"/>
    </row>
    <row r="562" spans="17:18" ht="13.5" customHeight="1">
      <c r="Q562" s="5"/>
      <c r="R562" s="11"/>
    </row>
    <row r="563" spans="17:18" ht="13.5" customHeight="1">
      <c r="Q563" s="5"/>
      <c r="R563" s="11"/>
    </row>
    <row r="564" spans="17:18" ht="13.5" customHeight="1">
      <c r="Q564" s="5"/>
      <c r="R564" s="11"/>
    </row>
    <row r="565" spans="17:18" ht="13.5" customHeight="1">
      <c r="Q565" s="5"/>
      <c r="R565" s="11"/>
    </row>
    <row r="566" spans="17:18" ht="13.5" customHeight="1">
      <c r="Q566" s="5"/>
      <c r="R566" s="11"/>
    </row>
    <row r="567" spans="17:18" ht="13.5" customHeight="1">
      <c r="Q567" s="5"/>
      <c r="R567" s="11"/>
    </row>
    <row r="568" spans="17:18" ht="13.5" customHeight="1">
      <c r="Q568" s="5"/>
      <c r="R568" s="11"/>
    </row>
    <row r="569" spans="17:18" ht="13.5" customHeight="1">
      <c r="Q569" s="5"/>
      <c r="R569" s="11"/>
    </row>
    <row r="570" spans="17:18" ht="13.5" customHeight="1">
      <c r="Q570" s="5"/>
      <c r="R570" s="11"/>
    </row>
    <row r="571" spans="17:18" ht="13.5" customHeight="1">
      <c r="Q571" s="5"/>
      <c r="R571" s="11"/>
    </row>
    <row r="572" spans="17:18" ht="13.5" customHeight="1">
      <c r="Q572" s="5"/>
      <c r="R572" s="11"/>
    </row>
    <row r="573" spans="17:18" ht="13.5" customHeight="1">
      <c r="Q573" s="5"/>
      <c r="R573" s="11"/>
    </row>
    <row r="574" spans="17:18" ht="13.5" customHeight="1">
      <c r="Q574" s="5"/>
      <c r="R574" s="11"/>
    </row>
    <row r="575" spans="17:18" ht="13.5" customHeight="1">
      <c r="Q575" s="5"/>
      <c r="R575" s="11"/>
    </row>
    <row r="576" spans="17:18" ht="13.5" customHeight="1">
      <c r="Q576" s="5"/>
      <c r="R576" s="11"/>
    </row>
    <row r="577" spans="17:18" ht="13.5" customHeight="1">
      <c r="Q577" s="5"/>
      <c r="R577" s="11"/>
    </row>
    <row r="578" spans="17:18" ht="13.5" customHeight="1">
      <c r="Q578" s="5"/>
      <c r="R578" s="11"/>
    </row>
    <row r="579" spans="17:18" ht="13.5" customHeight="1">
      <c r="Q579" s="5"/>
      <c r="R579" s="11"/>
    </row>
    <row r="580" spans="17:18" ht="13.5" customHeight="1">
      <c r="Q580" s="5"/>
      <c r="R580" s="11"/>
    </row>
    <row r="581" spans="17:18" ht="13.5" customHeight="1">
      <c r="Q581" s="5"/>
      <c r="R581" s="11"/>
    </row>
    <row r="582" spans="17:18" ht="13.5" customHeight="1">
      <c r="Q582" s="5"/>
      <c r="R582" s="11"/>
    </row>
    <row r="583" spans="17:18" ht="13.5" customHeight="1">
      <c r="Q583" s="5"/>
      <c r="R583" s="11"/>
    </row>
    <row r="584" spans="17:18" ht="13.5" customHeight="1">
      <c r="Q584" s="5"/>
      <c r="R584" s="11"/>
    </row>
    <row r="585" spans="17:18" ht="13.5" customHeight="1">
      <c r="Q585" s="5"/>
      <c r="R585" s="11"/>
    </row>
    <row r="586" spans="17:18" ht="13.5" customHeight="1">
      <c r="Q586" s="5"/>
      <c r="R586" s="11"/>
    </row>
    <row r="587" spans="17:18" ht="13.5" customHeight="1">
      <c r="Q587" s="5"/>
      <c r="R587" s="11"/>
    </row>
    <row r="588" spans="17:18" ht="13.5" customHeight="1">
      <c r="Q588" s="5"/>
      <c r="R588" s="11"/>
    </row>
    <row r="589" spans="17:18" ht="13.5" customHeight="1">
      <c r="Q589" s="5"/>
      <c r="R589" s="11"/>
    </row>
    <row r="590" spans="17:18" ht="13.5" customHeight="1">
      <c r="Q590" s="5"/>
      <c r="R590" s="11"/>
    </row>
    <row r="591" spans="17:18" ht="13.5" customHeight="1">
      <c r="Q591" s="5"/>
      <c r="R591" s="11"/>
    </row>
    <row r="592" spans="17:18" ht="13.5" customHeight="1">
      <c r="Q592" s="5"/>
      <c r="R592" s="11"/>
    </row>
    <row r="593" spans="17:18" ht="13.5" customHeight="1">
      <c r="Q593" s="5"/>
      <c r="R593" s="11"/>
    </row>
    <row r="594" spans="17:18" ht="13.5" customHeight="1">
      <c r="Q594" s="5"/>
      <c r="R594" s="11"/>
    </row>
    <row r="595" spans="17:18" ht="13.5" customHeight="1">
      <c r="Q595" s="5"/>
      <c r="R595" s="11"/>
    </row>
    <row r="596" spans="17:18" ht="13.5" customHeight="1">
      <c r="Q596" s="5"/>
      <c r="R596" s="11"/>
    </row>
    <row r="597" spans="17:18" ht="13.5" customHeight="1">
      <c r="Q597" s="5"/>
      <c r="R597" s="11"/>
    </row>
    <row r="598" spans="17:18" ht="13.5" customHeight="1">
      <c r="Q598" s="5"/>
      <c r="R598" s="11"/>
    </row>
    <row r="599" spans="17:18" ht="13.5" customHeight="1">
      <c r="Q599" s="5"/>
      <c r="R599" s="11"/>
    </row>
    <row r="600" spans="17:18" ht="13.5" customHeight="1">
      <c r="Q600" s="5"/>
      <c r="R600" s="11"/>
    </row>
    <row r="601" spans="17:18" ht="13.5" customHeight="1">
      <c r="Q601" s="5"/>
      <c r="R601" s="11"/>
    </row>
    <row r="602" spans="17:18" ht="13.5" customHeight="1">
      <c r="Q602" s="5"/>
      <c r="R602" s="11"/>
    </row>
    <row r="603" spans="17:18" ht="13.5" customHeight="1">
      <c r="Q603" s="5"/>
      <c r="R603" s="11"/>
    </row>
    <row r="604" spans="17:18" ht="13.5" customHeight="1">
      <c r="Q604" s="5"/>
      <c r="R604" s="11"/>
    </row>
    <row r="605" spans="17:18" ht="13.5" customHeight="1">
      <c r="Q605" s="5"/>
      <c r="R605" s="11"/>
    </row>
    <row r="606" spans="17:18" ht="13.5" customHeight="1">
      <c r="Q606" s="5"/>
      <c r="R606" s="11"/>
    </row>
    <row r="607" spans="17:18" ht="13.5" customHeight="1">
      <c r="Q607" s="5"/>
      <c r="R607" s="11"/>
    </row>
    <row r="608" spans="17:18" ht="13.5" customHeight="1">
      <c r="Q608" s="5"/>
      <c r="R608" s="11"/>
    </row>
    <row r="609" spans="17:18" ht="13.5" customHeight="1">
      <c r="Q609" s="5"/>
      <c r="R609" s="11"/>
    </row>
    <row r="610" spans="17:18" ht="13.5" customHeight="1">
      <c r="Q610" s="5"/>
      <c r="R610" s="11"/>
    </row>
    <row r="611" spans="17:18" ht="13.5" customHeight="1">
      <c r="Q611" s="5"/>
      <c r="R611" s="11"/>
    </row>
    <row r="612" spans="17:18" ht="13.5" customHeight="1">
      <c r="Q612" s="5"/>
      <c r="R612" s="11"/>
    </row>
    <row r="613" spans="17:18" ht="13.5" customHeight="1">
      <c r="Q613" s="5"/>
      <c r="R613" s="11"/>
    </row>
    <row r="614" spans="17:18" ht="13.5" customHeight="1">
      <c r="Q614" s="5"/>
      <c r="R614" s="11"/>
    </row>
    <row r="615" spans="17:18" ht="13.5" customHeight="1">
      <c r="Q615" s="5"/>
      <c r="R615" s="11"/>
    </row>
    <row r="616" spans="17:18" ht="13.5" customHeight="1">
      <c r="Q616" s="5"/>
      <c r="R616" s="11"/>
    </row>
    <row r="617" spans="17:18" ht="13.5" customHeight="1">
      <c r="Q617" s="5"/>
      <c r="R617" s="11"/>
    </row>
    <row r="618" spans="17:18" ht="13.5" customHeight="1">
      <c r="Q618" s="5"/>
      <c r="R618" s="11"/>
    </row>
    <row r="619" spans="17:18" ht="13.5" customHeight="1">
      <c r="Q619" s="5"/>
      <c r="R619" s="11"/>
    </row>
    <row r="620" spans="17:18" ht="13.5" customHeight="1">
      <c r="Q620" s="5"/>
      <c r="R620" s="11"/>
    </row>
    <row r="621" spans="17:18" ht="13.5" customHeight="1">
      <c r="Q621" s="5"/>
      <c r="R621" s="11"/>
    </row>
    <row r="622" spans="17:18" ht="13.5" customHeight="1">
      <c r="Q622" s="5"/>
      <c r="R622" s="11"/>
    </row>
    <row r="623" spans="17:18" ht="13.5" customHeight="1">
      <c r="Q623" s="5"/>
      <c r="R623" s="11"/>
    </row>
    <row r="624" spans="17:18" ht="13.5" customHeight="1">
      <c r="Q624" s="5"/>
      <c r="R624" s="11"/>
    </row>
    <row r="625" spans="17:18" ht="13.5" customHeight="1">
      <c r="Q625" s="5"/>
      <c r="R625" s="11"/>
    </row>
    <row r="626" spans="17:18" ht="13.5" customHeight="1">
      <c r="Q626" s="5"/>
      <c r="R626" s="11"/>
    </row>
    <row r="627" spans="17:18" ht="13.5" customHeight="1">
      <c r="Q627" s="5"/>
      <c r="R627" s="11"/>
    </row>
    <row r="628" spans="17:18" ht="13.5" customHeight="1">
      <c r="Q628" s="5"/>
      <c r="R628" s="11"/>
    </row>
    <row r="629" spans="17:18" ht="13.5" customHeight="1">
      <c r="Q629" s="5"/>
      <c r="R629" s="11"/>
    </row>
    <row r="630" spans="17:18" ht="13.5" customHeight="1">
      <c r="Q630" s="5"/>
      <c r="R630" s="11"/>
    </row>
    <row r="631" spans="17:18" ht="13.5" customHeight="1">
      <c r="Q631" s="5"/>
      <c r="R631" s="11"/>
    </row>
    <row r="632" spans="17:18" ht="13.5" customHeight="1">
      <c r="Q632" s="5"/>
      <c r="R632" s="11"/>
    </row>
    <row r="633" spans="17:18" ht="13.5" customHeight="1">
      <c r="Q633" s="5"/>
      <c r="R633" s="11"/>
    </row>
    <row r="634" spans="17:18" ht="13.5" customHeight="1">
      <c r="Q634" s="5"/>
      <c r="R634" s="11"/>
    </row>
    <row r="635" spans="17:18" ht="13.5" customHeight="1">
      <c r="Q635" s="5"/>
      <c r="R635" s="11"/>
    </row>
    <row r="636" spans="17:18" ht="13.5" customHeight="1">
      <c r="Q636" s="5"/>
      <c r="R636" s="11"/>
    </row>
    <row r="637" spans="17:18" ht="13.5" customHeight="1">
      <c r="Q637" s="5"/>
      <c r="R637" s="11"/>
    </row>
    <row r="638" spans="17:18" ht="13.5" customHeight="1">
      <c r="Q638" s="5"/>
      <c r="R638" s="11"/>
    </row>
    <row r="639" spans="17:18" ht="13.5" customHeight="1">
      <c r="Q639" s="5"/>
      <c r="R639" s="11"/>
    </row>
    <row r="640" spans="17:18" ht="13.5" customHeight="1">
      <c r="Q640" s="5"/>
      <c r="R640" s="11"/>
    </row>
    <row r="641" spans="17:18" ht="13.5" customHeight="1">
      <c r="Q641" s="5"/>
      <c r="R641" s="11"/>
    </row>
    <row r="642" spans="17:18" ht="13.5" customHeight="1">
      <c r="Q642" s="5"/>
      <c r="R642" s="11"/>
    </row>
    <row r="643" spans="17:18" ht="13.5" customHeight="1">
      <c r="Q643" s="5"/>
      <c r="R643" s="11"/>
    </row>
    <row r="644" spans="17:18" ht="13.5" customHeight="1">
      <c r="Q644" s="5"/>
      <c r="R644" s="11"/>
    </row>
    <row r="645" spans="17:18" ht="13.5" customHeight="1">
      <c r="Q645" s="5"/>
      <c r="R645" s="11"/>
    </row>
    <row r="646" spans="17:18" ht="13.5" customHeight="1">
      <c r="Q646" s="5"/>
      <c r="R646" s="11"/>
    </row>
    <row r="647" spans="17:18" ht="13.5" customHeight="1">
      <c r="Q647" s="5"/>
      <c r="R647" s="11"/>
    </row>
    <row r="648" spans="17:18" ht="13.5" customHeight="1">
      <c r="Q648" s="5"/>
      <c r="R648" s="11"/>
    </row>
    <row r="649" spans="17:18" ht="13.5" customHeight="1">
      <c r="Q649" s="5"/>
      <c r="R649" s="11"/>
    </row>
    <row r="650" spans="17:18" ht="13.5" customHeight="1">
      <c r="Q650" s="5"/>
      <c r="R650" s="11"/>
    </row>
    <row r="651" spans="17:18" ht="13.5" customHeight="1">
      <c r="Q651" s="5"/>
      <c r="R651" s="11"/>
    </row>
    <row r="652" spans="17:18" ht="13.5" customHeight="1">
      <c r="Q652" s="5"/>
      <c r="R652" s="11"/>
    </row>
    <row r="653" spans="17:18" ht="13.5" customHeight="1">
      <c r="Q653" s="5"/>
      <c r="R653" s="11"/>
    </row>
    <row r="654" spans="17:18" ht="13.5" customHeight="1">
      <c r="Q654" s="5"/>
      <c r="R654" s="11"/>
    </row>
    <row r="655" spans="17:18" ht="13.5" customHeight="1">
      <c r="Q655" s="5"/>
      <c r="R655" s="11"/>
    </row>
    <row r="656" spans="17:18" ht="13.5" customHeight="1">
      <c r="Q656" s="5"/>
      <c r="R656" s="11"/>
    </row>
    <row r="657" spans="17:18" ht="13.5" customHeight="1">
      <c r="Q657" s="5"/>
      <c r="R657" s="11"/>
    </row>
    <row r="658" spans="17:18" ht="13.5" customHeight="1">
      <c r="Q658" s="5"/>
      <c r="R658" s="11"/>
    </row>
    <row r="659" spans="17:18" ht="13.5" customHeight="1">
      <c r="Q659" s="5"/>
      <c r="R659" s="11"/>
    </row>
    <row r="660" spans="17:18" ht="13.5" customHeight="1">
      <c r="Q660" s="5"/>
      <c r="R660" s="11"/>
    </row>
    <row r="661" spans="17:18" ht="13.5" customHeight="1">
      <c r="Q661" s="5"/>
      <c r="R661" s="11"/>
    </row>
    <row r="662" spans="17:18" ht="13.5" customHeight="1">
      <c r="Q662" s="5"/>
      <c r="R662" s="11"/>
    </row>
    <row r="663" spans="17:18" ht="13.5" customHeight="1">
      <c r="Q663" s="5"/>
      <c r="R663" s="11"/>
    </row>
    <row r="664" spans="17:18" ht="13.5" customHeight="1">
      <c r="Q664" s="5"/>
      <c r="R664" s="11"/>
    </row>
    <row r="665" spans="17:18" ht="13.5" customHeight="1">
      <c r="Q665" s="5"/>
      <c r="R665" s="11"/>
    </row>
    <row r="666" spans="17:18" ht="13.5" customHeight="1">
      <c r="Q666" s="5"/>
      <c r="R666" s="11"/>
    </row>
    <row r="667" spans="17:18" ht="13.5" customHeight="1">
      <c r="Q667" s="5"/>
      <c r="R667" s="11"/>
    </row>
    <row r="668" spans="17:18" ht="13.5" customHeight="1">
      <c r="Q668" s="5"/>
      <c r="R668" s="11"/>
    </row>
    <row r="669" spans="17:18" ht="13.5" customHeight="1">
      <c r="Q669" s="5"/>
      <c r="R669" s="11"/>
    </row>
    <row r="670" spans="17:18" ht="13.5" customHeight="1">
      <c r="Q670" s="5"/>
      <c r="R670" s="11"/>
    </row>
    <row r="671" spans="17:18" ht="13.5" customHeight="1">
      <c r="Q671" s="5"/>
      <c r="R671" s="11"/>
    </row>
    <row r="672" spans="17:18" ht="13.5" customHeight="1">
      <c r="Q672" s="5"/>
      <c r="R672" s="11"/>
    </row>
    <row r="673" spans="17:18" ht="13.5" customHeight="1">
      <c r="Q673" s="5"/>
      <c r="R673" s="11"/>
    </row>
    <row r="674" spans="17:18" ht="13.5" customHeight="1">
      <c r="Q674" s="5"/>
      <c r="R674" s="11"/>
    </row>
    <row r="675" spans="17:18" ht="13.5" customHeight="1">
      <c r="Q675" s="5"/>
      <c r="R675" s="11"/>
    </row>
    <row r="676" spans="17:18" ht="13.5" customHeight="1">
      <c r="Q676" s="5"/>
      <c r="R676" s="11"/>
    </row>
    <row r="677" spans="17:18" ht="13.5" customHeight="1">
      <c r="Q677" s="5"/>
      <c r="R677" s="11"/>
    </row>
    <row r="678" spans="17:18" ht="13.5" customHeight="1">
      <c r="Q678" s="5"/>
      <c r="R678" s="11"/>
    </row>
    <row r="679" spans="17:18" ht="13.5" customHeight="1">
      <c r="Q679" s="5"/>
      <c r="R679" s="11"/>
    </row>
    <row r="680" spans="17:18" ht="13.5" customHeight="1">
      <c r="Q680" s="5"/>
      <c r="R680" s="11"/>
    </row>
    <row r="681" spans="17:18" ht="13.5" customHeight="1">
      <c r="Q681" s="5"/>
      <c r="R681" s="11"/>
    </row>
    <row r="682" spans="17:18" ht="13.5" customHeight="1">
      <c r="Q682" s="5"/>
      <c r="R682" s="11"/>
    </row>
    <row r="683" spans="17:18" ht="13.5" customHeight="1">
      <c r="Q683" s="5"/>
      <c r="R683" s="11"/>
    </row>
    <row r="684" spans="17:18" ht="13.5" customHeight="1">
      <c r="Q684" s="5"/>
      <c r="R684" s="11"/>
    </row>
    <row r="685" spans="17:18" ht="13.5" customHeight="1">
      <c r="Q685" s="5"/>
      <c r="R685" s="11"/>
    </row>
    <row r="686" spans="17:18" ht="13.5" customHeight="1">
      <c r="Q686" s="5"/>
      <c r="R686" s="11"/>
    </row>
    <row r="687" spans="17:18" ht="13.5" customHeight="1">
      <c r="Q687" s="5"/>
      <c r="R687" s="11"/>
    </row>
    <row r="688" spans="17:18" ht="13.5" customHeight="1">
      <c r="Q688" s="5"/>
      <c r="R688" s="11"/>
    </row>
    <row r="689" spans="17:18" ht="13.5" customHeight="1">
      <c r="Q689" s="5"/>
      <c r="R689" s="11"/>
    </row>
    <row r="690" spans="17:18" ht="13.5" customHeight="1">
      <c r="Q690" s="5"/>
      <c r="R690" s="11"/>
    </row>
    <row r="691" spans="17:18" ht="13.5" customHeight="1">
      <c r="Q691" s="5"/>
      <c r="R691" s="11"/>
    </row>
    <row r="692" spans="17:18" ht="13.5" customHeight="1">
      <c r="Q692" s="5"/>
      <c r="R692" s="11"/>
    </row>
    <row r="693" spans="17:18" ht="13.5" customHeight="1">
      <c r="Q693" s="5"/>
      <c r="R693" s="11"/>
    </row>
    <row r="694" spans="17:18" ht="13.5" customHeight="1">
      <c r="Q694" s="5"/>
      <c r="R694" s="11"/>
    </row>
    <row r="695" spans="17:18" ht="13.5" customHeight="1">
      <c r="Q695" s="5"/>
      <c r="R695" s="11"/>
    </row>
    <row r="696" spans="17:18" ht="13.5" customHeight="1">
      <c r="Q696" s="5"/>
      <c r="R696" s="11"/>
    </row>
    <row r="697" spans="17:18" ht="13.5" customHeight="1">
      <c r="Q697" s="5"/>
      <c r="R697" s="11"/>
    </row>
    <row r="698" spans="17:18" ht="13.5" customHeight="1">
      <c r="Q698" s="5"/>
      <c r="R698" s="11"/>
    </row>
    <row r="699" spans="17:18" ht="13.5" customHeight="1">
      <c r="Q699" s="5"/>
      <c r="R699" s="11"/>
    </row>
    <row r="700" spans="17:18" ht="13.5" customHeight="1">
      <c r="Q700" s="5"/>
      <c r="R700" s="11"/>
    </row>
    <row r="701" spans="17:18" ht="13.5" customHeight="1">
      <c r="Q701" s="5"/>
      <c r="R701" s="11"/>
    </row>
    <row r="702" spans="17:18" ht="13.5" customHeight="1">
      <c r="Q702" s="5"/>
      <c r="R702" s="11"/>
    </row>
    <row r="703" spans="17:18" ht="13.5" customHeight="1">
      <c r="Q703" s="5"/>
      <c r="R703" s="11"/>
    </row>
    <row r="704" spans="17:18" ht="13.5" customHeight="1">
      <c r="Q704" s="5"/>
      <c r="R704" s="11"/>
    </row>
    <row r="705" spans="17:18" ht="13.5" customHeight="1">
      <c r="Q705" s="5"/>
      <c r="R705" s="11"/>
    </row>
    <row r="706" spans="17:18" ht="13.5" customHeight="1">
      <c r="Q706" s="5"/>
      <c r="R706" s="11"/>
    </row>
    <row r="707" spans="17:18" ht="13.5" customHeight="1">
      <c r="Q707" s="5"/>
      <c r="R707" s="11"/>
    </row>
    <row r="708" spans="17:18" ht="13.5" customHeight="1">
      <c r="Q708" s="5"/>
      <c r="R708" s="11"/>
    </row>
    <row r="709" spans="17:18" ht="13.5" customHeight="1">
      <c r="Q709" s="5"/>
      <c r="R709" s="11"/>
    </row>
    <row r="710" spans="17:18" ht="13.5" customHeight="1">
      <c r="Q710" s="5"/>
      <c r="R710" s="11"/>
    </row>
    <row r="711" spans="17:18" ht="13.5" customHeight="1">
      <c r="Q711" s="5"/>
      <c r="R711" s="11"/>
    </row>
    <row r="712" spans="17:18" ht="13.5" customHeight="1">
      <c r="Q712" s="5"/>
      <c r="R712" s="11"/>
    </row>
    <row r="713" spans="17:18" ht="13.5" customHeight="1">
      <c r="Q713" s="5"/>
      <c r="R713" s="11"/>
    </row>
    <row r="714" spans="17:18" ht="13.5" customHeight="1">
      <c r="Q714" s="5"/>
      <c r="R714" s="11"/>
    </row>
    <row r="715" spans="17:18" ht="13.5" customHeight="1">
      <c r="Q715" s="5"/>
      <c r="R715" s="11"/>
    </row>
    <row r="716" spans="17:18" ht="13.5" customHeight="1">
      <c r="Q716" s="5"/>
      <c r="R716" s="11"/>
    </row>
    <row r="717" spans="17:18" ht="13.5" customHeight="1">
      <c r="Q717" s="5"/>
      <c r="R717" s="11"/>
    </row>
    <row r="718" spans="17:18" ht="13.5" customHeight="1">
      <c r="Q718" s="5"/>
      <c r="R718" s="11"/>
    </row>
    <row r="719" spans="17:18" ht="13.5" customHeight="1">
      <c r="Q719" s="5"/>
      <c r="R719" s="11"/>
    </row>
    <row r="720" spans="17:18" ht="13.5" customHeight="1">
      <c r="Q720" s="5"/>
      <c r="R720" s="11"/>
    </row>
    <row r="721" spans="17:18" ht="13.5" customHeight="1">
      <c r="Q721" s="5"/>
      <c r="R721" s="11"/>
    </row>
    <row r="722" spans="17:18" ht="13.5" customHeight="1">
      <c r="Q722" s="5"/>
      <c r="R722" s="11"/>
    </row>
    <row r="723" spans="17:18" ht="13.5" customHeight="1">
      <c r="Q723" s="5"/>
      <c r="R723" s="11"/>
    </row>
    <row r="724" spans="17:18" ht="13.5" customHeight="1">
      <c r="Q724" s="5"/>
      <c r="R724" s="11"/>
    </row>
    <row r="725" spans="17:18" ht="13.5" customHeight="1">
      <c r="Q725" s="5"/>
      <c r="R725" s="11"/>
    </row>
    <row r="726" spans="17:18" ht="13.5" customHeight="1">
      <c r="Q726" s="5"/>
      <c r="R726" s="11"/>
    </row>
    <row r="727" spans="17:18" ht="13.5" customHeight="1">
      <c r="Q727" s="5"/>
      <c r="R727" s="11"/>
    </row>
    <row r="728" spans="17:18" ht="13.5" customHeight="1">
      <c r="Q728" s="5"/>
      <c r="R728" s="11"/>
    </row>
    <row r="729" spans="17:18" ht="13.5" customHeight="1">
      <c r="Q729" s="5"/>
      <c r="R729" s="11"/>
    </row>
    <row r="730" spans="17:18" ht="13.5" customHeight="1">
      <c r="Q730" s="5"/>
      <c r="R730" s="11"/>
    </row>
    <row r="731" spans="17:18" ht="13.5" customHeight="1">
      <c r="Q731" s="5"/>
      <c r="R731" s="11"/>
    </row>
    <row r="732" spans="17:18" ht="13.5" customHeight="1">
      <c r="Q732" s="5"/>
      <c r="R732" s="11"/>
    </row>
    <row r="733" spans="17:18" ht="13.5" customHeight="1">
      <c r="Q733" s="5"/>
      <c r="R733" s="11"/>
    </row>
    <row r="734" spans="17:18" ht="13.5" customHeight="1">
      <c r="Q734" s="5"/>
      <c r="R734" s="11"/>
    </row>
    <row r="735" spans="17:18" ht="13.5" customHeight="1">
      <c r="Q735" s="5"/>
      <c r="R735" s="11"/>
    </row>
    <row r="736" spans="17:18" ht="13.5" customHeight="1">
      <c r="Q736" s="5"/>
      <c r="R736" s="11"/>
    </row>
    <row r="737" spans="17:18" ht="13.5" customHeight="1">
      <c r="Q737" s="5"/>
      <c r="R737" s="11"/>
    </row>
    <row r="738" spans="17:18" ht="13.5" customHeight="1">
      <c r="Q738" s="5"/>
      <c r="R738" s="11"/>
    </row>
    <row r="739" spans="17:18" ht="13.5" customHeight="1">
      <c r="Q739" s="5"/>
      <c r="R739" s="11"/>
    </row>
    <row r="740" spans="17:18" ht="13.5" customHeight="1">
      <c r="Q740" s="5"/>
      <c r="R740" s="11"/>
    </row>
    <row r="741" spans="17:18" ht="13.5" customHeight="1">
      <c r="Q741" s="5"/>
      <c r="R741" s="11"/>
    </row>
    <row r="742" spans="17:18" ht="13.5" customHeight="1">
      <c r="Q742" s="5"/>
      <c r="R742" s="11"/>
    </row>
    <row r="743" spans="17:18" ht="13.5" customHeight="1">
      <c r="Q743" s="5"/>
      <c r="R743" s="11"/>
    </row>
    <row r="744" spans="17:18" ht="13.5" customHeight="1">
      <c r="Q744" s="5"/>
      <c r="R744" s="11"/>
    </row>
    <row r="745" spans="17:18" ht="13.5" customHeight="1">
      <c r="Q745" s="5"/>
      <c r="R745" s="11"/>
    </row>
    <row r="746" spans="17:18" ht="13.5" customHeight="1">
      <c r="Q746" s="5"/>
      <c r="R746" s="11"/>
    </row>
    <row r="747" spans="17:18" ht="13.5" customHeight="1">
      <c r="Q747" s="5"/>
      <c r="R747" s="11"/>
    </row>
    <row r="748" spans="17:18" ht="13.5" customHeight="1">
      <c r="Q748" s="5"/>
      <c r="R748" s="11"/>
    </row>
    <row r="749" spans="17:18" ht="13.5" customHeight="1">
      <c r="Q749" s="5"/>
      <c r="R749" s="11"/>
    </row>
    <row r="750" spans="17:18" ht="13.5" customHeight="1">
      <c r="Q750" s="5"/>
      <c r="R750" s="11"/>
    </row>
    <row r="751" spans="17:18" ht="13.5" customHeight="1">
      <c r="Q751" s="5"/>
      <c r="R751" s="11"/>
    </row>
    <row r="752" spans="17:18" ht="13.5" customHeight="1">
      <c r="Q752" s="5"/>
      <c r="R752" s="11"/>
    </row>
    <row r="753" spans="17:18" ht="13.5" customHeight="1">
      <c r="Q753" s="5"/>
      <c r="R753" s="11"/>
    </row>
    <row r="754" spans="17:18" ht="13.5" customHeight="1">
      <c r="Q754" s="5"/>
      <c r="R754" s="11"/>
    </row>
    <row r="755" spans="17:18" ht="13.5" customHeight="1">
      <c r="Q755" s="5"/>
      <c r="R755" s="11"/>
    </row>
    <row r="756" spans="17:18" ht="13.5" customHeight="1">
      <c r="Q756" s="5"/>
      <c r="R756" s="11"/>
    </row>
    <row r="757" spans="17:18" ht="13.5" customHeight="1">
      <c r="Q757" s="5"/>
      <c r="R757" s="11"/>
    </row>
    <row r="758" spans="17:18" ht="13.5" customHeight="1">
      <c r="Q758" s="5"/>
      <c r="R758" s="11"/>
    </row>
    <row r="759" spans="17:18" ht="13.5" customHeight="1">
      <c r="Q759" s="5"/>
      <c r="R759" s="11"/>
    </row>
    <row r="760" spans="17:18" ht="13.5" customHeight="1">
      <c r="Q760" s="5"/>
      <c r="R760" s="11"/>
    </row>
    <row r="761" spans="17:18" ht="13.5" customHeight="1">
      <c r="Q761" s="5"/>
      <c r="R761" s="11"/>
    </row>
    <row r="762" spans="17:18" ht="13.5" customHeight="1">
      <c r="Q762" s="5"/>
      <c r="R762" s="11"/>
    </row>
    <row r="763" spans="17:18" ht="13.5" customHeight="1">
      <c r="Q763" s="5"/>
      <c r="R763" s="11"/>
    </row>
    <row r="764" spans="17:18" ht="13.5" customHeight="1">
      <c r="Q764" s="5"/>
      <c r="R764" s="11"/>
    </row>
    <row r="765" spans="17:18" ht="13.5" customHeight="1">
      <c r="Q765" s="5"/>
      <c r="R765" s="11"/>
    </row>
    <row r="766" spans="17:18" ht="13.5" customHeight="1">
      <c r="Q766" s="5"/>
      <c r="R766" s="11"/>
    </row>
    <row r="767" spans="17:18" ht="13.5" customHeight="1">
      <c r="Q767" s="5"/>
      <c r="R767" s="11"/>
    </row>
    <row r="768" spans="17:18" ht="13.5" customHeight="1">
      <c r="Q768" s="5"/>
      <c r="R768" s="11"/>
    </row>
    <row r="769" spans="17:18" ht="13.5" customHeight="1">
      <c r="Q769" s="5"/>
      <c r="R769" s="11"/>
    </row>
    <row r="770" spans="17:18" ht="13.5" customHeight="1">
      <c r="Q770" s="5"/>
      <c r="R770" s="11"/>
    </row>
    <row r="771" spans="17:18" ht="13.5" customHeight="1">
      <c r="Q771" s="5"/>
      <c r="R771" s="11"/>
    </row>
    <row r="772" spans="17:18" ht="13.5" customHeight="1">
      <c r="Q772" s="5"/>
      <c r="R772" s="11"/>
    </row>
    <row r="773" spans="17:18" ht="13.5" customHeight="1">
      <c r="Q773" s="5"/>
      <c r="R773" s="11"/>
    </row>
    <row r="774" spans="17:18" ht="13.5" customHeight="1">
      <c r="Q774" s="5"/>
      <c r="R774" s="11"/>
    </row>
    <row r="775" spans="17:18" ht="13.5" customHeight="1">
      <c r="Q775" s="5"/>
      <c r="R775" s="11"/>
    </row>
    <row r="776" spans="17:18" ht="13.5" customHeight="1">
      <c r="Q776" s="5"/>
      <c r="R776" s="11"/>
    </row>
    <row r="777" spans="17:18" ht="13.5" customHeight="1">
      <c r="Q777" s="5"/>
      <c r="R777" s="11"/>
    </row>
    <row r="778" spans="17:18" ht="13.5" customHeight="1">
      <c r="Q778" s="5"/>
      <c r="R778" s="11"/>
    </row>
    <row r="779" spans="17:18" ht="13.5" customHeight="1">
      <c r="Q779" s="5"/>
      <c r="R779" s="11"/>
    </row>
    <row r="780" spans="17:18" ht="13.5" customHeight="1">
      <c r="Q780" s="5"/>
      <c r="R780" s="11"/>
    </row>
    <row r="781" spans="17:18" ht="13.5" customHeight="1">
      <c r="Q781" s="5"/>
      <c r="R781" s="11"/>
    </row>
    <row r="782" spans="17:18" ht="13.5" customHeight="1">
      <c r="Q782" s="5"/>
      <c r="R782" s="11"/>
    </row>
    <row r="783" spans="17:18" ht="13.5" customHeight="1">
      <c r="Q783" s="5"/>
      <c r="R783" s="11"/>
    </row>
    <row r="784" spans="17:18" ht="13.5" customHeight="1">
      <c r="Q784" s="5"/>
      <c r="R784" s="11"/>
    </row>
    <row r="785" spans="17:18" ht="13.5" customHeight="1">
      <c r="Q785" s="5"/>
      <c r="R785" s="11"/>
    </row>
    <row r="786" spans="17:18" ht="13.5" customHeight="1">
      <c r="Q786" s="5"/>
      <c r="R786" s="11"/>
    </row>
    <row r="787" spans="17:18" ht="13.5" customHeight="1">
      <c r="Q787" s="5"/>
      <c r="R787" s="11"/>
    </row>
    <row r="788" spans="17:18" ht="13.5" customHeight="1">
      <c r="Q788" s="5"/>
      <c r="R788" s="11"/>
    </row>
    <row r="789" spans="17:18" ht="13.5" customHeight="1">
      <c r="Q789" s="5"/>
      <c r="R789" s="11"/>
    </row>
    <row r="790" spans="17:18" ht="13.5" customHeight="1">
      <c r="Q790" s="5"/>
      <c r="R790" s="11"/>
    </row>
    <row r="791" spans="17:18" ht="13.5" customHeight="1">
      <c r="Q791" s="5"/>
      <c r="R791" s="11"/>
    </row>
    <row r="792" spans="17:18" ht="13.5" customHeight="1">
      <c r="Q792" s="5"/>
      <c r="R792" s="11"/>
    </row>
    <row r="793" spans="17:18" ht="13.5" customHeight="1">
      <c r="Q793" s="5"/>
      <c r="R793" s="11"/>
    </row>
    <row r="794" spans="17:18" ht="13.5" customHeight="1">
      <c r="Q794" s="5"/>
      <c r="R794" s="11"/>
    </row>
    <row r="795" spans="17:18" ht="13.5" customHeight="1">
      <c r="Q795" s="5"/>
      <c r="R795" s="11"/>
    </row>
    <row r="796" spans="17:18" ht="13.5" customHeight="1">
      <c r="Q796" s="5"/>
      <c r="R796" s="11"/>
    </row>
    <row r="797" spans="17:18" ht="13.5" customHeight="1">
      <c r="Q797" s="5"/>
      <c r="R797" s="11"/>
    </row>
    <row r="798" spans="17:18" ht="13.5" customHeight="1">
      <c r="Q798" s="5"/>
      <c r="R798" s="11"/>
    </row>
    <row r="799" spans="17:18" ht="13.5" customHeight="1">
      <c r="Q799" s="5"/>
      <c r="R799" s="11"/>
    </row>
    <row r="800" spans="17:18" ht="13.5" customHeight="1">
      <c r="Q800" s="5"/>
      <c r="R800" s="11"/>
    </row>
    <row r="801" spans="17:18" ht="13.5" customHeight="1">
      <c r="Q801" s="5"/>
      <c r="R801" s="11"/>
    </row>
    <row r="802" spans="17:18" ht="13.5" customHeight="1">
      <c r="Q802" s="5"/>
      <c r="R802" s="11"/>
    </row>
    <row r="803" spans="17:18" ht="13.5" customHeight="1">
      <c r="Q803" s="5"/>
      <c r="R803" s="11"/>
    </row>
    <row r="804" spans="17:18" ht="13.5" customHeight="1">
      <c r="Q804" s="5"/>
      <c r="R804" s="11"/>
    </row>
    <row r="805" spans="17:18" ht="13.5" customHeight="1">
      <c r="Q805" s="5"/>
      <c r="R805" s="11"/>
    </row>
    <row r="806" spans="17:18" ht="13.5" customHeight="1">
      <c r="Q806" s="5"/>
      <c r="R806" s="11"/>
    </row>
    <row r="807" spans="17:18" ht="13.5" customHeight="1">
      <c r="Q807" s="5"/>
      <c r="R807" s="11"/>
    </row>
    <row r="808" spans="17:18" ht="13.5" customHeight="1">
      <c r="Q808" s="5"/>
      <c r="R808" s="11"/>
    </row>
    <row r="809" spans="17:18" ht="13.5" customHeight="1">
      <c r="Q809" s="5"/>
      <c r="R809" s="11"/>
    </row>
    <row r="810" spans="17:18" ht="13.5" customHeight="1">
      <c r="Q810" s="5"/>
      <c r="R810" s="11"/>
    </row>
    <row r="811" spans="17:18" ht="13.5" customHeight="1">
      <c r="Q811" s="5"/>
      <c r="R811" s="11"/>
    </row>
    <row r="812" spans="17:18" ht="13.5" customHeight="1">
      <c r="Q812" s="5"/>
      <c r="R812" s="11"/>
    </row>
    <row r="813" spans="17:18" ht="13.5" customHeight="1">
      <c r="Q813" s="5"/>
      <c r="R813" s="11"/>
    </row>
    <row r="814" spans="17:18" ht="13.5" customHeight="1">
      <c r="Q814" s="5"/>
      <c r="R814" s="11"/>
    </row>
    <row r="815" spans="17:18" ht="13.5" customHeight="1">
      <c r="Q815" s="5"/>
      <c r="R815" s="11"/>
    </row>
    <row r="816" spans="17:18" ht="13.5" customHeight="1">
      <c r="Q816" s="5"/>
      <c r="R816" s="11"/>
    </row>
    <row r="817" spans="17:18" ht="13.5" customHeight="1">
      <c r="Q817" s="5"/>
      <c r="R817" s="11"/>
    </row>
    <row r="818" spans="17:18" ht="13.5" customHeight="1">
      <c r="Q818" s="5"/>
      <c r="R818" s="11"/>
    </row>
    <row r="819" spans="17:18" ht="13.5" customHeight="1">
      <c r="Q819" s="5"/>
      <c r="R819" s="11"/>
    </row>
    <row r="820" spans="17:18" ht="13.5" customHeight="1">
      <c r="Q820" s="5"/>
      <c r="R820" s="11"/>
    </row>
    <row r="821" spans="17:18" ht="13.5" customHeight="1">
      <c r="Q821" s="5"/>
      <c r="R821" s="11"/>
    </row>
    <row r="822" spans="17:18" ht="13.5" customHeight="1">
      <c r="Q822" s="5"/>
      <c r="R822" s="11"/>
    </row>
    <row r="823" spans="17:18" ht="13.5" customHeight="1">
      <c r="Q823" s="5"/>
      <c r="R823" s="11"/>
    </row>
    <row r="824" spans="17:18" ht="13.5" customHeight="1">
      <c r="Q824" s="5"/>
      <c r="R824" s="11"/>
    </row>
    <row r="825" spans="17:18" ht="13.5" customHeight="1">
      <c r="Q825" s="5"/>
      <c r="R825" s="11"/>
    </row>
    <row r="826" spans="17:18" ht="13.5" customHeight="1">
      <c r="Q826" s="5"/>
      <c r="R826" s="11"/>
    </row>
    <row r="827" spans="17:18" ht="13.5" customHeight="1">
      <c r="Q827" s="5"/>
      <c r="R827" s="11"/>
    </row>
    <row r="828" spans="17:18" ht="13.5" customHeight="1">
      <c r="Q828" s="5"/>
      <c r="R828" s="11"/>
    </row>
    <row r="829" spans="17:18" ht="13.5" customHeight="1">
      <c r="Q829" s="5"/>
      <c r="R829" s="11"/>
    </row>
    <row r="830" spans="17:18" ht="13.5" customHeight="1">
      <c r="Q830" s="5"/>
      <c r="R830" s="11"/>
    </row>
    <row r="831" spans="17:18" ht="13.5" customHeight="1">
      <c r="Q831" s="5"/>
      <c r="R831" s="11"/>
    </row>
    <row r="832" spans="17:18" ht="13.5" customHeight="1">
      <c r="Q832" s="5"/>
      <c r="R832" s="11"/>
    </row>
    <row r="833" spans="17:18" ht="13.5" customHeight="1">
      <c r="Q833" s="5"/>
      <c r="R833" s="11"/>
    </row>
    <row r="834" spans="17:18" ht="13.5" customHeight="1">
      <c r="Q834" s="5"/>
      <c r="R834" s="11"/>
    </row>
    <row r="835" spans="17:18" ht="13.5" customHeight="1">
      <c r="Q835" s="5"/>
      <c r="R835" s="11"/>
    </row>
    <row r="836" spans="17:18" ht="13.5" customHeight="1">
      <c r="Q836" s="5"/>
      <c r="R836" s="11"/>
    </row>
    <row r="837" spans="17:18" ht="13.5" customHeight="1">
      <c r="Q837" s="5"/>
      <c r="R837" s="11"/>
    </row>
    <row r="838" spans="17:18" ht="13.5" customHeight="1">
      <c r="Q838" s="5"/>
      <c r="R838" s="11"/>
    </row>
    <row r="839" spans="17:18" ht="13.5" customHeight="1">
      <c r="Q839" s="5"/>
      <c r="R839" s="11"/>
    </row>
    <row r="840" spans="17:18" ht="13.5" customHeight="1">
      <c r="Q840" s="5"/>
      <c r="R840" s="11"/>
    </row>
    <row r="841" spans="17:18" ht="13.5" customHeight="1">
      <c r="Q841" s="5"/>
      <c r="R841" s="11"/>
    </row>
    <row r="842" spans="17:18" ht="13.5" customHeight="1">
      <c r="Q842" s="5"/>
      <c r="R842" s="11"/>
    </row>
    <row r="843" spans="17:18" ht="13.5" customHeight="1">
      <c r="Q843" s="5"/>
      <c r="R843" s="11"/>
    </row>
    <row r="844" spans="17:18" ht="13.5" customHeight="1">
      <c r="Q844" s="5"/>
      <c r="R844" s="11"/>
    </row>
    <row r="845" spans="17:18" ht="13.5" customHeight="1">
      <c r="Q845" s="5"/>
      <c r="R845" s="11"/>
    </row>
    <row r="846" spans="17:18" ht="13.5" customHeight="1">
      <c r="Q846" s="5"/>
      <c r="R846" s="11"/>
    </row>
    <row r="847" spans="17:18" ht="13.5" customHeight="1">
      <c r="Q847" s="5"/>
      <c r="R847" s="11"/>
    </row>
    <row r="848" spans="17:18" ht="13.5" customHeight="1">
      <c r="Q848" s="5"/>
      <c r="R848" s="11"/>
    </row>
    <row r="849" spans="17:18" ht="13.5" customHeight="1">
      <c r="Q849" s="5"/>
      <c r="R849" s="11"/>
    </row>
    <row r="850" spans="17:18" ht="13.5" customHeight="1">
      <c r="Q850" s="5"/>
      <c r="R850" s="11"/>
    </row>
    <row r="851" spans="17:18" ht="13.5" customHeight="1">
      <c r="Q851" s="5"/>
      <c r="R851" s="11"/>
    </row>
    <row r="852" spans="17:18" ht="13.5" customHeight="1">
      <c r="Q852" s="5"/>
      <c r="R852" s="11"/>
    </row>
    <row r="853" spans="17:18" ht="13.5" customHeight="1">
      <c r="Q853" s="5"/>
      <c r="R853" s="11"/>
    </row>
    <row r="854" spans="17:18" ht="13.5" customHeight="1">
      <c r="Q854" s="5"/>
      <c r="R854" s="11"/>
    </row>
    <row r="855" spans="17:18" ht="13.5" customHeight="1">
      <c r="Q855" s="5"/>
      <c r="R855" s="11"/>
    </row>
    <row r="856" spans="17:18" ht="13.5" customHeight="1">
      <c r="Q856" s="5"/>
      <c r="R856" s="11"/>
    </row>
    <row r="857" spans="17:18" ht="13.5" customHeight="1">
      <c r="Q857" s="5"/>
      <c r="R857" s="11"/>
    </row>
    <row r="858" spans="17:18" ht="13.5" customHeight="1">
      <c r="Q858" s="5"/>
      <c r="R858" s="11"/>
    </row>
    <row r="859" spans="17:18" ht="13.5" customHeight="1">
      <c r="Q859" s="5"/>
      <c r="R859" s="11"/>
    </row>
    <row r="860" spans="17:18" ht="13.5" customHeight="1">
      <c r="Q860" s="5"/>
      <c r="R860" s="11"/>
    </row>
    <row r="861" spans="17:18" ht="13.5" customHeight="1">
      <c r="Q861" s="5"/>
      <c r="R861" s="11"/>
    </row>
    <row r="862" spans="17:18" ht="13.5" customHeight="1">
      <c r="Q862" s="5"/>
      <c r="R862" s="11"/>
    </row>
    <row r="863" spans="17:18" ht="13.5" customHeight="1">
      <c r="Q863" s="5"/>
      <c r="R863" s="11"/>
    </row>
    <row r="864" spans="17:18" ht="13.5" customHeight="1">
      <c r="Q864" s="5"/>
      <c r="R864" s="11"/>
    </row>
    <row r="865" spans="17:18" ht="13.5" customHeight="1">
      <c r="Q865" s="5"/>
      <c r="R865" s="11"/>
    </row>
    <row r="866" spans="17:18" ht="13.5" customHeight="1">
      <c r="Q866" s="5"/>
      <c r="R866" s="11"/>
    </row>
    <row r="867" spans="17:18" ht="13.5" customHeight="1">
      <c r="Q867" s="5"/>
      <c r="R867" s="11"/>
    </row>
    <row r="868" spans="17:18" ht="13.5" customHeight="1">
      <c r="Q868" s="5"/>
      <c r="R868" s="11"/>
    </row>
    <row r="869" spans="17:18" ht="13.5" customHeight="1">
      <c r="Q869" s="5"/>
      <c r="R869" s="11"/>
    </row>
    <row r="870" spans="17:18" ht="13.5" customHeight="1">
      <c r="Q870" s="5"/>
      <c r="R870" s="11"/>
    </row>
    <row r="871" spans="17:18" ht="13.5" customHeight="1">
      <c r="Q871" s="5"/>
      <c r="R871" s="11"/>
    </row>
    <row r="872" spans="17:18" ht="13.5" customHeight="1">
      <c r="Q872" s="5"/>
      <c r="R872" s="11"/>
    </row>
    <row r="873" spans="17:18" ht="13.5" customHeight="1">
      <c r="Q873" s="5"/>
      <c r="R873" s="11"/>
    </row>
    <row r="874" spans="17:18" ht="13.5" customHeight="1">
      <c r="Q874" s="5"/>
      <c r="R874" s="11"/>
    </row>
    <row r="875" spans="17:18" ht="13.5" customHeight="1">
      <c r="Q875" s="5"/>
      <c r="R875" s="11"/>
    </row>
    <row r="876" spans="17:18" ht="13.5" customHeight="1">
      <c r="Q876" s="5"/>
      <c r="R876" s="11"/>
    </row>
    <row r="877" spans="17:18" ht="13.5" customHeight="1">
      <c r="Q877" s="5"/>
      <c r="R877" s="11"/>
    </row>
    <row r="878" spans="17:18" ht="13.5" customHeight="1">
      <c r="Q878" s="5"/>
      <c r="R878" s="11"/>
    </row>
    <row r="879" spans="17:18" ht="13.5" customHeight="1">
      <c r="Q879" s="5"/>
      <c r="R879" s="11"/>
    </row>
    <row r="880" spans="17:18" ht="13.5" customHeight="1">
      <c r="Q880" s="5"/>
      <c r="R880" s="11"/>
    </row>
    <row r="881" spans="17:18" ht="13.5" customHeight="1">
      <c r="Q881" s="5"/>
      <c r="R881" s="11"/>
    </row>
    <row r="882" spans="17:18" ht="13.5" customHeight="1">
      <c r="Q882" s="5"/>
      <c r="R882" s="11"/>
    </row>
    <row r="883" spans="17:18" ht="13.5" customHeight="1">
      <c r="Q883" s="5"/>
      <c r="R883" s="11"/>
    </row>
    <row r="884" spans="17:18" ht="13.5" customHeight="1">
      <c r="Q884" s="5"/>
      <c r="R884" s="11"/>
    </row>
    <row r="885" spans="17:18" ht="13.5" customHeight="1">
      <c r="Q885" s="5"/>
      <c r="R885" s="11"/>
    </row>
    <row r="886" spans="17:18" ht="13.5" customHeight="1">
      <c r="Q886" s="5"/>
      <c r="R886" s="11"/>
    </row>
    <row r="887" spans="17:18" ht="13.5" customHeight="1">
      <c r="Q887" s="5"/>
      <c r="R887" s="11"/>
    </row>
    <row r="888" spans="17:18" ht="13.5" customHeight="1">
      <c r="Q888" s="5"/>
      <c r="R888" s="11"/>
    </row>
    <row r="889" spans="17:18" ht="13.5" customHeight="1">
      <c r="Q889" s="5"/>
      <c r="R889" s="11"/>
    </row>
    <row r="890" spans="17:18" ht="13.5" customHeight="1">
      <c r="Q890" s="5"/>
      <c r="R890" s="11"/>
    </row>
    <row r="891" spans="17:18" ht="13.5" customHeight="1">
      <c r="Q891" s="5"/>
      <c r="R891" s="11"/>
    </row>
    <row r="892" spans="17:18" ht="13.5" customHeight="1">
      <c r="Q892" s="5"/>
      <c r="R892" s="11"/>
    </row>
    <row r="893" spans="17:18" ht="13.5" customHeight="1">
      <c r="Q893" s="5"/>
      <c r="R893" s="11"/>
    </row>
    <row r="894" spans="17:18" ht="13.5" customHeight="1">
      <c r="Q894" s="5"/>
      <c r="R894" s="11"/>
    </row>
    <row r="895" spans="17:18" ht="13.5" customHeight="1">
      <c r="Q895" s="5"/>
      <c r="R895" s="11"/>
    </row>
    <row r="896" spans="17:18" ht="13.5" customHeight="1">
      <c r="Q896" s="5"/>
      <c r="R896" s="11"/>
    </row>
    <row r="897" spans="17:18" ht="13.5" customHeight="1">
      <c r="Q897" s="5"/>
      <c r="R897" s="11"/>
    </row>
    <row r="898" spans="17:18" ht="13.5" customHeight="1">
      <c r="Q898" s="5"/>
      <c r="R898" s="11"/>
    </row>
    <row r="899" spans="17:18" ht="13.5" customHeight="1">
      <c r="Q899" s="5"/>
      <c r="R899" s="11"/>
    </row>
    <row r="900" spans="17:18" ht="13.5" customHeight="1">
      <c r="Q900" s="5"/>
      <c r="R900" s="11"/>
    </row>
    <row r="901" spans="17:18" ht="13.5" customHeight="1">
      <c r="Q901" s="5"/>
      <c r="R901" s="11"/>
    </row>
    <row r="902" spans="17:18" ht="13.5" customHeight="1">
      <c r="Q902" s="5"/>
      <c r="R902" s="11"/>
    </row>
    <row r="903" spans="17:18" ht="13.5" customHeight="1">
      <c r="Q903" s="5"/>
      <c r="R903" s="11"/>
    </row>
    <row r="904" spans="17:18" ht="13.5" customHeight="1">
      <c r="Q904" s="5"/>
      <c r="R904" s="11"/>
    </row>
    <row r="905" spans="17:18" ht="13.5" customHeight="1">
      <c r="Q905" s="5"/>
      <c r="R905" s="11"/>
    </row>
    <row r="906" spans="17:18" ht="13.5" customHeight="1">
      <c r="Q906" s="5"/>
      <c r="R906" s="11"/>
    </row>
    <row r="907" spans="17:18" ht="13.5" customHeight="1">
      <c r="Q907" s="5"/>
      <c r="R907" s="11"/>
    </row>
    <row r="908" spans="17:18" ht="13.5" customHeight="1">
      <c r="Q908" s="5"/>
      <c r="R908" s="11"/>
    </row>
    <row r="909" spans="17:18" ht="13.5" customHeight="1">
      <c r="Q909" s="5"/>
      <c r="R909" s="11"/>
    </row>
    <row r="910" spans="17:18" ht="13.5" customHeight="1">
      <c r="Q910" s="5"/>
      <c r="R910" s="11"/>
    </row>
    <row r="911" spans="17:18" ht="13.5" customHeight="1">
      <c r="Q911" s="5"/>
      <c r="R911" s="11"/>
    </row>
    <row r="912" spans="17:18" ht="13.5" customHeight="1">
      <c r="Q912" s="5"/>
      <c r="R912" s="11"/>
    </row>
    <row r="913" spans="17:18" ht="13.5" customHeight="1">
      <c r="Q913" s="5"/>
      <c r="R913" s="11"/>
    </row>
    <row r="914" spans="17:18" ht="13.5" customHeight="1">
      <c r="Q914" s="5"/>
      <c r="R914" s="11"/>
    </row>
    <row r="915" spans="17:18" ht="13.5" customHeight="1">
      <c r="Q915" s="5"/>
      <c r="R915" s="11"/>
    </row>
    <row r="916" spans="17:18" ht="13.5" customHeight="1">
      <c r="Q916" s="5"/>
      <c r="R916" s="11"/>
    </row>
    <row r="917" spans="17:18" ht="13.5" customHeight="1">
      <c r="Q917" s="5"/>
      <c r="R917" s="11"/>
    </row>
    <row r="918" spans="17:18" ht="13.5" customHeight="1">
      <c r="Q918" s="5"/>
      <c r="R918" s="11"/>
    </row>
    <row r="919" spans="17:18" ht="13.5" customHeight="1">
      <c r="Q919" s="5"/>
      <c r="R919" s="11"/>
    </row>
    <row r="920" spans="17:18" ht="13.5" customHeight="1">
      <c r="Q920" s="5"/>
      <c r="R920" s="11"/>
    </row>
    <row r="921" spans="17:18" ht="13.5" customHeight="1">
      <c r="Q921" s="5"/>
      <c r="R921" s="11"/>
    </row>
    <row r="922" spans="17:18" ht="13.5" customHeight="1">
      <c r="Q922" s="5"/>
      <c r="R922" s="11"/>
    </row>
    <row r="923" spans="17:18" ht="13.5" customHeight="1">
      <c r="Q923" s="5"/>
      <c r="R923" s="11"/>
    </row>
    <row r="924" spans="17:18" ht="13.5" customHeight="1">
      <c r="Q924" s="5"/>
      <c r="R924" s="11"/>
    </row>
    <row r="925" spans="17:18" ht="13.5" customHeight="1">
      <c r="Q925" s="5"/>
      <c r="R925" s="11"/>
    </row>
    <row r="926" spans="17:18" ht="13.5" customHeight="1">
      <c r="Q926" s="5"/>
      <c r="R926" s="11"/>
    </row>
    <row r="927" spans="17:18" ht="13.5" customHeight="1">
      <c r="Q927" s="5"/>
      <c r="R927" s="11"/>
    </row>
    <row r="928" spans="17:18" ht="13.5" customHeight="1">
      <c r="Q928" s="5"/>
      <c r="R928" s="11"/>
    </row>
    <row r="929" spans="17:18" ht="13.5" customHeight="1">
      <c r="Q929" s="5"/>
      <c r="R929" s="11"/>
    </row>
    <row r="930" spans="17:18" ht="13.5" customHeight="1">
      <c r="Q930" s="5"/>
      <c r="R930" s="11"/>
    </row>
    <row r="931" spans="17:18" ht="13.5" customHeight="1">
      <c r="Q931" s="5"/>
      <c r="R931" s="11"/>
    </row>
    <row r="932" spans="17:18" ht="13.5" customHeight="1">
      <c r="Q932" s="5"/>
      <c r="R932" s="11"/>
    </row>
    <row r="933" spans="17:18" ht="13.5" customHeight="1">
      <c r="Q933" s="5"/>
      <c r="R933" s="11"/>
    </row>
    <row r="934" spans="17:18" ht="13.5" customHeight="1">
      <c r="Q934" s="5"/>
      <c r="R934" s="11"/>
    </row>
    <row r="935" spans="17:18" ht="13.5" customHeight="1">
      <c r="Q935" s="5"/>
      <c r="R935" s="11"/>
    </row>
    <row r="936" spans="17:18" ht="13.5" customHeight="1">
      <c r="Q936" s="5"/>
      <c r="R936" s="11"/>
    </row>
    <row r="937" spans="17:18" ht="13.5" customHeight="1">
      <c r="Q937" s="5"/>
      <c r="R937" s="11"/>
    </row>
    <row r="938" spans="17:18" ht="13.5" customHeight="1">
      <c r="Q938" s="5"/>
      <c r="R938" s="11"/>
    </row>
    <row r="939" spans="17:18" ht="13.5" customHeight="1">
      <c r="Q939" s="5"/>
      <c r="R939" s="11"/>
    </row>
    <row r="940" spans="17:18" ht="13.5" customHeight="1">
      <c r="Q940" s="5"/>
      <c r="R940" s="11"/>
    </row>
    <row r="941" spans="17:18" ht="13.5" customHeight="1">
      <c r="Q941" s="5"/>
      <c r="R941" s="11"/>
    </row>
    <row r="942" spans="17:18" ht="13.5" customHeight="1">
      <c r="Q942" s="5"/>
      <c r="R942" s="11"/>
    </row>
    <row r="943" spans="17:18" ht="13.5" customHeight="1">
      <c r="Q943" s="5"/>
      <c r="R943" s="11"/>
    </row>
    <row r="944" spans="17:18" ht="13.5" customHeight="1">
      <c r="Q944" s="5"/>
      <c r="R944" s="11"/>
    </row>
    <row r="945" spans="17:18" ht="13.5" customHeight="1">
      <c r="Q945" s="5"/>
      <c r="R945" s="11"/>
    </row>
    <row r="946" spans="17:18" ht="13.5" customHeight="1">
      <c r="Q946" s="5"/>
      <c r="R946" s="11"/>
    </row>
    <row r="947" spans="17:18" ht="13.5" customHeight="1">
      <c r="Q947" s="5"/>
      <c r="R947" s="11"/>
    </row>
    <row r="948" spans="17:18" ht="13.5" customHeight="1">
      <c r="Q948" s="5"/>
      <c r="R948" s="11"/>
    </row>
    <row r="949" spans="17:18" ht="13.5" customHeight="1">
      <c r="Q949" s="5"/>
      <c r="R949" s="11"/>
    </row>
    <row r="950" spans="17:18" ht="13.5" customHeight="1">
      <c r="Q950" s="5"/>
      <c r="R950" s="11"/>
    </row>
    <row r="951" spans="17:18" ht="13.5" customHeight="1">
      <c r="Q951" s="5"/>
      <c r="R951" s="11"/>
    </row>
    <row r="952" spans="17:18" ht="13.5" customHeight="1">
      <c r="Q952" s="5"/>
      <c r="R952" s="11"/>
    </row>
    <row r="953" spans="17:18" ht="13.5" customHeight="1">
      <c r="Q953" s="5"/>
      <c r="R953" s="11"/>
    </row>
    <row r="954" spans="17:18" ht="13.5" customHeight="1">
      <c r="Q954" s="5"/>
      <c r="R954" s="11"/>
    </row>
    <row r="955" spans="17:18" ht="13.5" customHeight="1">
      <c r="Q955" s="5"/>
      <c r="R955" s="11"/>
    </row>
    <row r="956" spans="17:18" ht="13.5" customHeight="1">
      <c r="Q956" s="5"/>
      <c r="R956" s="11"/>
    </row>
    <row r="957" spans="17:18" ht="13.5" customHeight="1">
      <c r="Q957" s="5"/>
      <c r="R957" s="11"/>
    </row>
    <row r="958" spans="17:18" ht="13.5" customHeight="1">
      <c r="Q958" s="5"/>
      <c r="R958" s="11"/>
    </row>
    <row r="959" spans="17:18" ht="13.5" customHeight="1">
      <c r="Q959" s="5"/>
      <c r="R959" s="11"/>
    </row>
    <row r="960" spans="17:18" ht="13.5" customHeight="1">
      <c r="Q960" s="5"/>
      <c r="R960" s="11"/>
    </row>
    <row r="961" spans="17:18" ht="13.5" customHeight="1">
      <c r="Q961" s="5"/>
      <c r="R961" s="11"/>
    </row>
    <row r="962" spans="17:18" ht="13.5" customHeight="1">
      <c r="Q962" s="5"/>
      <c r="R962" s="11"/>
    </row>
    <row r="963" spans="17:18" ht="13.5" customHeight="1">
      <c r="Q963" s="5"/>
      <c r="R963" s="11"/>
    </row>
    <row r="964" spans="17:18" ht="13.5" customHeight="1">
      <c r="Q964" s="5"/>
      <c r="R964" s="11"/>
    </row>
    <row r="965" spans="17:18" ht="13.5" customHeight="1">
      <c r="Q965" s="5"/>
      <c r="R965" s="11"/>
    </row>
    <row r="966" spans="17:18" ht="13.5" customHeight="1">
      <c r="Q966" s="5"/>
      <c r="R966" s="11"/>
    </row>
    <row r="967" spans="17:18" ht="13.5" customHeight="1">
      <c r="Q967" s="5"/>
      <c r="R967" s="11"/>
    </row>
    <row r="968" spans="17:18" ht="13.5" customHeight="1">
      <c r="Q968" s="5"/>
      <c r="R968" s="11"/>
    </row>
    <row r="969" spans="17:18" ht="13.5" customHeight="1">
      <c r="Q969" s="5"/>
      <c r="R969" s="11"/>
    </row>
    <row r="970" spans="17:18" ht="13.5" customHeight="1">
      <c r="Q970" s="5"/>
      <c r="R970" s="11"/>
    </row>
    <row r="971" spans="17:18" ht="13.5" customHeight="1">
      <c r="Q971" s="5"/>
      <c r="R971" s="11"/>
    </row>
    <row r="972" spans="17:18" ht="13.5" customHeight="1">
      <c r="Q972" s="5"/>
      <c r="R972" s="11"/>
    </row>
    <row r="973" spans="17:18" ht="13.5" customHeight="1">
      <c r="Q973" s="5"/>
      <c r="R973" s="11"/>
    </row>
    <row r="974" spans="17:18" ht="13.5" customHeight="1">
      <c r="Q974" s="5"/>
      <c r="R974" s="11"/>
    </row>
    <row r="975" spans="17:18" ht="13.5" customHeight="1">
      <c r="Q975" s="5"/>
      <c r="R975" s="11"/>
    </row>
    <row r="976" spans="17:18" ht="13.5" customHeight="1">
      <c r="Q976" s="5"/>
      <c r="R976" s="11"/>
    </row>
    <row r="977" spans="17:18" ht="13.5" customHeight="1">
      <c r="Q977" s="5"/>
      <c r="R977" s="11"/>
    </row>
    <row r="978" spans="17:18" ht="13.5" customHeight="1">
      <c r="Q978" s="5"/>
      <c r="R978" s="11"/>
    </row>
    <row r="979" spans="17:18" ht="13.5" customHeight="1">
      <c r="Q979" s="5"/>
      <c r="R979" s="11"/>
    </row>
    <row r="980" spans="17:18" ht="13.5" customHeight="1">
      <c r="Q980" s="5"/>
      <c r="R980" s="11"/>
    </row>
    <row r="981" spans="17:18" ht="13.5" customHeight="1">
      <c r="Q981" s="5"/>
      <c r="R981" s="11"/>
    </row>
    <row r="982" spans="17:18" ht="13.5" customHeight="1">
      <c r="Q982" s="5"/>
      <c r="R982" s="11"/>
    </row>
    <row r="983" spans="17:18" ht="13.5" customHeight="1">
      <c r="Q983" s="5"/>
      <c r="R983" s="11"/>
    </row>
    <row r="984" spans="17:18" ht="13.5" customHeight="1">
      <c r="Q984" s="5"/>
      <c r="R984" s="11"/>
    </row>
    <row r="985" spans="17:18" ht="13.5" customHeight="1">
      <c r="Q985" s="5"/>
      <c r="R985" s="11"/>
    </row>
    <row r="986" spans="17:18" ht="13.5" customHeight="1">
      <c r="Q986" s="5"/>
      <c r="R986" s="11"/>
    </row>
    <row r="987" spans="17:18" ht="13.5" customHeight="1">
      <c r="Q987" s="5"/>
      <c r="R987" s="11"/>
    </row>
    <row r="988" spans="17:18" ht="13.5" customHeight="1">
      <c r="Q988" s="5"/>
      <c r="R988" s="11"/>
    </row>
    <row r="989" spans="17:18" ht="13.5" customHeight="1">
      <c r="Q989" s="5"/>
      <c r="R989" s="11"/>
    </row>
    <row r="990" spans="17:18" ht="13.5" customHeight="1">
      <c r="Q990" s="5"/>
      <c r="R990" s="11"/>
    </row>
    <row r="991" spans="17:18" ht="13.5" customHeight="1">
      <c r="Q991" s="5"/>
      <c r="R991" s="11"/>
    </row>
    <row r="992" spans="17:18" ht="13.5" customHeight="1">
      <c r="Q992" s="5"/>
      <c r="R992" s="11"/>
    </row>
    <row r="993" spans="17:18" ht="13.5" customHeight="1">
      <c r="Q993" s="5"/>
      <c r="R993" s="11"/>
    </row>
    <row r="994" spans="17:18" ht="13.5" customHeight="1">
      <c r="Q994" s="5"/>
      <c r="R994" s="11"/>
    </row>
    <row r="995" spans="17:18" ht="13.5" customHeight="1">
      <c r="Q995" s="5"/>
      <c r="R995" s="11"/>
    </row>
    <row r="996" spans="17:18" ht="13.5" customHeight="1">
      <c r="Q996" s="5"/>
      <c r="R996" s="11"/>
    </row>
    <row r="997" spans="17:18" ht="13.5" customHeight="1">
      <c r="Q997" s="5"/>
      <c r="R997" s="11"/>
    </row>
    <row r="998" spans="17:18" ht="13.5" customHeight="1">
      <c r="Q998" s="5"/>
      <c r="R998" s="11"/>
    </row>
    <row r="999" spans="17:18" ht="13.5" customHeight="1">
      <c r="Q999" s="5"/>
      <c r="R999" s="11"/>
    </row>
    <row r="1000" spans="17:18" ht="13.5" customHeight="1">
      <c r="Q1000" s="5"/>
      <c r="R1000" s="11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15" ht="13.5" customHeight="1">
      <c r="A1" s="3" t="s">
        <v>76</v>
      </c>
      <c r="N1" s="3" t="s">
        <v>77</v>
      </c>
      <c r="O1" s="3" t="s">
        <v>78</v>
      </c>
    </row>
    <row r="2" spans="1:15" ht="13.5" customHeight="1">
      <c r="A2" s="3" t="s">
        <v>79</v>
      </c>
      <c r="B2" s="3" t="s">
        <v>80</v>
      </c>
      <c r="O2" s="3" t="s">
        <v>81</v>
      </c>
    </row>
    <row r="3" spans="1:15" ht="13.5" customHeight="1">
      <c r="B3" s="3" t="s">
        <v>82</v>
      </c>
      <c r="O3" s="3" t="s">
        <v>83</v>
      </c>
    </row>
    <row r="4" spans="1:15" ht="13.5" customHeight="1">
      <c r="B4" s="3" t="s">
        <v>84</v>
      </c>
    </row>
    <row r="5" spans="1:15" ht="13.5" customHeight="1">
      <c r="B5" s="3" t="s">
        <v>85</v>
      </c>
      <c r="O5" s="3" t="s">
        <v>86</v>
      </c>
    </row>
    <row r="6" spans="1:15" ht="13.5" customHeight="1">
      <c r="B6" s="3" t="s">
        <v>87</v>
      </c>
      <c r="F6" s="3" t="s">
        <v>88</v>
      </c>
      <c r="O6" s="3" t="s">
        <v>89</v>
      </c>
    </row>
    <row r="7" spans="1:15" ht="13.5" customHeight="1">
      <c r="N7" s="3" t="s">
        <v>90</v>
      </c>
      <c r="O7" s="3" t="s">
        <v>91</v>
      </c>
    </row>
    <row r="8" spans="1:15" ht="13.5" customHeight="1">
      <c r="A8" s="3" t="s">
        <v>92</v>
      </c>
      <c r="N8" s="3" t="s">
        <v>93</v>
      </c>
      <c r="O8" s="3" t="s">
        <v>94</v>
      </c>
    </row>
    <row r="9" spans="1:15" ht="13.5" customHeight="1">
      <c r="A9" s="3" t="s">
        <v>95</v>
      </c>
      <c r="O9" s="3" t="s">
        <v>96</v>
      </c>
    </row>
    <row r="10" spans="1:15" ht="13.5" customHeight="1">
      <c r="A10" s="3" t="s">
        <v>97</v>
      </c>
      <c r="O10" s="3" t="s">
        <v>98</v>
      </c>
    </row>
    <row r="11" spans="1:15" ht="13.5" customHeight="1">
      <c r="A11" s="3" t="s">
        <v>99</v>
      </c>
      <c r="O11" s="3" t="s">
        <v>100</v>
      </c>
    </row>
    <row r="12" spans="1:15" ht="13.5" customHeight="1">
      <c r="A12" s="3" t="s">
        <v>101</v>
      </c>
      <c r="D12" s="3" t="s">
        <v>102</v>
      </c>
      <c r="O12" s="3" t="s">
        <v>103</v>
      </c>
    </row>
    <row r="13" spans="1:15" ht="13.5" customHeight="1">
      <c r="A13" s="3" t="s">
        <v>104</v>
      </c>
      <c r="D13" s="3" t="s">
        <v>105</v>
      </c>
      <c r="O13" s="3" t="s">
        <v>106</v>
      </c>
    </row>
    <row r="14" spans="1:15" ht="13.5" customHeight="1">
      <c r="O14" s="3" t="s">
        <v>107</v>
      </c>
    </row>
    <row r="15" spans="1:15" ht="13.5" customHeight="1">
      <c r="O15" s="3" t="s">
        <v>108</v>
      </c>
    </row>
    <row r="16" spans="1:15" ht="13.5" customHeight="1">
      <c r="O16" s="3" t="s">
        <v>109</v>
      </c>
    </row>
    <row r="17" spans="15:15" ht="13.5" customHeight="1">
      <c r="O17" s="3" t="s">
        <v>110</v>
      </c>
    </row>
    <row r="18" spans="15:15" ht="13.5" customHeight="1">
      <c r="O18" s="3" t="s">
        <v>111</v>
      </c>
    </row>
    <row r="19" spans="15:15" ht="13.5" customHeight="1">
      <c r="O19" s="3" t="s">
        <v>112</v>
      </c>
    </row>
    <row r="20" spans="15:15" ht="13.5" customHeight="1">
      <c r="O20" s="3" t="s">
        <v>113</v>
      </c>
    </row>
    <row r="21" spans="15:15" ht="13.5" customHeight="1">
      <c r="O21" s="3" t="s">
        <v>114</v>
      </c>
    </row>
    <row r="22" spans="15:15" ht="13.5" customHeight="1">
      <c r="O22" s="3" t="s">
        <v>115</v>
      </c>
    </row>
    <row r="23" spans="15:15" ht="13.5" customHeight="1">
      <c r="O23" s="3" t="s">
        <v>116</v>
      </c>
    </row>
    <row r="24" spans="15:15" ht="13.5" customHeight="1">
      <c r="O24" s="3" t="s">
        <v>117</v>
      </c>
    </row>
    <row r="25" spans="15:15" ht="13.5" customHeight="1">
      <c r="O25" s="3" t="s">
        <v>118</v>
      </c>
    </row>
    <row r="26" spans="15:15" ht="13.5" customHeight="1">
      <c r="O26" s="3" t="s">
        <v>119</v>
      </c>
    </row>
    <row r="27" spans="15:15" ht="13.5" customHeight="1">
      <c r="O27" s="3" t="s">
        <v>120</v>
      </c>
    </row>
    <row r="28" spans="15:15" ht="13.5" customHeight="1">
      <c r="O28" s="3" t="s">
        <v>121</v>
      </c>
    </row>
    <row r="29" spans="15:15" ht="13.5" customHeight="1"/>
    <row r="30" spans="15:15" ht="13.5" customHeight="1"/>
    <row r="31" spans="15:15" ht="13.5" customHeight="1"/>
    <row r="32" spans="15:15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6" ht="13.5" customHeight="1">
      <c r="A1" s="3" t="s">
        <v>122</v>
      </c>
      <c r="D1" s="3" t="s">
        <v>123</v>
      </c>
    </row>
    <row r="2" spans="1:6" ht="13.5" customHeight="1">
      <c r="A2" s="3" t="s">
        <v>124</v>
      </c>
    </row>
    <row r="3" spans="1:6" ht="13.5" customHeight="1">
      <c r="A3" s="3" t="s">
        <v>125</v>
      </c>
      <c r="D3" s="3" t="s">
        <v>126</v>
      </c>
    </row>
    <row r="4" spans="1:6" ht="13.5" customHeight="1">
      <c r="D4" s="3" t="s">
        <v>127</v>
      </c>
      <c r="F4" s="3" t="s">
        <v>128</v>
      </c>
    </row>
    <row r="5" spans="1:6" ht="13.5" customHeight="1">
      <c r="A5" s="3" t="s">
        <v>129</v>
      </c>
      <c r="F5" s="17" t="s">
        <v>130</v>
      </c>
    </row>
    <row r="6" spans="1:6" ht="13.5" customHeight="1">
      <c r="A6" s="3" t="s">
        <v>131</v>
      </c>
      <c r="F6" s="17" t="s">
        <v>132</v>
      </c>
    </row>
    <row r="7" spans="1:6" ht="13.5" customHeight="1"/>
    <row r="8" spans="1:6" ht="13.5" customHeight="1">
      <c r="A8" s="3" t="s">
        <v>133</v>
      </c>
    </row>
    <row r="9" spans="1:6" ht="13.5" customHeight="1">
      <c r="A9" s="3" t="s">
        <v>134</v>
      </c>
    </row>
    <row r="10" spans="1:6" ht="13.5" customHeight="1">
      <c r="A10" s="18" t="s">
        <v>135</v>
      </c>
    </row>
    <row r="11" spans="1:6" ht="13.5" customHeight="1"/>
    <row r="12" spans="1:6" ht="13.5" customHeight="1"/>
    <row r="13" spans="1:6" ht="13.5" customHeight="1"/>
    <row r="14" spans="1:6" ht="13.5" customHeight="1"/>
    <row r="15" spans="1:6" ht="13.5" customHeight="1"/>
    <row r="16" spans="1: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6" ht="13.5" customHeight="1">
      <c r="A1" s="3" t="s">
        <v>136</v>
      </c>
    </row>
    <row r="2" spans="1:6" ht="13.5" customHeight="1">
      <c r="A2" s="3" t="s">
        <v>137</v>
      </c>
    </row>
    <row r="3" spans="1:6" ht="13.5" customHeight="1"/>
    <row r="4" spans="1:6" ht="13.5" customHeight="1">
      <c r="A4" s="3" t="s">
        <v>138</v>
      </c>
    </row>
    <row r="5" spans="1:6" ht="13.5" customHeight="1">
      <c r="A5" s="19" t="s">
        <v>3</v>
      </c>
      <c r="B5" s="20">
        <v>0</v>
      </c>
      <c r="C5" s="21">
        <v>1</v>
      </c>
    </row>
    <row r="6" spans="1:6" ht="13.5" customHeight="1">
      <c r="A6" s="22" t="s">
        <v>139</v>
      </c>
      <c r="B6" s="23" t="s">
        <v>140</v>
      </c>
      <c r="C6" s="24" t="s">
        <v>139</v>
      </c>
    </row>
    <row r="7" spans="1:6" ht="13.5" customHeight="1">
      <c r="A7" s="3" t="s">
        <v>141</v>
      </c>
      <c r="D7" s="3" t="s">
        <v>142</v>
      </c>
      <c r="F7" s="3" t="s">
        <v>143</v>
      </c>
    </row>
    <row r="8" spans="1:6" ht="13.5" customHeight="1">
      <c r="A8" s="3" t="s">
        <v>144</v>
      </c>
    </row>
    <row r="9" spans="1:6" ht="13.5" customHeight="1">
      <c r="A9" s="3" t="s">
        <v>145</v>
      </c>
    </row>
    <row r="10" spans="1:6" ht="13.5" customHeight="1"/>
    <row r="11" spans="1:6" ht="13.5" customHeight="1">
      <c r="A11" s="3" t="s">
        <v>146</v>
      </c>
    </row>
    <row r="12" spans="1:6" ht="13.5" customHeight="1">
      <c r="A12" s="3" t="s">
        <v>147</v>
      </c>
    </row>
    <row r="13" spans="1:6" ht="13.5" customHeight="1">
      <c r="A13" s="3" t="s">
        <v>148</v>
      </c>
    </row>
    <row r="14" spans="1:6" ht="13.5" customHeight="1">
      <c r="A14" s="3" t="s">
        <v>149</v>
      </c>
    </row>
    <row r="15" spans="1:6" ht="13.5" customHeight="1">
      <c r="A15" s="3" t="s">
        <v>150</v>
      </c>
      <c r="B15" s="3" t="s">
        <v>151</v>
      </c>
    </row>
    <row r="16" spans="1:6" ht="13.5" customHeight="1">
      <c r="A16" s="3" t="s">
        <v>152</v>
      </c>
    </row>
    <row r="17" spans="1:3" ht="13.5" customHeight="1">
      <c r="A17" s="18" t="s">
        <v>153</v>
      </c>
    </row>
    <row r="18" spans="1:3" ht="13.5" customHeight="1">
      <c r="A18" s="3" t="s">
        <v>154</v>
      </c>
    </row>
    <row r="19" spans="1:3" ht="13.5" customHeight="1">
      <c r="A19" s="3" t="s">
        <v>155</v>
      </c>
    </row>
    <row r="20" spans="1:3" ht="13.5" customHeight="1"/>
    <row r="21" spans="1:3" ht="13.5" customHeight="1">
      <c r="A21" s="3" t="s">
        <v>156</v>
      </c>
    </row>
    <row r="22" spans="1:3" ht="13.5" customHeight="1">
      <c r="A22" s="3" t="s">
        <v>157</v>
      </c>
    </row>
    <row r="23" spans="1:3" ht="13.5" customHeight="1">
      <c r="A23" s="3" t="s">
        <v>158</v>
      </c>
    </row>
    <row r="24" spans="1:3" ht="13.5" customHeight="1">
      <c r="A24" s="3" t="s">
        <v>159</v>
      </c>
    </row>
    <row r="25" spans="1:3" ht="13.5" customHeight="1">
      <c r="A25" s="3" t="s">
        <v>160</v>
      </c>
    </row>
    <row r="26" spans="1:3" ht="13.5" customHeight="1">
      <c r="A26" s="18" t="s">
        <v>161</v>
      </c>
    </row>
    <row r="27" spans="1:3" ht="13.5" customHeight="1">
      <c r="A27" s="3" t="s">
        <v>162</v>
      </c>
    </row>
    <row r="28" spans="1:3" ht="13.5" customHeight="1">
      <c r="A28" s="3" t="s">
        <v>163</v>
      </c>
    </row>
    <row r="29" spans="1:3" ht="13.5" customHeight="1"/>
    <row r="30" spans="1:3" ht="13.5" customHeight="1">
      <c r="A30" s="3" t="s">
        <v>164</v>
      </c>
      <c r="C30" s="3" t="s">
        <v>165</v>
      </c>
    </row>
    <row r="31" spans="1:3" ht="13.5" customHeight="1">
      <c r="A31" s="3" t="s">
        <v>166</v>
      </c>
    </row>
    <row r="32" spans="1:3" ht="13.5" customHeight="1">
      <c r="A32" s="3" t="s">
        <v>167</v>
      </c>
    </row>
    <row r="33" spans="1:4" ht="13.5" customHeight="1">
      <c r="A33" s="3" t="s">
        <v>168</v>
      </c>
      <c r="D33" s="3" t="s">
        <v>169</v>
      </c>
    </row>
    <row r="34" spans="1:4" ht="13.5" customHeight="1">
      <c r="A34" s="3" t="s">
        <v>170</v>
      </c>
    </row>
    <row r="35" spans="1:4" ht="13.5" customHeight="1">
      <c r="A35" s="3" t="s">
        <v>171</v>
      </c>
    </row>
    <row r="36" spans="1:4" ht="13.5" customHeight="1"/>
    <row r="37" spans="1:4" ht="13.5" customHeight="1">
      <c r="A37" s="3" t="s">
        <v>172</v>
      </c>
    </row>
    <row r="38" spans="1:4" ht="13.5" customHeight="1">
      <c r="A38" s="3" t="s">
        <v>173</v>
      </c>
    </row>
    <row r="39" spans="1:4" ht="13.5" customHeight="1">
      <c r="A39" s="3" t="s">
        <v>174</v>
      </c>
    </row>
    <row r="40" spans="1:4" ht="13.5" customHeight="1">
      <c r="A40" s="3" t="s">
        <v>175</v>
      </c>
    </row>
    <row r="41" spans="1:4" ht="13.5" customHeight="1">
      <c r="A41" s="3" t="s">
        <v>176</v>
      </c>
    </row>
    <row r="42" spans="1:4" ht="13.5" customHeight="1">
      <c r="A42" s="3" t="s">
        <v>177</v>
      </c>
    </row>
    <row r="43" spans="1:4" ht="13.5" customHeight="1">
      <c r="A43" s="3" t="s">
        <v>178</v>
      </c>
      <c r="D43" s="3" t="s">
        <v>179</v>
      </c>
    </row>
    <row r="44" spans="1:4" ht="13.5" customHeight="1"/>
    <row r="45" spans="1:4" ht="13.5" customHeight="1">
      <c r="A45" s="3" t="s">
        <v>180</v>
      </c>
    </row>
    <row r="46" spans="1:4" ht="13.5" customHeight="1">
      <c r="A46" s="3" t="s">
        <v>181</v>
      </c>
    </row>
    <row r="47" spans="1:4" ht="13.5" customHeight="1">
      <c r="A47" s="18" t="s">
        <v>153</v>
      </c>
    </row>
    <row r="48" spans="1:4" ht="13.5" customHeight="1">
      <c r="A48" s="3" t="s">
        <v>182</v>
      </c>
      <c r="C48" s="3" t="s">
        <v>183</v>
      </c>
    </row>
    <row r="49" spans="1:4" ht="13.5" customHeight="1">
      <c r="A49" s="3" t="s">
        <v>184</v>
      </c>
    </row>
    <row r="50" spans="1:4" ht="13.5" customHeight="1"/>
    <row r="51" spans="1:4" ht="13.5" customHeight="1">
      <c r="A51" s="3" t="s">
        <v>185</v>
      </c>
    </row>
    <row r="52" spans="1:4" ht="13.5" customHeight="1">
      <c r="A52" s="3" t="s">
        <v>164</v>
      </c>
    </row>
    <row r="53" spans="1:4" ht="13.5" customHeight="1">
      <c r="A53" s="3" t="s">
        <v>186</v>
      </c>
    </row>
    <row r="54" spans="1:4" ht="13.5" customHeight="1">
      <c r="A54" s="3" t="s">
        <v>187</v>
      </c>
    </row>
    <row r="55" spans="1:4" ht="13.5" customHeight="1">
      <c r="A55" s="3" t="s">
        <v>188</v>
      </c>
      <c r="D55" s="18" t="s">
        <v>189</v>
      </c>
    </row>
    <row r="56" spans="1:4" ht="13.5" customHeight="1">
      <c r="A56" s="3" t="s">
        <v>190</v>
      </c>
      <c r="C56" s="3" t="s">
        <v>191</v>
      </c>
    </row>
    <row r="57" spans="1:4" ht="13.5" customHeight="1">
      <c r="A57" s="3" t="s">
        <v>192</v>
      </c>
    </row>
    <row r="58" spans="1:4" ht="13.5" customHeight="1">
      <c r="A58" s="3" t="s">
        <v>193</v>
      </c>
    </row>
    <row r="59" spans="1:4" ht="13.5" customHeight="1">
      <c r="A59" s="3" t="s">
        <v>194</v>
      </c>
    </row>
    <row r="60" spans="1:4" ht="13.5" customHeight="1">
      <c r="A60" s="3" t="s">
        <v>195</v>
      </c>
    </row>
    <row r="61" spans="1:4" ht="13.5" customHeight="1">
      <c r="A61" s="18" t="s">
        <v>196</v>
      </c>
    </row>
    <row r="62" spans="1:4" ht="13.5" customHeight="1">
      <c r="A62" s="3" t="s">
        <v>197</v>
      </c>
    </row>
    <row r="63" spans="1:4" ht="13.5" customHeight="1">
      <c r="A63" s="3" t="s">
        <v>198</v>
      </c>
    </row>
    <row r="64" spans="1:4" ht="13.5" customHeight="1">
      <c r="A64" s="3" t="s">
        <v>199</v>
      </c>
    </row>
    <row r="65" spans="1:4" ht="13.5" customHeight="1">
      <c r="A65" s="3" t="s">
        <v>200</v>
      </c>
    </row>
    <row r="66" spans="1:4" ht="13.5" customHeight="1">
      <c r="A66" s="3" t="s">
        <v>201</v>
      </c>
      <c r="D66" s="3" t="s">
        <v>202</v>
      </c>
    </row>
    <row r="67" spans="1:4" ht="13.5" customHeight="1">
      <c r="A67" s="3" t="s">
        <v>203</v>
      </c>
    </row>
    <row r="68" spans="1:4" ht="13.5" customHeight="1"/>
    <row r="69" spans="1:4" ht="13.5" customHeight="1"/>
    <row r="70" spans="1:4" ht="13.5" customHeight="1"/>
    <row r="71" spans="1:4" ht="13.5" customHeight="1"/>
    <row r="72" spans="1:4" ht="13.5" customHeight="1"/>
    <row r="73" spans="1:4" ht="13.5" customHeight="1"/>
    <row r="74" spans="1:4" ht="13.5" customHeight="1"/>
    <row r="75" spans="1:4" ht="13.5" customHeight="1"/>
    <row r="76" spans="1:4" ht="13.5" customHeight="1"/>
    <row r="77" spans="1:4" ht="13.5" customHeight="1"/>
    <row r="78" spans="1:4" ht="13.5" customHeight="1"/>
    <row r="79" spans="1:4" ht="13.5" customHeight="1"/>
    <row r="80" spans="1:4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13" ht="13.5" customHeight="1">
      <c r="A1" s="3" t="s">
        <v>204</v>
      </c>
    </row>
    <row r="2" spans="1:13" ht="13.5" customHeight="1">
      <c r="A2" s="3" t="s">
        <v>205</v>
      </c>
      <c r="M2" s="3">
        <v>5.72</v>
      </c>
    </row>
    <row r="3" spans="1:13" ht="13.5" customHeight="1">
      <c r="A3" s="3" t="s">
        <v>206</v>
      </c>
      <c r="C3" s="3" t="s">
        <v>207</v>
      </c>
    </row>
    <row r="4" spans="1:13" ht="13.5" customHeight="1">
      <c r="A4" s="3" t="s">
        <v>208</v>
      </c>
      <c r="C4" s="3" t="s">
        <v>209</v>
      </c>
    </row>
    <row r="5" spans="1:13" ht="13.5" customHeight="1">
      <c r="A5" s="3" t="s">
        <v>210</v>
      </c>
      <c r="C5" s="3" t="s">
        <v>211</v>
      </c>
      <c r="D5" s="3">
        <f>NORMSINV(0.45 + 0.5)</f>
        <v>1.6448536269514715</v>
      </c>
    </row>
    <row r="6" spans="1:13" ht="13.5" customHeight="1">
      <c r="C6" s="3" t="s">
        <v>212</v>
      </c>
    </row>
    <row r="7" spans="1:13" ht="13.5" customHeight="1">
      <c r="C7" s="3" t="s">
        <v>211</v>
      </c>
      <c r="D7" s="3">
        <f>_xlfn.T.INV.2T(1-0.9, 49)</f>
        <v>1.6765508926168529</v>
      </c>
    </row>
    <row r="8" spans="1:13" ht="13.5" customHeight="1">
      <c r="A8" s="18" t="s">
        <v>153</v>
      </c>
    </row>
    <row r="9" spans="1:13" ht="13.5" customHeight="1">
      <c r="A9" s="3" t="s">
        <v>213</v>
      </c>
    </row>
    <row r="10" spans="1:13" ht="13.5" customHeight="1">
      <c r="A10" s="3" t="s">
        <v>214</v>
      </c>
      <c r="B10" s="3">
        <f>_xlfn.CHISQ.INV(0.05, 49)</f>
        <v>33.930305618527832</v>
      </c>
    </row>
    <row r="11" spans="1:13" ht="13.5" customHeight="1">
      <c r="A11" s="3" t="s">
        <v>215</v>
      </c>
      <c r="B11" s="3">
        <f>_xlfn.CHISQ.INV(0.95, 49)</f>
        <v>66.33864886296881</v>
      </c>
    </row>
    <row r="12" spans="1:13" ht="13.5" customHeight="1">
      <c r="A12" s="18" t="s">
        <v>216</v>
      </c>
      <c r="I12" s="5" t="s">
        <v>217</v>
      </c>
      <c r="J12" s="11">
        <v>97.5</v>
      </c>
    </row>
    <row r="13" spans="1:13" ht="13.5" customHeight="1">
      <c r="A13" s="3" t="s">
        <v>218</v>
      </c>
    </row>
    <row r="14" spans="1:13" ht="13.5" customHeight="1">
      <c r="A14" s="1"/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37</v>
      </c>
      <c r="J14" s="3" t="s">
        <v>219</v>
      </c>
      <c r="K14" s="3" t="s">
        <v>220</v>
      </c>
    </row>
    <row r="15" spans="1:13" ht="13.5" customHeight="1">
      <c r="A15" s="4">
        <v>1</v>
      </c>
      <c r="B15" s="3">
        <v>80</v>
      </c>
      <c r="C15" s="3">
        <f t="shared" ref="C15:C21" si="0">B15+$M$2</f>
        <v>85.72</v>
      </c>
      <c r="D15" s="3">
        <f t="shared" ref="D15:D21" si="1">COUNTIFS(Прибыль1,"&gt;="&amp;B15,Прибыль1,"&lt;"&amp;C15)</f>
        <v>1</v>
      </c>
      <c r="E15" s="3">
        <f t="shared" ref="E15:E21" si="2">D15/50</f>
        <v>0.02</v>
      </c>
      <c r="F15" s="3">
        <f t="shared" ref="F15:F21" si="3">(B15+C15)/2</f>
        <v>82.86</v>
      </c>
      <c r="G15" s="3">
        <f t="shared" ref="G15:G21" si="4">F15*D15</f>
        <v>82.86</v>
      </c>
      <c r="H15" s="3">
        <f t="shared" ref="H15:H21" si="5">G15*F15</f>
        <v>6865.7795999999998</v>
      </c>
      <c r="J15" s="3">
        <f t="shared" ref="J15:J21" si="6">(F15-$J$12)^2</f>
        <v>214.32960000000003</v>
      </c>
      <c r="K15" s="3">
        <f t="shared" ref="K15:K21" si="7">J15*D15</f>
        <v>214.32960000000003</v>
      </c>
    </row>
    <row r="16" spans="1:13" ht="13.5" customHeight="1">
      <c r="A16" s="4">
        <v>2</v>
      </c>
      <c r="B16" s="3">
        <f t="shared" ref="B16:B21" si="8">C15</f>
        <v>85.72</v>
      </c>
      <c r="C16" s="3">
        <f t="shared" si="0"/>
        <v>91.44</v>
      </c>
      <c r="D16" s="3">
        <f t="shared" si="1"/>
        <v>11</v>
      </c>
      <c r="E16" s="3">
        <f t="shared" si="2"/>
        <v>0.22</v>
      </c>
      <c r="F16" s="3">
        <f t="shared" si="3"/>
        <v>88.58</v>
      </c>
      <c r="G16" s="3">
        <f t="shared" si="4"/>
        <v>974.38</v>
      </c>
      <c r="H16" s="3">
        <f t="shared" si="5"/>
        <v>86310.580399999992</v>
      </c>
      <c r="J16" s="3">
        <f t="shared" si="6"/>
        <v>79.56640000000003</v>
      </c>
      <c r="K16" s="3">
        <f t="shared" si="7"/>
        <v>875.23040000000037</v>
      </c>
    </row>
    <row r="17" spans="1:11" ht="13.5" customHeight="1">
      <c r="A17" s="4">
        <v>3</v>
      </c>
      <c r="B17" s="3">
        <f t="shared" si="8"/>
        <v>91.44</v>
      </c>
      <c r="C17" s="3">
        <f t="shared" si="0"/>
        <v>97.16</v>
      </c>
      <c r="D17" s="3">
        <f t="shared" si="1"/>
        <v>15</v>
      </c>
      <c r="E17" s="3">
        <f t="shared" si="2"/>
        <v>0.3</v>
      </c>
      <c r="F17" s="3">
        <f t="shared" si="3"/>
        <v>94.3</v>
      </c>
      <c r="G17" s="3">
        <f t="shared" si="4"/>
        <v>1414.5</v>
      </c>
      <c r="H17" s="3">
        <f t="shared" si="5"/>
        <v>133387.35</v>
      </c>
      <c r="J17" s="3">
        <f t="shared" si="6"/>
        <v>10.240000000000018</v>
      </c>
      <c r="K17" s="3">
        <f t="shared" si="7"/>
        <v>153.60000000000028</v>
      </c>
    </row>
    <row r="18" spans="1:11" ht="13.5" customHeight="1">
      <c r="A18" s="4">
        <v>4</v>
      </c>
      <c r="B18" s="3">
        <f t="shared" si="8"/>
        <v>97.16</v>
      </c>
      <c r="C18" s="3">
        <f t="shared" si="0"/>
        <v>102.88</v>
      </c>
      <c r="D18" s="3">
        <f t="shared" si="1"/>
        <v>13</v>
      </c>
      <c r="E18" s="3">
        <f t="shared" si="2"/>
        <v>0.26</v>
      </c>
      <c r="F18" s="3">
        <f t="shared" si="3"/>
        <v>100.02</v>
      </c>
      <c r="G18" s="3">
        <f t="shared" si="4"/>
        <v>1300.26</v>
      </c>
      <c r="H18" s="3">
        <f t="shared" si="5"/>
        <v>130052.0052</v>
      </c>
      <c r="J18" s="3">
        <f t="shared" si="6"/>
        <v>6.3503999999999801</v>
      </c>
      <c r="K18" s="3">
        <f t="shared" si="7"/>
        <v>82.555199999999743</v>
      </c>
    </row>
    <row r="19" spans="1:11" ht="13.5" customHeight="1">
      <c r="A19" s="4">
        <v>5</v>
      </c>
      <c r="B19" s="3">
        <f t="shared" si="8"/>
        <v>102.88</v>
      </c>
      <c r="C19" s="3">
        <f t="shared" si="0"/>
        <v>108.6</v>
      </c>
      <c r="D19" s="3">
        <f t="shared" si="1"/>
        <v>6</v>
      </c>
      <c r="E19" s="3">
        <f t="shared" si="2"/>
        <v>0.12</v>
      </c>
      <c r="F19" s="3">
        <f t="shared" si="3"/>
        <v>105.74</v>
      </c>
      <c r="G19" s="3">
        <f t="shared" si="4"/>
        <v>634.43999999999994</v>
      </c>
      <c r="H19" s="3">
        <f t="shared" si="5"/>
        <v>67085.685599999997</v>
      </c>
      <c r="J19" s="3">
        <f t="shared" si="6"/>
        <v>67.897599999999912</v>
      </c>
      <c r="K19" s="3">
        <f t="shared" si="7"/>
        <v>407.3855999999995</v>
      </c>
    </row>
    <row r="20" spans="1:11" ht="13.5" customHeight="1">
      <c r="A20" s="4">
        <v>6</v>
      </c>
      <c r="B20" s="3">
        <f t="shared" si="8"/>
        <v>108.6</v>
      </c>
      <c r="C20" s="3">
        <f t="shared" si="0"/>
        <v>114.32</v>
      </c>
      <c r="D20" s="3">
        <f t="shared" si="1"/>
        <v>2</v>
      </c>
      <c r="E20" s="3">
        <f t="shared" si="2"/>
        <v>0.04</v>
      </c>
      <c r="F20" s="3">
        <f t="shared" si="3"/>
        <v>111.46</v>
      </c>
      <c r="G20" s="3">
        <f t="shared" si="4"/>
        <v>222.92</v>
      </c>
      <c r="H20" s="3">
        <f t="shared" si="5"/>
        <v>24846.663199999995</v>
      </c>
      <c r="J20" s="3">
        <f t="shared" si="6"/>
        <v>194.88159999999982</v>
      </c>
      <c r="K20" s="3">
        <f t="shared" si="7"/>
        <v>389.76319999999964</v>
      </c>
    </row>
    <row r="21" spans="1:11" ht="13.5" customHeight="1">
      <c r="A21" s="4">
        <v>7</v>
      </c>
      <c r="B21" s="3">
        <f t="shared" si="8"/>
        <v>114.32</v>
      </c>
      <c r="C21" s="3">
        <f t="shared" si="0"/>
        <v>120.03999999999999</v>
      </c>
      <c r="D21" s="3">
        <f t="shared" si="1"/>
        <v>2</v>
      </c>
      <c r="E21" s="3">
        <f t="shared" si="2"/>
        <v>0.04</v>
      </c>
      <c r="F21" s="3">
        <f t="shared" si="3"/>
        <v>117.17999999999999</v>
      </c>
      <c r="G21" s="3">
        <f t="shared" si="4"/>
        <v>234.35999999999999</v>
      </c>
      <c r="H21" s="3">
        <f t="shared" si="5"/>
        <v>27462.304799999998</v>
      </c>
      <c r="J21" s="3">
        <f t="shared" si="6"/>
        <v>387.30239999999969</v>
      </c>
      <c r="K21" s="3">
        <f t="shared" si="7"/>
        <v>774.60479999999939</v>
      </c>
    </row>
    <row r="22" spans="1:11" ht="13.5" customHeight="1"/>
    <row r="23" spans="1:11" ht="13.5" customHeight="1">
      <c r="J23" s="3" t="s">
        <v>221</v>
      </c>
      <c r="K23" s="3">
        <f>SUM(K15:K21)</f>
        <v>2897.4687999999987</v>
      </c>
    </row>
    <row r="24" spans="1:11" ht="13.5" customHeight="1"/>
    <row r="25" spans="1:11" ht="13.5" customHeight="1">
      <c r="A25" s="3" t="s">
        <v>222</v>
      </c>
      <c r="B25" s="3">
        <f>_xlfn.CHISQ.INV(0.05, 50)</f>
        <v>34.764251683501755</v>
      </c>
      <c r="E25" s="3">
        <f>K23/B25</f>
        <v>83.346215140165526</v>
      </c>
      <c r="F25" s="25">
        <f t="shared" ref="F25:F26" si="9">SQRT(E25)</f>
        <v>9.129414830106338</v>
      </c>
    </row>
    <row r="26" spans="1:11" ht="13.5" customHeight="1">
      <c r="A26" s="3" t="s">
        <v>215</v>
      </c>
      <c r="B26" s="3">
        <f>_xlfn.CHISQ.INV(0.95, 50)</f>
        <v>67.504806549541186</v>
      </c>
      <c r="E26" s="3">
        <f>K23/B26</f>
        <v>42.922407278859048</v>
      </c>
      <c r="F26" s="25">
        <f t="shared" si="9"/>
        <v>6.5515194633656586</v>
      </c>
    </row>
    <row r="27" spans="1:11" ht="13.5" customHeight="1"/>
    <row r="28" spans="1:11" ht="13.5" customHeight="1"/>
    <row r="29" spans="1:11" ht="13.5" customHeight="1"/>
    <row r="30" spans="1:11" ht="13.5" customHeight="1"/>
    <row r="31" spans="1:11" ht="13.5" customHeight="1"/>
    <row r="32" spans="1:11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>
      <selection activeCell="G31" sqref="G31"/>
    </sheetView>
  </sheetViews>
  <sheetFormatPr defaultColWidth="14.44140625" defaultRowHeight="15" customHeight="1"/>
  <cols>
    <col min="1" max="26" width="8.6640625" customWidth="1"/>
  </cols>
  <sheetData>
    <row r="1" spans="1:1" ht="13.5" customHeight="1">
      <c r="A1" s="3" t="s">
        <v>223</v>
      </c>
    </row>
    <row r="2" spans="1:1" ht="13.5" customHeight="1">
      <c r="A2" s="3" t="s">
        <v>224</v>
      </c>
    </row>
    <row r="3" spans="1:1" ht="13.5" customHeight="1">
      <c r="A3" s="3" t="s">
        <v>225</v>
      </c>
    </row>
    <row r="4" spans="1:1" ht="13.5" customHeight="1">
      <c r="A4" s="3" t="s">
        <v>226</v>
      </c>
    </row>
    <row r="5" spans="1:1" ht="13.5" customHeight="1">
      <c r="A5" s="3" t="s">
        <v>227</v>
      </c>
    </row>
    <row r="6" spans="1:1" ht="13.5" customHeight="1">
      <c r="A6" s="18" t="s">
        <v>228</v>
      </c>
    </row>
    <row r="7" spans="1:1" ht="13.5" customHeight="1">
      <c r="A7" s="3" t="s">
        <v>229</v>
      </c>
    </row>
    <row r="8" spans="1:1" ht="13.5" customHeight="1">
      <c r="A8" s="3" t="s">
        <v>230</v>
      </c>
    </row>
    <row r="9" spans="1:1" ht="13.5" customHeight="1">
      <c r="A9" s="3" t="s">
        <v>231</v>
      </c>
    </row>
    <row r="10" spans="1:1" ht="13.5" customHeight="1">
      <c r="A10" s="3" t="s">
        <v>232</v>
      </c>
    </row>
    <row r="11" spans="1:1" ht="13.5" customHeight="1">
      <c r="A11" s="3" t="s">
        <v>233</v>
      </c>
    </row>
    <row r="12" spans="1:1" ht="13.5" customHeight="1">
      <c r="A12" s="3" t="s">
        <v>234</v>
      </c>
    </row>
    <row r="13" spans="1:1" ht="13.5" customHeight="1">
      <c r="A13" s="3" t="s">
        <v>235</v>
      </c>
    </row>
    <row r="14" spans="1:1" ht="13.5" customHeight="1">
      <c r="A14" s="3" t="s">
        <v>236</v>
      </c>
    </row>
    <row r="15" spans="1:1" ht="13.5" customHeight="1"/>
    <row r="16" spans="1:1" ht="13.5" customHeight="1">
      <c r="A16" s="3" t="s">
        <v>237</v>
      </c>
    </row>
    <row r="17" spans="1:1" ht="13.5" customHeight="1">
      <c r="A17" s="3" t="s">
        <v>238</v>
      </c>
    </row>
    <row r="18" spans="1:1" ht="13.5" customHeight="1">
      <c r="A18" s="3" t="s">
        <v>239</v>
      </c>
    </row>
    <row r="19" spans="1:1" ht="13.5" customHeight="1">
      <c r="A19" s="3" t="s">
        <v>240</v>
      </c>
    </row>
    <row r="20" spans="1:1" ht="13.5" customHeight="1">
      <c r="A20" s="3" t="s">
        <v>241</v>
      </c>
    </row>
    <row r="21" spans="1:1" ht="13.5" customHeight="1">
      <c r="A21" s="3" t="s">
        <v>242</v>
      </c>
    </row>
    <row r="22" spans="1:1" ht="13.5" customHeight="1">
      <c r="A22" s="3" t="s">
        <v>243</v>
      </c>
    </row>
    <row r="23" spans="1:1" ht="13.5" customHeight="1">
      <c r="A23" s="3" t="s">
        <v>244</v>
      </c>
    </row>
    <row r="24" spans="1:1" ht="13.5" customHeight="1">
      <c r="A24" s="3" t="s">
        <v>245</v>
      </c>
    </row>
    <row r="25" spans="1:1" ht="13.5" customHeight="1">
      <c r="A25" s="3" t="s">
        <v>239</v>
      </c>
    </row>
    <row r="26" spans="1:1" ht="13.5" customHeight="1">
      <c r="A26" s="3" t="s">
        <v>246</v>
      </c>
    </row>
    <row r="27" spans="1:1" ht="13.5" customHeight="1">
      <c r="A27" s="3" t="s">
        <v>247</v>
      </c>
    </row>
    <row r="28" spans="1:1" ht="13.5" customHeight="1">
      <c r="A28" s="3" t="s">
        <v>248</v>
      </c>
    </row>
    <row r="29" spans="1:1" ht="13.5" customHeight="1">
      <c r="A29" s="3" t="s">
        <v>249</v>
      </c>
    </row>
    <row r="30" spans="1:1" ht="13.5" customHeight="1">
      <c r="A30" s="3" t="s">
        <v>250</v>
      </c>
    </row>
    <row r="31" spans="1:1" ht="13.5" customHeight="1">
      <c r="A31" s="3" t="s">
        <v>251</v>
      </c>
    </row>
    <row r="32" spans="1:1" ht="13.5" customHeight="1">
      <c r="A32" s="18" t="s">
        <v>252</v>
      </c>
    </row>
    <row r="33" spans="1:1" ht="13.5" customHeight="1">
      <c r="A33" s="3" t="s">
        <v>253</v>
      </c>
    </row>
    <row r="34" spans="1:1" ht="13.5" customHeight="1">
      <c r="A34" s="3" t="s">
        <v>254</v>
      </c>
    </row>
    <row r="35" spans="1:1" ht="13.5" customHeight="1">
      <c r="A35" s="3" t="s">
        <v>255</v>
      </c>
    </row>
    <row r="36" spans="1:1" ht="13.5" customHeight="1">
      <c r="A36" s="3" t="s">
        <v>256</v>
      </c>
    </row>
    <row r="37" spans="1:1" ht="13.5" customHeight="1">
      <c r="A37" s="3" t="s">
        <v>257</v>
      </c>
    </row>
    <row r="38" spans="1:1" ht="13.5" customHeight="1">
      <c r="A38" s="3" t="s">
        <v>258</v>
      </c>
    </row>
    <row r="39" spans="1:1" ht="13.5" customHeight="1">
      <c r="A39" s="3" t="s">
        <v>259</v>
      </c>
    </row>
    <row r="40" spans="1:1" ht="13.5" customHeight="1">
      <c r="A40" s="3" t="s">
        <v>260</v>
      </c>
    </row>
    <row r="41" spans="1:1" ht="13.5" customHeight="1">
      <c r="A41" s="3" t="s">
        <v>261</v>
      </c>
    </row>
    <row r="42" spans="1:1" ht="13.5" customHeight="1">
      <c r="A42" s="3" t="s">
        <v>262</v>
      </c>
    </row>
    <row r="43" spans="1:1" ht="13.5" customHeight="1">
      <c r="A43" s="3" t="s">
        <v>263</v>
      </c>
    </row>
    <row r="44" spans="1:1" ht="13.5" customHeight="1"/>
    <row r="45" spans="1:1" ht="13.5" customHeight="1"/>
    <row r="46" spans="1:1" ht="13.5" customHeight="1"/>
    <row r="47" spans="1:1" ht="13.5" customHeight="1"/>
    <row r="48" spans="1:1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00"/>
  <sheetViews>
    <sheetView tabSelected="1" workbookViewId="0"/>
  </sheetViews>
  <sheetFormatPr defaultColWidth="14.44140625" defaultRowHeight="15" customHeight="1"/>
  <cols>
    <col min="1" max="4" width="8.6640625" customWidth="1"/>
    <col min="5" max="5" width="14.109375" customWidth="1"/>
    <col min="6" max="6" width="15.88671875" customWidth="1"/>
    <col min="7" max="7" width="12.88671875" customWidth="1"/>
    <col min="8" max="8" width="16.109375" customWidth="1"/>
    <col min="9" max="9" width="8.6640625" customWidth="1"/>
    <col min="10" max="10" width="13.44140625" customWidth="1"/>
    <col min="11" max="11" width="14.88671875" customWidth="1"/>
    <col min="12" max="26" width="8.6640625" customWidth="1"/>
  </cols>
  <sheetData>
    <row r="1" spans="1:16" ht="13.5" customHeight="1">
      <c r="A1" s="1" t="s">
        <v>0</v>
      </c>
      <c r="B1" s="58" t="s">
        <v>27</v>
      </c>
      <c r="C1" s="59"/>
      <c r="D1" s="3" t="s">
        <v>28</v>
      </c>
    </row>
    <row r="2" spans="1:16" ht="13.5" customHeight="1">
      <c r="A2" s="1"/>
      <c r="B2" s="3" t="s">
        <v>31</v>
      </c>
      <c r="C2" s="3" t="s">
        <v>32</v>
      </c>
      <c r="D2" s="3" t="s">
        <v>33</v>
      </c>
      <c r="M2" s="7">
        <v>5.72</v>
      </c>
    </row>
    <row r="3" spans="1:16" ht="13.5" customHeight="1">
      <c r="A3" s="4">
        <v>1</v>
      </c>
      <c r="B3" s="3">
        <v>80</v>
      </c>
      <c r="C3" s="8">
        <f t="shared" ref="C3:C9" si="0">B3+$M$2</f>
        <v>85.72</v>
      </c>
      <c r="D3" s="3">
        <f t="shared" ref="D3:D9" si="1">COUNTIFS(Прибыль1,"&gt;="&amp;B3,Прибыль1,"&lt;"&amp;C3)</f>
        <v>1</v>
      </c>
      <c r="G3" s="3" t="s">
        <v>264</v>
      </c>
    </row>
    <row r="4" spans="1:16" ht="13.5" customHeight="1">
      <c r="A4" s="4">
        <v>2</v>
      </c>
      <c r="B4" s="8">
        <f t="shared" ref="B4:B9" si="2">C3</f>
        <v>85.72</v>
      </c>
      <c r="C4" s="8">
        <f t="shared" si="0"/>
        <v>91.44</v>
      </c>
      <c r="D4" s="3">
        <f t="shared" si="1"/>
        <v>11</v>
      </c>
      <c r="L4" s="5" t="s">
        <v>47</v>
      </c>
      <c r="M4" s="10">
        <v>97.27</v>
      </c>
    </row>
    <row r="5" spans="1:16" ht="13.5" customHeight="1">
      <c r="A5" s="4">
        <v>3</v>
      </c>
      <c r="B5" s="8">
        <f t="shared" si="2"/>
        <v>91.44</v>
      </c>
      <c r="C5" s="8">
        <f t="shared" si="0"/>
        <v>97.16</v>
      </c>
      <c r="D5" s="3">
        <f t="shared" si="1"/>
        <v>15</v>
      </c>
      <c r="L5" s="5" t="s">
        <v>265</v>
      </c>
      <c r="M5" s="10">
        <v>7.6859999999999999</v>
      </c>
    </row>
    <row r="6" spans="1:16" ht="13.5" customHeight="1">
      <c r="A6" s="4">
        <v>4</v>
      </c>
      <c r="B6" s="8">
        <f t="shared" si="2"/>
        <v>97.16</v>
      </c>
      <c r="C6" s="8">
        <f t="shared" si="0"/>
        <v>102.88</v>
      </c>
      <c r="D6" s="3">
        <f t="shared" si="1"/>
        <v>13</v>
      </c>
    </row>
    <row r="7" spans="1:16" ht="13.5" customHeight="1">
      <c r="A7" s="4">
        <v>5</v>
      </c>
      <c r="B7" s="8">
        <f t="shared" si="2"/>
        <v>102.88</v>
      </c>
      <c r="C7" s="8">
        <f t="shared" si="0"/>
        <v>108.6</v>
      </c>
      <c r="D7" s="3">
        <f t="shared" si="1"/>
        <v>6</v>
      </c>
    </row>
    <row r="8" spans="1:16" ht="13.5" customHeight="1">
      <c r="A8" s="4">
        <v>6</v>
      </c>
      <c r="B8" s="8">
        <f t="shared" si="2"/>
        <v>108.6</v>
      </c>
      <c r="C8" s="8">
        <f t="shared" si="0"/>
        <v>114.32</v>
      </c>
      <c r="D8" s="3">
        <f t="shared" si="1"/>
        <v>2</v>
      </c>
    </row>
    <row r="9" spans="1:16" ht="13.5" customHeight="1">
      <c r="A9" s="4">
        <v>7</v>
      </c>
      <c r="B9" s="8">
        <f t="shared" si="2"/>
        <v>114.32</v>
      </c>
      <c r="C9" s="8">
        <f t="shared" si="0"/>
        <v>120.03999999999999</v>
      </c>
      <c r="D9" s="3">
        <f t="shared" si="1"/>
        <v>2</v>
      </c>
    </row>
    <row r="10" spans="1:16" ht="13.5" customHeight="1"/>
    <row r="11" spans="1:16" ht="13.5" customHeight="1">
      <c r="A11" s="3" t="s">
        <v>266</v>
      </c>
      <c r="G11" s="3" t="s">
        <v>267</v>
      </c>
      <c r="L11" s="3" t="s">
        <v>268</v>
      </c>
    </row>
    <row r="12" spans="1:16" ht="13.5" customHeight="1">
      <c r="G12" s="3" t="s">
        <v>269</v>
      </c>
      <c r="L12" s="3" t="s">
        <v>270</v>
      </c>
    </row>
    <row r="13" spans="1:16" ht="13.5" customHeight="1">
      <c r="A13" s="1"/>
      <c r="B13" s="3" t="s">
        <v>31</v>
      </c>
      <c r="C13" s="3" t="s">
        <v>32</v>
      </c>
      <c r="D13" s="3" t="s">
        <v>33</v>
      </c>
      <c r="E13" s="3" t="s">
        <v>271</v>
      </c>
      <c r="F13" s="3" t="s">
        <v>272</v>
      </c>
      <c r="G13" s="3" t="s">
        <v>273</v>
      </c>
      <c r="H13" s="3" t="s">
        <v>274</v>
      </c>
      <c r="I13" s="3" t="s">
        <v>275</v>
      </c>
      <c r="J13" s="3" t="s">
        <v>276</v>
      </c>
      <c r="K13" s="3" t="s">
        <v>277</v>
      </c>
      <c r="M13" s="3" t="s">
        <v>278</v>
      </c>
    </row>
    <row r="14" spans="1:16" ht="13.5" customHeight="1">
      <c r="A14" s="4">
        <v>1</v>
      </c>
      <c r="B14" s="3">
        <v>80</v>
      </c>
      <c r="C14" s="3">
        <f>B14+2*$M$2</f>
        <v>91.44</v>
      </c>
      <c r="D14" s="3">
        <f>COUNTIFS(Прибыль1,"&gt;="&amp;B14,Прибыль1,"&lt;"&amp;C14)</f>
        <v>12</v>
      </c>
      <c r="E14" s="18" t="s">
        <v>279</v>
      </c>
      <c r="F14" s="3">
        <v>0</v>
      </c>
      <c r="G14" s="3">
        <f t="shared" ref="G14:G16" si="3">(C14-$M$4)/$M$5</f>
        <v>-0.75852198803018456</v>
      </c>
      <c r="H14" s="3">
        <v>0.2240692775</v>
      </c>
      <c r="I14" s="3">
        <f t="shared" ref="I14:I17" si="4">H14-F14</f>
        <v>0.2240692775</v>
      </c>
      <c r="J14" s="3">
        <f t="shared" ref="J14:J17" si="5">50*I14</f>
        <v>11.203463875000001</v>
      </c>
      <c r="K14" s="3">
        <f t="shared" ref="K14:K17" si="6">(D14-J14)^2/J14</f>
        <v>5.6631574440633839E-2</v>
      </c>
      <c r="M14" s="3" t="s">
        <v>280</v>
      </c>
    </row>
    <row r="15" spans="1:16" ht="13.5" customHeight="1">
      <c r="A15" s="4">
        <v>2</v>
      </c>
      <c r="B15" s="3">
        <f t="shared" ref="B15:B17" si="7">C14</f>
        <v>91.44</v>
      </c>
      <c r="C15" s="8">
        <f t="shared" ref="C15:C16" si="8">B15+$M$2</f>
        <v>97.16</v>
      </c>
      <c r="D15" s="3">
        <f>COUNTIFS(Прибыль1,"&gt;="&amp;B15,Прибыль1,"&lt;"&amp;C15)</f>
        <v>15</v>
      </c>
      <c r="E15" s="3">
        <f t="shared" ref="E15:E17" si="9">(B15-$M$4)/$M$5</f>
        <v>-0.75852198803018456</v>
      </c>
      <c r="F15" s="3">
        <v>0.2240692775</v>
      </c>
      <c r="G15" s="3">
        <f t="shared" si="3"/>
        <v>-1.4311735623210959E-2</v>
      </c>
      <c r="H15" s="3">
        <v>0.49429063849999999</v>
      </c>
      <c r="I15" s="3">
        <f t="shared" si="4"/>
        <v>0.27022136099999999</v>
      </c>
      <c r="J15" s="3">
        <f t="shared" si="5"/>
        <v>13.51106805</v>
      </c>
      <c r="K15" s="3">
        <f t="shared" si="6"/>
        <v>0.16408165094918614</v>
      </c>
      <c r="M15" s="3" t="s">
        <v>281</v>
      </c>
      <c r="P15" s="3">
        <f>_xlfn.CHISQ.INV.RT(0.05,1)</f>
        <v>3.8414588206941236</v>
      </c>
    </row>
    <row r="16" spans="1:16" ht="13.5" customHeight="1">
      <c r="A16" s="4">
        <v>3</v>
      </c>
      <c r="B16" s="8">
        <f t="shared" si="7"/>
        <v>97.16</v>
      </c>
      <c r="C16" s="8">
        <f t="shared" si="8"/>
        <v>102.88</v>
      </c>
      <c r="D16" s="3">
        <f>COUNTIFS(Прибыль1,"&gt;="&amp;B16,Прибыль1,"&lt;"&amp;C16)</f>
        <v>13</v>
      </c>
      <c r="E16" s="3">
        <f t="shared" si="9"/>
        <v>-1.4311735623210959E-2</v>
      </c>
      <c r="F16" s="3">
        <v>0.49429063849999999</v>
      </c>
      <c r="G16" s="3">
        <f t="shared" si="3"/>
        <v>0.72989851678376261</v>
      </c>
      <c r="H16" s="3">
        <v>0.76727389050000006</v>
      </c>
      <c r="I16" s="3">
        <f t="shared" si="4"/>
        <v>0.27298325200000007</v>
      </c>
      <c r="J16" s="3">
        <f t="shared" si="5"/>
        <v>13.649162600000004</v>
      </c>
      <c r="K16" s="3">
        <f t="shared" si="6"/>
        <v>3.0874574037147523E-2</v>
      </c>
    </row>
    <row r="17" spans="1:13" ht="13.5" customHeight="1">
      <c r="A17" s="4">
        <v>4</v>
      </c>
      <c r="B17" s="8">
        <f t="shared" si="7"/>
        <v>102.88</v>
      </c>
      <c r="C17" s="8">
        <f>B17+3*$M$2</f>
        <v>120.03999999999999</v>
      </c>
      <c r="D17" s="3">
        <f>COUNTIFS(Прибыль1,"&gt;="&amp;B17,Прибыль1,"&lt;"&amp;C17)</f>
        <v>10</v>
      </c>
      <c r="E17" s="3">
        <f t="shared" si="9"/>
        <v>0.72989851678376261</v>
      </c>
      <c r="F17" s="3">
        <v>0.76727389050000006</v>
      </c>
      <c r="G17" s="18" t="s">
        <v>282</v>
      </c>
      <c r="H17" s="3">
        <v>1</v>
      </c>
      <c r="I17" s="3">
        <f t="shared" si="4"/>
        <v>0.23272610949999994</v>
      </c>
      <c r="J17" s="3">
        <f t="shared" si="5"/>
        <v>11.636305474999997</v>
      </c>
      <c r="K17" s="3">
        <f t="shared" si="6"/>
        <v>0.23009842885849177</v>
      </c>
      <c r="M17" s="3" t="s">
        <v>283</v>
      </c>
    </row>
    <row r="18" spans="1:13" ht="13.5" customHeight="1">
      <c r="A18" s="26"/>
      <c r="I18" s="3">
        <f>SUM(I14:I17)</f>
        <v>1</v>
      </c>
      <c r="M18" s="27" t="s">
        <v>284</v>
      </c>
    </row>
    <row r="19" spans="1:13" ht="13.5" customHeight="1">
      <c r="A19" s="26"/>
      <c r="J19" s="3" t="s">
        <v>285</v>
      </c>
      <c r="K19" s="17">
        <f>SUM(K14:K17)</f>
        <v>0.48168622828545926</v>
      </c>
    </row>
    <row r="20" spans="1:13" ht="13.5" customHeight="1">
      <c r="A20" s="28" t="s">
        <v>286</v>
      </c>
    </row>
    <row r="21" spans="1:13" ht="13.5" customHeight="1">
      <c r="A21" s="3" t="s">
        <v>287</v>
      </c>
    </row>
    <row r="22" spans="1:13" ht="13.5" customHeight="1">
      <c r="A22" s="3" t="s">
        <v>288</v>
      </c>
    </row>
    <row r="23" spans="1:13" ht="13.5" customHeight="1">
      <c r="A23" s="3" t="s">
        <v>289</v>
      </c>
      <c r="G23" s="5" t="s">
        <v>290</v>
      </c>
      <c r="H23" s="11">
        <v>22.15</v>
      </c>
    </row>
    <row r="24" spans="1:13" ht="13.5" customHeight="1">
      <c r="A24" s="3" t="s">
        <v>291</v>
      </c>
      <c r="F24" s="11">
        <v>1.3599999999999999E-2</v>
      </c>
      <c r="G24" s="5" t="s">
        <v>292</v>
      </c>
      <c r="H24" s="11">
        <v>73.602999999999994</v>
      </c>
    </row>
    <row r="25" spans="1:13" ht="13.5" customHeight="1">
      <c r="B25" s="3" t="s">
        <v>31</v>
      </c>
      <c r="C25" s="3" t="s">
        <v>32</v>
      </c>
      <c r="D25" s="3" t="s">
        <v>33</v>
      </c>
      <c r="E25" s="3" t="s">
        <v>293</v>
      </c>
      <c r="F25" s="3" t="s">
        <v>294</v>
      </c>
      <c r="G25" s="3" t="s">
        <v>275</v>
      </c>
      <c r="H25" s="3" t="s">
        <v>276</v>
      </c>
      <c r="I25" s="3" t="s">
        <v>277</v>
      </c>
    </row>
    <row r="26" spans="1:13" ht="13.5" customHeight="1">
      <c r="A26" s="12">
        <v>1</v>
      </c>
      <c r="B26" s="3">
        <v>0</v>
      </c>
      <c r="C26" s="3">
        <f>20+$H$23</f>
        <v>42.15</v>
      </c>
      <c r="D26" s="3">
        <f>COUNTIFS(Цена,"&gt;="&amp;B26,Цена,"&lt;"&amp;C26)</f>
        <v>11</v>
      </c>
      <c r="E26" s="3">
        <f t="shared" ref="E26:F26" si="10">EXP((-$F$24)*B26)</f>
        <v>1</v>
      </c>
      <c r="F26" s="3">
        <f t="shared" si="10"/>
        <v>0.56369610140487192</v>
      </c>
      <c r="G26" s="3">
        <f t="shared" ref="G26:G30" si="11">E26-F26</f>
        <v>0.43630389859512808</v>
      </c>
      <c r="H26" s="3">
        <f t="shared" ref="H26:H30" si="12">50*G26</f>
        <v>21.815194929756405</v>
      </c>
      <c r="I26" s="3">
        <f t="shared" ref="I26:I30" si="13">(D26-H26)^2/H26</f>
        <v>5.3617875863708715</v>
      </c>
      <c r="K26" s="3" t="s">
        <v>295</v>
      </c>
    </row>
    <row r="27" spans="1:13" ht="13.5" customHeight="1">
      <c r="A27" s="12">
        <v>2</v>
      </c>
      <c r="B27" s="3">
        <f t="shared" ref="B27:B30" si="14">C26</f>
        <v>42.15</v>
      </c>
      <c r="C27" s="3">
        <f t="shared" ref="C27:C28" si="15">B27+$H$23</f>
        <v>64.3</v>
      </c>
      <c r="D27" s="3">
        <f>COUNTIFS(Цена,"&gt;="&amp;B27,Цена,"&lt;"&amp;C27)</f>
        <v>12</v>
      </c>
      <c r="E27" s="3">
        <f t="shared" ref="E27:F27" si="16">EXP((-$F$24)*B27)</f>
        <v>0.56369610140487192</v>
      </c>
      <c r="F27" s="3">
        <f t="shared" si="16"/>
        <v>0.41707884429825659</v>
      </c>
      <c r="G27" s="3">
        <f t="shared" si="11"/>
        <v>0.14661725710661533</v>
      </c>
      <c r="H27" s="3">
        <f t="shared" si="12"/>
        <v>7.330862855330766</v>
      </c>
      <c r="I27" s="3">
        <f t="shared" si="13"/>
        <v>2.9738438852224744</v>
      </c>
      <c r="K27" s="3">
        <f>_xlfn.CHISQ.INV.RT(0.05,3)</f>
        <v>7.8147279032511792</v>
      </c>
    </row>
    <row r="28" spans="1:13" ht="13.5" customHeight="1">
      <c r="A28" s="12">
        <v>2</v>
      </c>
      <c r="B28" s="3">
        <f t="shared" si="14"/>
        <v>64.3</v>
      </c>
      <c r="C28" s="3">
        <f t="shared" si="15"/>
        <v>86.449999999999989</v>
      </c>
      <c r="D28" s="3">
        <f>COUNTIFS(Цена,"&gt;="&amp;B28,Цена,"&lt;"&amp;C28)</f>
        <v>14</v>
      </c>
      <c r="E28" s="3">
        <f t="shared" ref="E28:F28" si="17">EXP((-$F$24)*B28)</f>
        <v>0.41707884429825659</v>
      </c>
      <c r="F28" s="3">
        <f t="shared" si="17"/>
        <v>0.30859671004931649</v>
      </c>
      <c r="G28" s="3">
        <f t="shared" si="11"/>
        <v>0.1084821342489401</v>
      </c>
      <c r="H28" s="3">
        <f t="shared" si="12"/>
        <v>5.4241067124470046</v>
      </c>
      <c r="I28" s="3">
        <f t="shared" si="13"/>
        <v>13.559089003674371</v>
      </c>
      <c r="K28" s="3" t="s">
        <v>296</v>
      </c>
    </row>
    <row r="29" spans="1:13" ht="13.5" customHeight="1">
      <c r="A29" s="15">
        <v>3</v>
      </c>
      <c r="B29" s="3">
        <f t="shared" si="14"/>
        <v>86.449999999999989</v>
      </c>
      <c r="C29" s="3">
        <f>B29+2*$H$23</f>
        <v>130.75</v>
      </c>
      <c r="D29" s="3">
        <f>COUNTIFS(Цена,"&gt;="&amp;B29,Цена,"&lt;"&amp;C29)</f>
        <v>8</v>
      </c>
      <c r="E29" s="3">
        <f t="shared" ref="E29:F29" si="18">EXP((-$F$24)*B29)</f>
        <v>0.30859671004931649</v>
      </c>
      <c r="F29" s="3">
        <f t="shared" si="18"/>
        <v>0.16894196929146763</v>
      </c>
      <c r="G29" s="3">
        <f t="shared" si="11"/>
        <v>0.13965474075784887</v>
      </c>
      <c r="H29" s="3">
        <f t="shared" si="12"/>
        <v>6.9827370378924432</v>
      </c>
      <c r="I29" s="3">
        <f t="shared" si="13"/>
        <v>0.14819746590202046</v>
      </c>
      <c r="K29" s="3" t="s">
        <v>297</v>
      </c>
    </row>
    <row r="30" spans="1:13" ht="13.5" customHeight="1">
      <c r="A30" s="15">
        <v>4</v>
      </c>
      <c r="B30" s="3">
        <f t="shared" si="14"/>
        <v>130.75</v>
      </c>
      <c r="C30" s="18" t="s">
        <v>298</v>
      </c>
      <c r="D30" s="3">
        <v>5</v>
      </c>
      <c r="E30" s="3">
        <f>EXP((-$F$24)*B30)</f>
        <v>0.16894196929146763</v>
      </c>
      <c r="F30" s="3">
        <v>0</v>
      </c>
      <c r="G30" s="3">
        <f t="shared" si="11"/>
        <v>0.16894196929146763</v>
      </c>
      <c r="H30" s="3">
        <f t="shared" si="12"/>
        <v>8.4470984645733811</v>
      </c>
      <c r="I30" s="3">
        <f t="shared" si="13"/>
        <v>1.4066946033953074</v>
      </c>
      <c r="K30" s="3" t="s">
        <v>299</v>
      </c>
    </row>
    <row r="31" spans="1:13" ht="13.5" customHeight="1">
      <c r="A31" s="15"/>
      <c r="K31" s="3" t="s">
        <v>300</v>
      </c>
    </row>
    <row r="32" spans="1:13" ht="13.5" customHeight="1">
      <c r="A32" s="15"/>
      <c r="G32" s="3">
        <f>SUM(G26:G30)</f>
        <v>1</v>
      </c>
      <c r="I32" s="3">
        <f>SUM(I26:I30)</f>
        <v>23.449612544565046</v>
      </c>
    </row>
    <row r="33" spans="1:9" ht="13.5" customHeight="1"/>
    <row r="34" spans="1:9" ht="13.5" customHeight="1">
      <c r="A34" s="3" t="s">
        <v>301</v>
      </c>
    </row>
    <row r="35" spans="1:9" ht="13.5" customHeight="1">
      <c r="A35" s="3" t="s">
        <v>302</v>
      </c>
    </row>
    <row r="36" spans="1:9" ht="13.5" customHeight="1">
      <c r="A36" s="3" t="s">
        <v>303</v>
      </c>
      <c r="F36" s="3" t="s">
        <v>304</v>
      </c>
    </row>
    <row r="37" spans="1:9" ht="13.5" customHeight="1"/>
    <row r="38" spans="1:9" ht="13.5" customHeight="1">
      <c r="B38" s="3" t="s">
        <v>31</v>
      </c>
      <c r="C38" s="3" t="s">
        <v>32</v>
      </c>
      <c r="D38" s="3" t="s">
        <v>33</v>
      </c>
      <c r="E38" s="3" t="s">
        <v>293</v>
      </c>
      <c r="F38" s="3" t="s">
        <v>294</v>
      </c>
      <c r="G38" s="3" t="s">
        <v>275</v>
      </c>
      <c r="H38" s="3" t="s">
        <v>276</v>
      </c>
      <c r="I38" s="3" t="s">
        <v>277</v>
      </c>
    </row>
    <row r="39" spans="1:9" ht="13.5" customHeight="1">
      <c r="A39" s="12">
        <v>1</v>
      </c>
      <c r="B39" s="3">
        <v>0</v>
      </c>
      <c r="C39" s="3">
        <f>20+$H$23</f>
        <v>42.15</v>
      </c>
      <c r="D39" s="3">
        <f>COUNTIFS(Цена,"&gt;="&amp;B39,Цена,"&lt;"&amp;C39)</f>
        <v>11</v>
      </c>
      <c r="E39" s="3">
        <f>EXP((-$F$24)*B39)</f>
        <v>1</v>
      </c>
      <c r="F39" s="3">
        <f>EXP((-$F$24)*(C39-20))</f>
        <v>0.73990017539378328</v>
      </c>
      <c r="G39" s="3">
        <f t="shared" ref="G39:G43" si="19">E39-F39</f>
        <v>0.26009982460621672</v>
      </c>
      <c r="H39" s="3">
        <f t="shared" ref="H39:H43" si="20">50*G39</f>
        <v>13.004991230310836</v>
      </c>
      <c r="I39" s="3">
        <f t="shared" ref="I39:I43" si="21">(D39-H39)^2/H39</f>
        <v>0.30911130676150989</v>
      </c>
    </row>
    <row r="40" spans="1:9" ht="13.5" customHeight="1">
      <c r="A40" s="12">
        <v>2</v>
      </c>
      <c r="B40" s="3">
        <f t="shared" ref="B40:B43" si="22">C39</f>
        <v>42.15</v>
      </c>
      <c r="C40" s="3">
        <f t="shared" ref="C40:C41" si="23">B40+$H$23</f>
        <v>64.3</v>
      </c>
      <c r="D40" s="3">
        <f>COUNTIFS(Цена,"&gt;="&amp;B40,Цена,"&lt;"&amp;C40)</f>
        <v>12</v>
      </c>
      <c r="E40" s="3">
        <f t="shared" ref="E40:F40" si="24">EXP((-$F$24)*(B40-20))</f>
        <v>0.73990017539378328</v>
      </c>
      <c r="F40" s="3">
        <f t="shared" si="24"/>
        <v>0.54745226954775128</v>
      </c>
      <c r="G40" s="3">
        <f t="shared" si="19"/>
        <v>0.192447905846032</v>
      </c>
      <c r="H40" s="3">
        <f t="shared" si="20"/>
        <v>9.6223952923016007</v>
      </c>
      <c r="I40" s="3">
        <f t="shared" si="21"/>
        <v>0.58748409043144145</v>
      </c>
    </row>
    <row r="41" spans="1:9" ht="13.5" customHeight="1">
      <c r="A41" s="12">
        <v>2</v>
      </c>
      <c r="B41" s="3">
        <f t="shared" si="22"/>
        <v>64.3</v>
      </c>
      <c r="C41" s="3">
        <f t="shared" si="23"/>
        <v>86.449999999999989</v>
      </c>
      <c r="D41" s="3">
        <f>COUNTIFS(Цена,"&gt;="&amp;B41,Цена,"&lt;"&amp;C41)</f>
        <v>14</v>
      </c>
      <c r="E41" s="3">
        <f t="shared" ref="E41:F41" si="25">EXP((-$F$24)*(B41-20))</f>
        <v>0.54745226954775128</v>
      </c>
      <c r="F41" s="3">
        <f t="shared" si="25"/>
        <v>0.40506003025810594</v>
      </c>
      <c r="G41" s="3">
        <f t="shared" si="19"/>
        <v>0.14239223928964534</v>
      </c>
      <c r="H41" s="3">
        <f t="shared" si="20"/>
        <v>7.1196119644822673</v>
      </c>
      <c r="I41" s="3">
        <f t="shared" si="21"/>
        <v>6.6492021974596573</v>
      </c>
    </row>
    <row r="42" spans="1:9" ht="13.5" customHeight="1">
      <c r="A42" s="15">
        <v>3</v>
      </c>
      <c r="B42" s="3">
        <f t="shared" si="22"/>
        <v>86.449999999999989</v>
      </c>
      <c r="C42" s="3">
        <f>B42+2*$H$23</f>
        <v>130.75</v>
      </c>
      <c r="D42" s="3">
        <f>COUNTIFS(Цена,"&gt;="&amp;B42,Цена,"&lt;"&amp;C42)</f>
        <v>8</v>
      </c>
      <c r="E42" s="3">
        <f t="shared" ref="E42:F42" si="26">EXP((-$F$24)*(B42-20))</f>
        <v>0.40506003025810594</v>
      </c>
      <c r="F42" s="3">
        <f t="shared" si="26"/>
        <v>0.22175103286788084</v>
      </c>
      <c r="G42" s="3">
        <f t="shared" si="19"/>
        <v>0.1833089973902251</v>
      </c>
      <c r="H42" s="3">
        <f t="shared" si="20"/>
        <v>9.1654498695112547</v>
      </c>
      <c r="I42" s="3">
        <f t="shared" si="21"/>
        <v>0.14819495144063563</v>
      </c>
    </row>
    <row r="43" spans="1:9" ht="13.5" customHeight="1">
      <c r="A43" s="15">
        <v>4</v>
      </c>
      <c r="B43" s="3">
        <f t="shared" si="22"/>
        <v>130.75</v>
      </c>
      <c r="C43" s="18" t="s">
        <v>298</v>
      </c>
      <c r="D43" s="3">
        <v>5</v>
      </c>
      <c r="E43" s="3">
        <f>EXP((-$F$24)*(B43-20))</f>
        <v>0.22175103286788084</v>
      </c>
      <c r="F43" s="3">
        <v>0</v>
      </c>
      <c r="G43" s="3">
        <f t="shared" si="19"/>
        <v>0.22175103286788084</v>
      </c>
      <c r="H43" s="3">
        <f t="shared" si="20"/>
        <v>11.087551643394042</v>
      </c>
      <c r="I43" s="3">
        <f t="shared" si="21"/>
        <v>3.3423325728605562</v>
      </c>
    </row>
    <row r="44" spans="1:9" ht="13.5" customHeight="1">
      <c r="A44" s="15"/>
    </row>
    <row r="45" spans="1:9" ht="13.5" customHeight="1">
      <c r="A45" s="15"/>
      <c r="G45" s="3">
        <f>SUM(G39:G43)</f>
        <v>1</v>
      </c>
      <c r="I45" s="3">
        <f>SUM(I39:I43)</f>
        <v>11.036325118953801</v>
      </c>
    </row>
    <row r="46" spans="1:9" ht="13.5" customHeight="1"/>
    <row r="47" spans="1:9" ht="13.5" customHeight="1"/>
    <row r="48" spans="1:9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B1:C1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000"/>
  <sheetViews>
    <sheetView topLeftCell="A46" workbookViewId="0">
      <selection activeCell="O56" sqref="O56"/>
    </sheetView>
  </sheetViews>
  <sheetFormatPr defaultColWidth="14.44140625" defaultRowHeight="15" customHeight="1"/>
  <cols>
    <col min="1" max="1" width="12.44140625" customWidth="1"/>
    <col min="2" max="2" width="12.5546875" customWidth="1"/>
    <col min="3" max="14" width="8.6640625" customWidth="1"/>
    <col min="15" max="15" width="13.88671875" customWidth="1"/>
    <col min="16" max="26" width="8.6640625" customWidth="1"/>
  </cols>
  <sheetData>
    <row r="1" spans="1:14" ht="13.5" customHeight="1">
      <c r="A1" s="3" t="s">
        <v>305</v>
      </c>
      <c r="M1" s="4">
        <v>80</v>
      </c>
      <c r="N1" s="4">
        <v>20</v>
      </c>
    </row>
    <row r="2" spans="1:14" ht="13.5" customHeight="1">
      <c r="A2" s="3" t="s">
        <v>306</v>
      </c>
      <c r="M2" s="4">
        <v>105</v>
      </c>
      <c r="N2" s="4">
        <v>50</v>
      </c>
    </row>
    <row r="3" spans="1:14" ht="13.5" customHeight="1">
      <c r="M3" s="4">
        <v>100</v>
      </c>
      <c r="N3" s="4">
        <v>80</v>
      </c>
    </row>
    <row r="4" spans="1:14" ht="13.5" customHeight="1">
      <c r="M4" s="4">
        <v>94</v>
      </c>
      <c r="N4" s="4">
        <v>35</v>
      </c>
    </row>
    <row r="5" spans="1:14" ht="13.5" customHeight="1">
      <c r="M5" s="4">
        <v>112</v>
      </c>
      <c r="N5" s="4">
        <v>115</v>
      </c>
    </row>
    <row r="6" spans="1:14" ht="13.5" customHeight="1">
      <c r="M6" s="4">
        <v>108</v>
      </c>
      <c r="N6" s="4">
        <v>40</v>
      </c>
    </row>
    <row r="7" spans="1:14" ht="13.5" customHeight="1">
      <c r="M7" s="4">
        <v>100</v>
      </c>
      <c r="N7" s="4">
        <v>40</v>
      </c>
    </row>
    <row r="8" spans="1:14" ht="13.5" customHeight="1">
      <c r="M8" s="4">
        <v>88</v>
      </c>
      <c r="N8" s="4">
        <v>50</v>
      </c>
    </row>
    <row r="9" spans="1:14" ht="13.5" customHeight="1">
      <c r="M9" s="4">
        <v>92</v>
      </c>
      <c r="N9" s="4">
        <v>30</v>
      </c>
    </row>
    <row r="10" spans="1:14" ht="13.5" customHeight="1">
      <c r="M10" s="4">
        <v>90</v>
      </c>
      <c r="N10" s="4">
        <v>35</v>
      </c>
    </row>
    <row r="11" spans="1:14" ht="13.5" customHeight="1">
      <c r="M11" s="4">
        <v>92</v>
      </c>
      <c r="N11" s="4">
        <v>70</v>
      </c>
    </row>
    <row r="12" spans="1:14" ht="13.5" customHeight="1">
      <c r="M12" s="4">
        <v>101</v>
      </c>
      <c r="N12" s="4">
        <v>120</v>
      </c>
    </row>
    <row r="13" spans="1:14" ht="13.5" customHeight="1">
      <c r="M13" s="4">
        <v>98</v>
      </c>
      <c r="N13" s="4">
        <v>100</v>
      </c>
    </row>
    <row r="14" spans="1:14" ht="13.5" customHeight="1">
      <c r="M14" s="4">
        <v>95</v>
      </c>
      <c r="N14" s="4">
        <v>70</v>
      </c>
    </row>
    <row r="15" spans="1:14" ht="13.5" customHeight="1">
      <c r="M15" s="4">
        <v>90</v>
      </c>
      <c r="N15" s="4">
        <v>65</v>
      </c>
    </row>
    <row r="16" spans="1:14" ht="13.5" customHeight="1">
      <c r="M16" s="4">
        <v>95</v>
      </c>
      <c r="N16" s="4">
        <v>80</v>
      </c>
    </row>
    <row r="17" spans="1:14" ht="13.5" customHeight="1">
      <c r="M17" s="4">
        <v>109</v>
      </c>
      <c r="N17" s="4">
        <v>150</v>
      </c>
    </row>
    <row r="18" spans="1:14" ht="13.5" customHeight="1">
      <c r="M18" s="4">
        <v>90</v>
      </c>
      <c r="N18" s="4">
        <v>50</v>
      </c>
    </row>
    <row r="19" spans="1:14" ht="13.5" customHeight="1">
      <c r="M19" s="4">
        <v>97</v>
      </c>
      <c r="N19" s="4">
        <v>60</v>
      </c>
    </row>
    <row r="20" spans="1:14" ht="13.5" customHeight="1">
      <c r="A20" s="3" t="s">
        <v>307</v>
      </c>
      <c r="M20" s="4">
        <v>90</v>
      </c>
      <c r="N20" s="4">
        <v>50</v>
      </c>
    </row>
    <row r="21" spans="1:14" ht="13.5" customHeight="1">
      <c r="A21" s="3" t="s">
        <v>308</v>
      </c>
      <c r="J21" s="5" t="s">
        <v>309</v>
      </c>
      <c r="K21" s="11">
        <v>5.72</v>
      </c>
      <c r="M21" s="4">
        <v>87</v>
      </c>
      <c r="N21" s="4">
        <v>60</v>
      </c>
    </row>
    <row r="22" spans="1:14" ht="13.5" customHeight="1">
      <c r="J22" s="5" t="s">
        <v>310</v>
      </c>
      <c r="K22" s="14">
        <v>22.15</v>
      </c>
      <c r="M22" s="4">
        <v>100</v>
      </c>
      <c r="N22" s="4">
        <v>90</v>
      </c>
    </row>
    <row r="23" spans="1:14" ht="13.5" customHeight="1">
      <c r="A23" s="29" t="s">
        <v>311</v>
      </c>
      <c r="B23" s="3" t="s">
        <v>312</v>
      </c>
      <c r="C23" s="3">
        <v>20</v>
      </c>
      <c r="D23" s="9">
        <f t="shared" ref="D23:I23" si="0">C24</f>
        <v>42.15</v>
      </c>
      <c r="E23" s="9">
        <f t="shared" si="0"/>
        <v>64.3</v>
      </c>
      <c r="F23" s="9">
        <f t="shared" si="0"/>
        <v>86.449999999999989</v>
      </c>
      <c r="G23" s="9">
        <f t="shared" si="0"/>
        <v>108.6</v>
      </c>
      <c r="H23" s="9">
        <f t="shared" si="0"/>
        <v>130.75</v>
      </c>
      <c r="I23" s="9">
        <f t="shared" si="0"/>
        <v>152.9</v>
      </c>
      <c r="M23" s="4">
        <v>98</v>
      </c>
      <c r="N23" s="4">
        <v>40</v>
      </c>
    </row>
    <row r="24" spans="1:14" ht="13.5" customHeight="1">
      <c r="A24" s="29" t="s">
        <v>313</v>
      </c>
      <c r="B24" s="3" t="s">
        <v>314</v>
      </c>
      <c r="C24" s="30">
        <f t="shared" ref="C24:I24" si="1">C23+$K$22</f>
        <v>42.15</v>
      </c>
      <c r="D24" s="30">
        <f t="shared" si="1"/>
        <v>64.3</v>
      </c>
      <c r="E24" s="30">
        <f t="shared" si="1"/>
        <v>86.449999999999989</v>
      </c>
      <c r="F24" s="30">
        <f t="shared" si="1"/>
        <v>108.6</v>
      </c>
      <c r="G24" s="30">
        <f t="shared" si="1"/>
        <v>130.75</v>
      </c>
      <c r="H24" s="30">
        <f t="shared" si="1"/>
        <v>152.9</v>
      </c>
      <c r="I24" s="30">
        <f t="shared" si="1"/>
        <v>175.05</v>
      </c>
      <c r="J24" s="3" t="s">
        <v>315</v>
      </c>
      <c r="M24" s="4">
        <v>89</v>
      </c>
      <c r="N24" s="4">
        <v>25</v>
      </c>
    </row>
    <row r="25" spans="1:14" ht="13.5" customHeight="1">
      <c r="A25" s="3" t="s">
        <v>31</v>
      </c>
      <c r="B25" s="31" t="s">
        <v>316</v>
      </c>
      <c r="I25" s="32"/>
      <c r="M25" s="4">
        <v>90</v>
      </c>
      <c r="N25" s="4">
        <v>85</v>
      </c>
    </row>
    <row r="26" spans="1:14" ht="13.5" customHeight="1">
      <c r="A26" s="3">
        <v>80</v>
      </c>
      <c r="B26" s="31">
        <f t="shared" ref="B26:B32" si="2">A26+$K$21</f>
        <v>85.72</v>
      </c>
      <c r="C26" s="3">
        <f t="shared" ref="C26:I26" si="3">COUNTIFS($M$1:$M$50,"&gt;="&amp;$A26, $M$1:$M$50, "&lt;"&amp;$B26, $N$1:$N$50, "&gt;="&amp;C$23, $N$1:$N$50, "&lt;"&amp;C$24)</f>
        <v>1</v>
      </c>
      <c r="D26" s="3">
        <f t="shared" si="3"/>
        <v>0</v>
      </c>
      <c r="E26" s="3">
        <f t="shared" si="3"/>
        <v>0</v>
      </c>
      <c r="F26" s="3">
        <f t="shared" si="3"/>
        <v>0</v>
      </c>
      <c r="G26" s="3">
        <f t="shared" si="3"/>
        <v>0</v>
      </c>
      <c r="H26" s="3">
        <f t="shared" si="3"/>
        <v>0</v>
      </c>
      <c r="I26" s="31">
        <f t="shared" si="3"/>
        <v>0</v>
      </c>
      <c r="J26" s="3">
        <f t="shared" ref="J26:J32" si="4">SUM(C26:I26)</f>
        <v>1</v>
      </c>
      <c r="M26" s="4">
        <v>97</v>
      </c>
      <c r="N26" s="4">
        <v>75</v>
      </c>
    </row>
    <row r="27" spans="1:14" ht="13.5" customHeight="1">
      <c r="A27" s="3">
        <f t="shared" ref="A27:A32" si="5">B26</f>
        <v>85.72</v>
      </c>
      <c r="B27" s="31">
        <f t="shared" si="2"/>
        <v>91.44</v>
      </c>
      <c r="C27" s="3">
        <f t="shared" ref="C27:I27" si="6">COUNTIFS($M$1:$M$50,"&gt;="&amp;$A27, $M$1:$M$50, "&lt;"&amp;$B27, $N$1:$N$50, "&gt;="&amp;C$23, $N$1:$N$50, "&lt;"&amp;C$24)</f>
        <v>3</v>
      </c>
      <c r="D27" s="3">
        <f t="shared" si="6"/>
        <v>6</v>
      </c>
      <c r="E27" s="3">
        <f t="shared" si="6"/>
        <v>2</v>
      </c>
      <c r="F27" s="3">
        <f t="shared" si="6"/>
        <v>0</v>
      </c>
      <c r="G27" s="3">
        <f t="shared" si="6"/>
        <v>0</v>
      </c>
      <c r="H27" s="3">
        <f t="shared" si="6"/>
        <v>0</v>
      </c>
      <c r="I27" s="31">
        <f t="shared" si="6"/>
        <v>0</v>
      </c>
      <c r="J27" s="3">
        <f t="shared" si="4"/>
        <v>11</v>
      </c>
      <c r="M27" s="4">
        <v>108</v>
      </c>
      <c r="N27" s="4">
        <v>175</v>
      </c>
    </row>
    <row r="28" spans="1:14" ht="13.5" customHeight="1">
      <c r="A28" s="3">
        <f t="shared" si="5"/>
        <v>91.44</v>
      </c>
      <c r="B28" s="31">
        <f t="shared" si="2"/>
        <v>97.16</v>
      </c>
      <c r="C28" s="3">
        <f t="shared" ref="C28:I28" si="7">COUNTIFS($M$1:$M$50,"&gt;="&amp;$A28, $M$1:$M$50, "&lt;"&amp;$B28, $N$1:$N$50, "&gt;="&amp;C$23, $N$1:$N$50, "&lt;"&amp;C$24)</f>
        <v>3</v>
      </c>
      <c r="D28" s="3">
        <f t="shared" si="7"/>
        <v>4</v>
      </c>
      <c r="E28" s="3">
        <f t="shared" si="7"/>
        <v>7</v>
      </c>
      <c r="F28" s="3">
        <f t="shared" si="7"/>
        <v>0</v>
      </c>
      <c r="G28" s="3">
        <f t="shared" si="7"/>
        <v>1</v>
      </c>
      <c r="H28" s="3">
        <f t="shared" si="7"/>
        <v>0</v>
      </c>
      <c r="I28" s="31">
        <f t="shared" si="7"/>
        <v>0</v>
      </c>
      <c r="J28" s="3">
        <f t="shared" si="4"/>
        <v>15</v>
      </c>
      <c r="M28" s="4">
        <v>102</v>
      </c>
      <c r="N28" s="4">
        <v>100</v>
      </c>
    </row>
    <row r="29" spans="1:14" ht="13.5" customHeight="1">
      <c r="A29" s="3">
        <f t="shared" si="5"/>
        <v>97.16</v>
      </c>
      <c r="B29" s="31">
        <f t="shared" si="2"/>
        <v>102.88</v>
      </c>
      <c r="C29" s="3">
        <f t="shared" ref="C29:I29" si="8">COUNTIFS($M$1:$M$50,"&gt;="&amp;$A29, $M$1:$M$50, "&lt;"&amp;$B29, $N$1:$N$50, "&gt;="&amp;C$23, $N$1:$N$50, "&lt;"&amp;C$24)</f>
        <v>3</v>
      </c>
      <c r="D29" s="3">
        <f t="shared" si="8"/>
        <v>1</v>
      </c>
      <c r="E29" s="3">
        <f t="shared" si="8"/>
        <v>4</v>
      </c>
      <c r="F29" s="3">
        <f t="shared" si="8"/>
        <v>3</v>
      </c>
      <c r="G29" s="3">
        <f t="shared" si="8"/>
        <v>1</v>
      </c>
      <c r="H29" s="3">
        <f t="shared" si="8"/>
        <v>0</v>
      </c>
      <c r="I29" s="31">
        <f t="shared" si="8"/>
        <v>1</v>
      </c>
      <c r="J29" s="3">
        <f t="shared" si="4"/>
        <v>13</v>
      </c>
      <c r="M29" s="4">
        <v>88</v>
      </c>
      <c r="N29" s="4">
        <v>40</v>
      </c>
    </row>
    <row r="30" spans="1:14" ht="13.5" customHeight="1">
      <c r="A30" s="3">
        <f t="shared" si="5"/>
        <v>102.88</v>
      </c>
      <c r="B30" s="31">
        <f t="shared" si="2"/>
        <v>108.6</v>
      </c>
      <c r="C30" s="3">
        <f t="shared" ref="C30:I30" si="9">COUNTIFS($M$1:$M$50,"&gt;="&amp;$A30, $M$1:$M$50, "&lt;"&amp;$B30, $N$1:$N$50, "&gt;="&amp;C$23, $N$1:$N$50, "&lt;"&amp;C$24)</f>
        <v>1</v>
      </c>
      <c r="D30" s="3">
        <f t="shared" si="9"/>
        <v>1</v>
      </c>
      <c r="E30" s="3">
        <f t="shared" si="9"/>
        <v>1</v>
      </c>
      <c r="F30" s="3">
        <f t="shared" si="9"/>
        <v>0</v>
      </c>
      <c r="G30" s="3">
        <f t="shared" si="9"/>
        <v>0</v>
      </c>
      <c r="H30" s="3">
        <f t="shared" si="9"/>
        <v>0</v>
      </c>
      <c r="I30" s="31">
        <f t="shared" si="9"/>
        <v>3</v>
      </c>
      <c r="J30" s="3">
        <f t="shared" si="4"/>
        <v>6</v>
      </c>
      <c r="M30" s="4">
        <v>96</v>
      </c>
      <c r="N30" s="4">
        <v>50</v>
      </c>
    </row>
    <row r="31" spans="1:14" ht="13.5" customHeight="1">
      <c r="A31" s="3">
        <f t="shared" si="5"/>
        <v>108.6</v>
      </c>
      <c r="B31" s="31">
        <f t="shared" si="2"/>
        <v>114.32</v>
      </c>
      <c r="C31" s="3">
        <f t="shared" ref="C31:I31" si="10">COUNTIFS($M$1:$M$50,"&gt;="&amp;$A31, $M$1:$M$50, "&lt;"&amp;$B31, $N$1:$N$50, "&gt;="&amp;C$23, $N$1:$N$50, "&lt;"&amp;C$24)</f>
        <v>0</v>
      </c>
      <c r="D31" s="3">
        <f t="shared" si="10"/>
        <v>0</v>
      </c>
      <c r="E31" s="3">
        <f t="shared" si="10"/>
        <v>0</v>
      </c>
      <c r="F31" s="3">
        <f t="shared" si="10"/>
        <v>0</v>
      </c>
      <c r="G31" s="3">
        <f t="shared" si="10"/>
        <v>1</v>
      </c>
      <c r="H31" s="3">
        <f t="shared" si="10"/>
        <v>1</v>
      </c>
      <c r="I31" s="31">
        <f t="shared" si="10"/>
        <v>0</v>
      </c>
      <c r="J31" s="3">
        <f t="shared" si="4"/>
        <v>2</v>
      </c>
      <c r="M31" s="4">
        <v>92</v>
      </c>
      <c r="N31" s="4">
        <v>75</v>
      </c>
    </row>
    <row r="32" spans="1:14" ht="13.5" customHeight="1">
      <c r="A32" s="3">
        <f t="shared" si="5"/>
        <v>114.32</v>
      </c>
      <c r="B32" s="31">
        <f t="shared" si="2"/>
        <v>120.03999999999999</v>
      </c>
      <c r="C32" s="33">
        <f t="shared" ref="C32:I32" si="11">COUNTIFS($M$1:$M$50,"&gt;="&amp;$A32, $M$1:$M$50, "&lt;"&amp;$B32, $N$1:$N$50, "&gt;="&amp;C$23, $N$1:$N$50, "&lt;"&amp;C$24)</f>
        <v>0</v>
      </c>
      <c r="D32" s="34">
        <f t="shared" si="11"/>
        <v>0</v>
      </c>
      <c r="E32" s="34">
        <f t="shared" si="11"/>
        <v>0</v>
      </c>
      <c r="F32" s="34">
        <f t="shared" si="11"/>
        <v>2</v>
      </c>
      <c r="G32" s="34">
        <f t="shared" si="11"/>
        <v>0</v>
      </c>
      <c r="H32" s="34">
        <f t="shared" si="11"/>
        <v>0</v>
      </c>
      <c r="I32" s="35">
        <f t="shared" si="11"/>
        <v>0</v>
      </c>
      <c r="J32" s="3">
        <f t="shared" si="4"/>
        <v>2</v>
      </c>
      <c r="M32" s="4">
        <v>102</v>
      </c>
      <c r="N32" s="4">
        <v>25</v>
      </c>
    </row>
    <row r="33" spans="1:16" ht="13.5" customHeight="1">
      <c r="B33" s="3" t="s">
        <v>317</v>
      </c>
      <c r="C33" s="3">
        <f t="shared" ref="C33:I33" si="12">SUM(C26:C32)</f>
        <v>11</v>
      </c>
      <c r="D33" s="3">
        <f t="shared" si="12"/>
        <v>12</v>
      </c>
      <c r="E33" s="3">
        <f t="shared" si="12"/>
        <v>14</v>
      </c>
      <c r="F33" s="3">
        <f t="shared" si="12"/>
        <v>5</v>
      </c>
      <c r="G33" s="3">
        <f t="shared" si="12"/>
        <v>3</v>
      </c>
      <c r="H33" s="3">
        <f t="shared" si="12"/>
        <v>1</v>
      </c>
      <c r="I33" s="3">
        <f t="shared" si="12"/>
        <v>4</v>
      </c>
      <c r="M33" s="4">
        <v>115</v>
      </c>
      <c r="N33" s="4">
        <v>95</v>
      </c>
    </row>
    <row r="34" spans="1:16" ht="13.5" customHeight="1">
      <c r="A34" s="3" t="s">
        <v>318</v>
      </c>
      <c r="M34" s="4">
        <v>90</v>
      </c>
      <c r="N34" s="4">
        <v>60</v>
      </c>
    </row>
    <row r="35" spans="1:16" ht="13.5" customHeight="1">
      <c r="M35" s="4">
        <v>92</v>
      </c>
      <c r="N35" s="4">
        <v>70</v>
      </c>
    </row>
    <row r="36" spans="1:16" ht="13.5" customHeight="1">
      <c r="A36" s="18" t="s">
        <v>319</v>
      </c>
      <c r="M36" s="4">
        <v>95</v>
      </c>
      <c r="N36" s="4">
        <v>85</v>
      </c>
    </row>
    <row r="37" spans="1:16" ht="13.5" customHeight="1">
      <c r="A37" s="29" t="s">
        <v>311</v>
      </c>
      <c r="D37" s="9"/>
      <c r="E37" s="9"/>
      <c r="F37" s="9"/>
      <c r="G37" s="9"/>
      <c r="H37" s="9"/>
      <c r="I37" s="9"/>
      <c r="M37" s="4">
        <v>108</v>
      </c>
      <c r="N37" s="4">
        <v>170</v>
      </c>
    </row>
    <row r="38" spans="1:16" ht="13.5" customHeight="1">
      <c r="A38" s="29" t="s">
        <v>313</v>
      </c>
      <c r="B38" s="3" t="s">
        <v>320</v>
      </c>
      <c r="C38" s="9">
        <f t="shared" ref="C38:I38" si="13">(C23+C24)/2</f>
        <v>31.074999999999999</v>
      </c>
      <c r="D38" s="9">
        <f t="shared" si="13"/>
        <v>53.224999999999994</v>
      </c>
      <c r="E38" s="9">
        <f t="shared" si="13"/>
        <v>75.375</v>
      </c>
      <c r="F38" s="9">
        <f t="shared" si="13"/>
        <v>97.524999999999991</v>
      </c>
      <c r="G38" s="9">
        <f t="shared" si="13"/>
        <v>119.675</v>
      </c>
      <c r="H38" s="9">
        <f t="shared" si="13"/>
        <v>141.82499999999999</v>
      </c>
      <c r="I38" s="9">
        <f t="shared" si="13"/>
        <v>163.97500000000002</v>
      </c>
      <c r="J38" s="57" t="s">
        <v>315</v>
      </c>
      <c r="K38" s="3" t="s">
        <v>321</v>
      </c>
      <c r="M38" s="4">
        <v>95</v>
      </c>
      <c r="N38" s="4">
        <v>120</v>
      </c>
      <c r="P38" s="3" t="s">
        <v>322</v>
      </c>
    </row>
    <row r="39" spans="1:16" ht="13.5" customHeight="1">
      <c r="B39" s="3" t="s">
        <v>323</v>
      </c>
      <c r="M39" s="4">
        <v>99</v>
      </c>
      <c r="N39" s="4">
        <v>160</v>
      </c>
    </row>
    <row r="40" spans="1:16" ht="13.5" customHeight="1">
      <c r="B40" s="3">
        <f t="shared" ref="B40:B46" si="14">(A26+B26)/2</f>
        <v>82.86</v>
      </c>
      <c r="C40" s="3">
        <f t="shared" ref="C40:I40" si="15">COUNTIFS($M$1:$M$50,"&gt;="&amp;$A26, $M$1:$M$50, "&lt;"&amp;$B26, $N$1:$N$50, "&gt;="&amp;C$23, $N$1:$N$50, "&lt;"&amp;C$24)</f>
        <v>1</v>
      </c>
      <c r="D40" s="3">
        <f t="shared" si="15"/>
        <v>0</v>
      </c>
      <c r="E40" s="3">
        <f t="shared" si="15"/>
        <v>0</v>
      </c>
      <c r="F40" s="3">
        <f t="shared" si="15"/>
        <v>0</v>
      </c>
      <c r="G40" s="3">
        <f t="shared" si="15"/>
        <v>0</v>
      </c>
      <c r="H40" s="3">
        <f t="shared" si="15"/>
        <v>0</v>
      </c>
      <c r="I40" s="3">
        <f t="shared" si="15"/>
        <v>0</v>
      </c>
      <c r="J40" s="3">
        <f t="shared" ref="J40:J46" si="16">SUM(C40:I40)</f>
        <v>1</v>
      </c>
      <c r="K40" s="3">
        <f>1/J40*SUMPRODUCT(C$38:I$38,C40:I40)</f>
        <v>31.074999999999999</v>
      </c>
      <c r="M40" s="4">
        <v>97</v>
      </c>
      <c r="N40" s="4">
        <v>50</v>
      </c>
    </row>
    <row r="41" spans="1:16" ht="13.5" customHeight="1">
      <c r="B41" s="3">
        <f t="shared" si="14"/>
        <v>88.58</v>
      </c>
      <c r="C41" s="3">
        <f t="shared" ref="C41:I41" si="17">COUNTIFS($M$1:$M$50,"&gt;="&amp;$A27, $M$1:$M$50, "&lt;"&amp;$B27, $N$1:$N$50, "&gt;="&amp;C$23, $N$1:$N$50, "&lt;"&amp;C$24)</f>
        <v>3</v>
      </c>
      <c r="D41" s="3">
        <f t="shared" si="17"/>
        <v>6</v>
      </c>
      <c r="E41" s="3">
        <f t="shared" si="17"/>
        <v>2</v>
      </c>
      <c r="F41" s="3">
        <f t="shared" si="17"/>
        <v>0</v>
      </c>
      <c r="G41" s="3">
        <f t="shared" si="17"/>
        <v>0</v>
      </c>
      <c r="H41" s="3">
        <f t="shared" si="17"/>
        <v>0</v>
      </c>
      <c r="I41" s="3">
        <f t="shared" si="17"/>
        <v>0</v>
      </c>
      <c r="J41" s="3">
        <f t="shared" si="16"/>
        <v>11</v>
      </c>
      <c r="K41" s="3">
        <f>1/J41*SUMPRODUCT(C$38:I$38,C41:I41)</f>
        <v>51.211363636363629</v>
      </c>
      <c r="M41" s="4">
        <v>102</v>
      </c>
      <c r="N41" s="4">
        <v>80</v>
      </c>
    </row>
    <row r="42" spans="1:16" ht="13.5" customHeight="1">
      <c r="B42" s="3">
        <f t="shared" si="14"/>
        <v>94.3</v>
      </c>
      <c r="C42" s="3">
        <f t="shared" ref="C42:I42" si="18">COUNTIFS($M$1:$M$50,"&gt;="&amp;$A28, $M$1:$M$50, "&lt;"&amp;$B28, $N$1:$N$50, "&gt;="&amp;C$23, $N$1:$N$50, "&lt;"&amp;C$24)</f>
        <v>3</v>
      </c>
      <c r="D42" s="3">
        <f t="shared" si="18"/>
        <v>4</v>
      </c>
      <c r="E42" s="3">
        <f t="shared" si="18"/>
        <v>7</v>
      </c>
      <c r="F42" s="3">
        <f t="shared" si="18"/>
        <v>0</v>
      </c>
      <c r="G42" s="3">
        <f t="shared" si="18"/>
        <v>1</v>
      </c>
      <c r="H42" s="3">
        <f t="shared" si="18"/>
        <v>0</v>
      </c>
      <c r="I42" s="3">
        <f t="shared" si="18"/>
        <v>0</v>
      </c>
      <c r="J42" s="3">
        <f t="shared" si="16"/>
        <v>15</v>
      </c>
      <c r="K42" s="3">
        <f>1/J42*SUMPRODUCT(C$38:I$38,C42:I42)</f>
        <v>63.56166666666666</v>
      </c>
      <c r="M42" s="4">
        <v>95</v>
      </c>
      <c r="N42" s="4">
        <v>20</v>
      </c>
    </row>
    <row r="43" spans="1:16" ht="13.5" customHeight="1">
      <c r="B43" s="3">
        <f t="shared" si="14"/>
        <v>100.02</v>
      </c>
      <c r="C43" s="3">
        <f t="shared" ref="C43:I43" si="19">COUNTIFS($M$1:$M$50,"&gt;="&amp;$A29, $M$1:$M$50, "&lt;"&amp;$B29, $N$1:$N$50, "&gt;="&amp;C$23, $N$1:$N$50, "&lt;"&amp;C$24)</f>
        <v>3</v>
      </c>
      <c r="D43" s="3">
        <f t="shared" si="19"/>
        <v>1</v>
      </c>
      <c r="E43" s="3">
        <f t="shared" si="19"/>
        <v>4</v>
      </c>
      <c r="F43" s="3">
        <f t="shared" si="19"/>
        <v>3</v>
      </c>
      <c r="G43" s="3">
        <f t="shared" si="19"/>
        <v>1</v>
      </c>
      <c r="H43" s="3">
        <f t="shared" si="19"/>
        <v>0</v>
      </c>
      <c r="I43" s="3">
        <f t="shared" si="19"/>
        <v>1</v>
      </c>
      <c r="J43" s="3">
        <f t="shared" si="16"/>
        <v>13</v>
      </c>
      <c r="K43" s="3">
        <f t="shared" ref="K43:K46" si="20">1/J43*SUMPRODUCT(C$38:I$38,C43:I43)</f>
        <v>78.782692307692315</v>
      </c>
      <c r="M43" s="4">
        <v>90</v>
      </c>
      <c r="N43" s="4">
        <v>55</v>
      </c>
    </row>
    <row r="44" spans="1:16" ht="13.5" customHeight="1">
      <c r="B44" s="3">
        <f t="shared" si="14"/>
        <v>105.74</v>
      </c>
      <c r="C44" s="3">
        <f t="shared" ref="C44:I44" si="21">COUNTIFS($M$1:$M$50,"&gt;="&amp;$A30, $M$1:$M$50, "&lt;"&amp;$B30, $N$1:$N$50, "&gt;="&amp;C$23, $N$1:$N$50, "&lt;"&amp;C$24)</f>
        <v>1</v>
      </c>
      <c r="D44" s="3">
        <f t="shared" si="21"/>
        <v>1</v>
      </c>
      <c r="E44" s="3">
        <f t="shared" si="21"/>
        <v>1</v>
      </c>
      <c r="F44" s="3">
        <f t="shared" si="21"/>
        <v>0</v>
      </c>
      <c r="G44" s="3">
        <f t="shared" si="21"/>
        <v>0</v>
      </c>
      <c r="H44" s="3">
        <f t="shared" si="21"/>
        <v>0</v>
      </c>
      <c r="I44" s="3">
        <f t="shared" si="21"/>
        <v>3</v>
      </c>
      <c r="J44" s="3">
        <f t="shared" si="16"/>
        <v>6</v>
      </c>
      <c r="K44" s="3">
        <f t="shared" si="20"/>
        <v>108.60000000000002</v>
      </c>
      <c r="M44" s="4">
        <v>101</v>
      </c>
      <c r="N44" s="4">
        <v>70</v>
      </c>
    </row>
    <row r="45" spans="1:16" ht="13.5" customHeight="1">
      <c r="B45" s="3">
        <f t="shared" si="14"/>
        <v>111.46</v>
      </c>
      <c r="C45" s="3">
        <f t="shared" ref="C45:I45" si="22">COUNTIFS($M$1:$M$50,"&gt;="&amp;$A31, $M$1:$M$50, "&lt;"&amp;$B31, $N$1:$N$50, "&gt;="&amp;C$23, $N$1:$N$50, "&lt;"&amp;C$24)</f>
        <v>0</v>
      </c>
      <c r="D45" s="3">
        <f t="shared" si="22"/>
        <v>0</v>
      </c>
      <c r="E45" s="3">
        <f t="shared" si="22"/>
        <v>0</v>
      </c>
      <c r="F45" s="3">
        <f t="shared" si="22"/>
        <v>0</v>
      </c>
      <c r="G45" s="3">
        <f t="shared" si="22"/>
        <v>1</v>
      </c>
      <c r="H45" s="3">
        <f t="shared" si="22"/>
        <v>1</v>
      </c>
      <c r="I45" s="3">
        <f t="shared" si="22"/>
        <v>0</v>
      </c>
      <c r="J45" s="3">
        <f t="shared" si="16"/>
        <v>2</v>
      </c>
      <c r="K45" s="3">
        <f t="shared" si="20"/>
        <v>130.75</v>
      </c>
      <c r="M45" s="4">
        <v>104</v>
      </c>
      <c r="N45" s="4">
        <v>80</v>
      </c>
    </row>
    <row r="46" spans="1:16" ht="13.5" customHeight="1">
      <c r="B46" s="3">
        <f t="shared" si="14"/>
        <v>117.17999999999999</v>
      </c>
      <c r="C46" s="3">
        <f t="shared" ref="C46:I46" si="23">COUNTIFS($M$1:$M$50,"&gt;="&amp;$A32, $M$1:$M$50, "&lt;"&amp;$B32, $N$1:$N$50, "&gt;="&amp;C$23, $N$1:$N$50, "&lt;"&amp;C$24)</f>
        <v>0</v>
      </c>
      <c r="D46" s="3">
        <f t="shared" si="23"/>
        <v>0</v>
      </c>
      <c r="E46" s="3">
        <f t="shared" si="23"/>
        <v>0</v>
      </c>
      <c r="F46" s="3">
        <f t="shared" si="23"/>
        <v>2</v>
      </c>
      <c r="G46" s="3">
        <f t="shared" si="23"/>
        <v>0</v>
      </c>
      <c r="H46" s="3">
        <f t="shared" si="23"/>
        <v>0</v>
      </c>
      <c r="I46" s="3">
        <f t="shared" si="23"/>
        <v>0</v>
      </c>
      <c r="J46" s="3">
        <f t="shared" si="16"/>
        <v>2</v>
      </c>
      <c r="K46" s="3">
        <f t="shared" si="20"/>
        <v>97.524999999999991</v>
      </c>
      <c r="M46" s="4">
        <v>120</v>
      </c>
      <c r="N46" s="4">
        <v>100</v>
      </c>
    </row>
    <row r="47" spans="1:16" ht="13.5" customHeight="1">
      <c r="B47" s="3" t="s">
        <v>317</v>
      </c>
      <c r="C47" s="3">
        <f t="shared" ref="C47:I47" si="24">SUM(C40:C46)</f>
        <v>11</v>
      </c>
      <c r="D47" s="3">
        <f t="shared" si="24"/>
        <v>12</v>
      </c>
      <c r="E47" s="3">
        <f t="shared" si="24"/>
        <v>14</v>
      </c>
      <c r="F47" s="3">
        <f t="shared" si="24"/>
        <v>5</v>
      </c>
      <c r="G47" s="3">
        <f t="shared" si="24"/>
        <v>3</v>
      </c>
      <c r="H47" s="3">
        <f t="shared" si="24"/>
        <v>1</v>
      </c>
      <c r="I47" s="3">
        <f t="shared" si="24"/>
        <v>4</v>
      </c>
      <c r="M47" s="4">
        <v>101</v>
      </c>
      <c r="N47" s="4">
        <v>60</v>
      </c>
    </row>
    <row r="48" spans="1:16" ht="13.5" customHeight="1">
      <c r="M48" s="4">
        <v>95</v>
      </c>
      <c r="N48" s="4">
        <v>50</v>
      </c>
    </row>
    <row r="49" spans="1:18" ht="13.5" customHeight="1">
      <c r="A49" s="3" t="s">
        <v>324</v>
      </c>
      <c r="M49" s="4">
        <v>98</v>
      </c>
      <c r="N49" s="4">
        <v>70</v>
      </c>
    </row>
    <row r="50" spans="1:18" ht="13.5" customHeight="1">
      <c r="A50" s="18" t="s">
        <v>325</v>
      </c>
      <c r="M50" s="4">
        <v>108</v>
      </c>
      <c r="N50" s="4">
        <v>160</v>
      </c>
    </row>
    <row r="51" spans="1:18" ht="13.5" customHeight="1">
      <c r="A51" s="3" t="s">
        <v>326</v>
      </c>
    </row>
    <row r="52" spans="1:18" ht="13.5" customHeight="1">
      <c r="N52" s="3" t="s">
        <v>327</v>
      </c>
    </row>
    <row r="53" spans="1:18" ht="13.5" customHeight="1">
      <c r="A53" s="29" t="s">
        <v>311</v>
      </c>
      <c r="D53" s="9"/>
      <c r="E53" s="9"/>
      <c r="F53" s="9"/>
      <c r="G53" s="9"/>
      <c r="H53" s="9"/>
      <c r="I53" s="9"/>
      <c r="N53" s="3" t="s">
        <v>328</v>
      </c>
      <c r="Q53" s="3" t="s">
        <v>329</v>
      </c>
    </row>
    <row r="54" spans="1:18" ht="13.5" customHeight="1">
      <c r="A54" s="29" t="s">
        <v>313</v>
      </c>
      <c r="B54" s="3" t="s">
        <v>320</v>
      </c>
      <c r="C54" s="9">
        <f t="shared" ref="C54:I54" si="25">C38</f>
        <v>31.074999999999999</v>
      </c>
      <c r="D54" s="9">
        <f t="shared" si="25"/>
        <v>53.224999999999994</v>
      </c>
      <c r="E54" s="9">
        <f t="shared" si="25"/>
        <v>75.375</v>
      </c>
      <c r="F54" s="9">
        <f t="shared" si="25"/>
        <v>97.524999999999991</v>
      </c>
      <c r="G54" s="9">
        <f t="shared" si="25"/>
        <v>119.675</v>
      </c>
      <c r="H54" s="9">
        <f t="shared" si="25"/>
        <v>141.82499999999999</v>
      </c>
      <c r="I54" s="9">
        <f t="shared" si="25"/>
        <v>163.97500000000002</v>
      </c>
      <c r="J54" s="3" t="s">
        <v>315</v>
      </c>
      <c r="K54" s="3" t="s">
        <v>321</v>
      </c>
      <c r="L54" s="3" t="s">
        <v>330</v>
      </c>
      <c r="N54" s="36" t="s">
        <v>331</v>
      </c>
      <c r="O54" s="17">
        <f>1/50 * SUMPRODUCT(J56:J62, L56:L62)</f>
        <v>945.27974037296019</v>
      </c>
    </row>
    <row r="55" spans="1:18" ht="13.5" customHeight="1">
      <c r="B55" s="3" t="s">
        <v>323</v>
      </c>
      <c r="N55" s="3" t="s">
        <v>332</v>
      </c>
      <c r="R55" s="3">
        <f>1/50*SUMPRODUCT(J56:J62,K56:K62)</f>
        <v>73.603000000000009</v>
      </c>
    </row>
    <row r="56" spans="1:18" ht="13.5" customHeight="1">
      <c r="B56" s="3">
        <f t="shared" ref="B56:B62" si="26">(A26+B26)/2</f>
        <v>82.86</v>
      </c>
      <c r="C56" s="37">
        <f t="shared" ref="C56:I56" si="27">COUNTIFS($M$1:$M$50,"&gt;="&amp;$A26, $M$1:$M$50, "&lt;"&amp;$B26, $N$1:$N$50, "&gt;="&amp;C$23, $N$1:$N$50, "&lt;"&amp;C$24)</f>
        <v>1</v>
      </c>
      <c r="D56" s="16">
        <f t="shared" si="27"/>
        <v>0</v>
      </c>
      <c r="E56" s="16">
        <f t="shared" si="27"/>
        <v>0</v>
      </c>
      <c r="F56" s="16">
        <f t="shared" si="27"/>
        <v>0</v>
      </c>
      <c r="G56" s="16">
        <f t="shared" si="27"/>
        <v>0</v>
      </c>
      <c r="H56" s="16">
        <f t="shared" si="27"/>
        <v>0</v>
      </c>
      <c r="I56" s="32">
        <f t="shared" si="27"/>
        <v>0</v>
      </c>
      <c r="J56" s="3">
        <f t="shared" ref="J56:J62" si="28">SUM(C56:I56)</f>
        <v>1</v>
      </c>
      <c r="K56" s="3">
        <f t="shared" ref="K56:K62" si="29">1/J56*SUMPRODUCT(C$38:I$38,C56:I56)</f>
        <v>31.074999999999999</v>
      </c>
      <c r="L56" s="3">
        <f>1/J56*SUMPRODUCT(C$54:I$54,C$54:I$54,C56:I56) - K56*K56</f>
        <v>0</v>
      </c>
      <c r="N56" s="36" t="s">
        <v>333</v>
      </c>
      <c r="O56" s="17">
        <f>1/50 * SUMPRODUCT(J56:J62,K56:K62,K56:K62) - R55^2</f>
        <v>484.19797562703843</v>
      </c>
    </row>
    <row r="57" spans="1:18" ht="13.5" customHeight="1">
      <c r="B57" s="3">
        <f t="shared" si="26"/>
        <v>88.58</v>
      </c>
      <c r="C57" s="38">
        <f t="shared" ref="C57:I57" si="30">COUNTIFS($M$1:$M$50,"&gt;="&amp;$A27, $M$1:$M$50, "&lt;"&amp;$B27, $N$1:$N$50, "&gt;="&amp;C$23, $N$1:$N$50, "&lt;"&amp;C$24)</f>
        <v>3</v>
      </c>
      <c r="D57" s="3">
        <f t="shared" si="30"/>
        <v>6</v>
      </c>
      <c r="E57" s="3">
        <f t="shared" si="30"/>
        <v>2</v>
      </c>
      <c r="F57" s="3">
        <f t="shared" si="30"/>
        <v>0</v>
      </c>
      <c r="G57" s="3">
        <f t="shared" si="30"/>
        <v>0</v>
      </c>
      <c r="H57" s="3">
        <f t="shared" si="30"/>
        <v>0</v>
      </c>
      <c r="I57" s="31">
        <f t="shared" si="30"/>
        <v>0</v>
      </c>
      <c r="J57" s="3">
        <f t="shared" si="28"/>
        <v>11</v>
      </c>
      <c r="K57" s="3">
        <f t="shared" si="29"/>
        <v>51.211363636363629</v>
      </c>
      <c r="L57" s="3">
        <f t="shared" ref="L57:L62" si="31">1/J57*SUMPRODUCT(C$54:I$54,C$54:I$54,C57:I57) - K57*K57</f>
        <v>218.95549586776906</v>
      </c>
    </row>
    <row r="58" spans="1:18" ht="13.5" customHeight="1">
      <c r="B58" s="3">
        <f t="shared" si="26"/>
        <v>94.3</v>
      </c>
      <c r="C58" s="38">
        <f t="shared" ref="C58:I58" si="32">COUNTIFS($M$1:$M$50,"&gt;="&amp;$A28, $M$1:$M$50, "&lt;"&amp;$B28, $N$1:$N$50, "&gt;="&amp;C$23, $N$1:$N$50, "&lt;"&amp;C$24)</f>
        <v>3</v>
      </c>
      <c r="D58" s="3">
        <f t="shared" si="32"/>
        <v>4</v>
      </c>
      <c r="E58" s="3">
        <f t="shared" si="32"/>
        <v>7</v>
      </c>
      <c r="F58" s="3">
        <f t="shared" si="32"/>
        <v>0</v>
      </c>
      <c r="G58" s="3">
        <f t="shared" si="32"/>
        <v>1</v>
      </c>
      <c r="H58" s="3">
        <f t="shared" si="32"/>
        <v>0</v>
      </c>
      <c r="I58" s="31">
        <f t="shared" si="32"/>
        <v>0</v>
      </c>
      <c r="J58" s="3">
        <f t="shared" si="28"/>
        <v>15</v>
      </c>
      <c r="K58" s="3">
        <f t="shared" si="29"/>
        <v>63.56166666666666</v>
      </c>
      <c r="L58" s="3">
        <f t="shared" si="31"/>
        <v>514.6084888888895</v>
      </c>
      <c r="N58" s="36" t="s">
        <v>334</v>
      </c>
      <c r="O58" s="17">
        <f>O54+O56</f>
        <v>1429.4777159999985</v>
      </c>
    </row>
    <row r="59" spans="1:18" ht="13.5" customHeight="1">
      <c r="B59" s="3">
        <f t="shared" si="26"/>
        <v>100.02</v>
      </c>
      <c r="C59" s="38">
        <f t="shared" ref="C59:I59" si="33">COUNTIFS($M$1:$M$50,"&gt;="&amp;$A29, $M$1:$M$50, "&lt;"&amp;$B29, $N$1:$N$50, "&gt;="&amp;C$23, $N$1:$N$50, "&lt;"&amp;C$24)</f>
        <v>3</v>
      </c>
      <c r="D59" s="3">
        <f t="shared" si="33"/>
        <v>1</v>
      </c>
      <c r="E59" s="3">
        <f t="shared" si="33"/>
        <v>4</v>
      </c>
      <c r="F59" s="3">
        <f t="shared" si="33"/>
        <v>3</v>
      </c>
      <c r="G59" s="3">
        <f t="shared" si="33"/>
        <v>1</v>
      </c>
      <c r="H59" s="3">
        <f t="shared" si="33"/>
        <v>0</v>
      </c>
      <c r="I59" s="31">
        <f t="shared" si="33"/>
        <v>1</v>
      </c>
      <c r="J59" s="3">
        <f t="shared" si="28"/>
        <v>13</v>
      </c>
      <c r="K59" s="3">
        <f t="shared" si="29"/>
        <v>78.782692307692315</v>
      </c>
      <c r="L59" s="3">
        <f t="shared" si="31"/>
        <v>1347.0345562130169</v>
      </c>
      <c r="N59" s="3" t="s">
        <v>335</v>
      </c>
    </row>
    <row r="60" spans="1:18" ht="13.5" customHeight="1">
      <c r="B60" s="3">
        <f t="shared" si="26"/>
        <v>105.74</v>
      </c>
      <c r="C60" s="38">
        <f t="shared" ref="C60:I60" si="34">COUNTIFS($M$1:$M$50,"&gt;="&amp;$A30, $M$1:$M$50, "&lt;"&amp;$B30, $N$1:$N$50, "&gt;="&amp;C$23, $N$1:$N$50, "&lt;"&amp;C$24)</f>
        <v>1</v>
      </c>
      <c r="D60" s="3">
        <f t="shared" si="34"/>
        <v>1</v>
      </c>
      <c r="E60" s="3">
        <f t="shared" si="34"/>
        <v>1</v>
      </c>
      <c r="F60" s="3">
        <f t="shared" si="34"/>
        <v>0</v>
      </c>
      <c r="G60" s="3">
        <f t="shared" si="34"/>
        <v>0</v>
      </c>
      <c r="H60" s="3">
        <f t="shared" si="34"/>
        <v>0</v>
      </c>
      <c r="I60" s="31">
        <f t="shared" si="34"/>
        <v>3</v>
      </c>
      <c r="J60" s="3">
        <f t="shared" si="28"/>
        <v>6</v>
      </c>
      <c r="K60" s="3">
        <f t="shared" si="29"/>
        <v>108.60000000000002</v>
      </c>
      <c r="L60" s="3">
        <f t="shared" si="31"/>
        <v>3229.9314583333307</v>
      </c>
      <c r="N60" s="11" t="s">
        <v>336</v>
      </c>
    </row>
    <row r="61" spans="1:18" ht="13.5" customHeight="1">
      <c r="B61" s="3">
        <f t="shared" si="26"/>
        <v>111.46</v>
      </c>
      <c r="C61" s="38">
        <f t="shared" ref="C61:I61" si="35">COUNTIFS($M$1:$M$50,"&gt;="&amp;$A31, $M$1:$M$50, "&lt;"&amp;$B31, $N$1:$N$50, "&gt;="&amp;C$23, $N$1:$N$50, "&lt;"&amp;C$24)</f>
        <v>0</v>
      </c>
      <c r="D61" s="3">
        <f t="shared" si="35"/>
        <v>0</v>
      </c>
      <c r="E61" s="3">
        <f t="shared" si="35"/>
        <v>0</v>
      </c>
      <c r="F61" s="3">
        <f t="shared" si="35"/>
        <v>0</v>
      </c>
      <c r="G61" s="3">
        <f t="shared" si="35"/>
        <v>1</v>
      </c>
      <c r="H61" s="3">
        <f t="shared" si="35"/>
        <v>1</v>
      </c>
      <c r="I61" s="31">
        <f t="shared" si="35"/>
        <v>0</v>
      </c>
      <c r="J61" s="3">
        <f t="shared" si="28"/>
        <v>2</v>
      </c>
      <c r="K61" s="3">
        <f t="shared" si="29"/>
        <v>130.75</v>
      </c>
      <c r="L61" s="3">
        <f t="shared" si="31"/>
        <v>122.65562499999942</v>
      </c>
    </row>
    <row r="62" spans="1:18" ht="13.5" customHeight="1">
      <c r="B62" s="3">
        <f t="shared" si="26"/>
        <v>117.17999999999999</v>
      </c>
      <c r="C62" s="33">
        <f t="shared" ref="C62:I62" si="36">COUNTIFS($M$1:$M$50,"&gt;="&amp;$A32, $M$1:$M$50, "&lt;"&amp;$B32, $N$1:$N$50, "&gt;="&amp;C$23, $N$1:$N$50, "&lt;"&amp;C$24)</f>
        <v>0</v>
      </c>
      <c r="D62" s="34">
        <f t="shared" si="36"/>
        <v>0</v>
      </c>
      <c r="E62" s="34">
        <f t="shared" si="36"/>
        <v>0</v>
      </c>
      <c r="F62" s="34">
        <f t="shared" si="36"/>
        <v>2</v>
      </c>
      <c r="G62" s="34">
        <f t="shared" si="36"/>
        <v>0</v>
      </c>
      <c r="H62" s="34">
        <f t="shared" si="36"/>
        <v>0</v>
      </c>
      <c r="I62" s="35">
        <f t="shared" si="36"/>
        <v>0</v>
      </c>
      <c r="J62" s="3">
        <f t="shared" si="28"/>
        <v>2</v>
      </c>
      <c r="K62" s="3">
        <f t="shared" si="29"/>
        <v>97.524999999999991</v>
      </c>
      <c r="L62" s="3">
        <f t="shared" si="31"/>
        <v>0</v>
      </c>
    </row>
    <row r="63" spans="1:18" ht="13.5" customHeight="1">
      <c r="B63" s="3" t="s">
        <v>317</v>
      </c>
      <c r="C63" s="3">
        <f t="shared" ref="C63:I63" si="37">SUM(C56:C62)</f>
        <v>11</v>
      </c>
      <c r="D63" s="3">
        <f t="shared" si="37"/>
        <v>12</v>
      </c>
      <c r="E63" s="3">
        <f t="shared" si="37"/>
        <v>14</v>
      </c>
      <c r="F63" s="3">
        <f t="shared" si="37"/>
        <v>5</v>
      </c>
      <c r="G63" s="3">
        <f t="shared" si="37"/>
        <v>3</v>
      </c>
      <c r="H63" s="3">
        <f t="shared" si="37"/>
        <v>1</v>
      </c>
      <c r="I63" s="3">
        <f t="shared" si="37"/>
        <v>4</v>
      </c>
    </row>
    <row r="64" spans="1:18" ht="13.5" customHeight="1">
      <c r="A64" s="18" t="s">
        <v>337</v>
      </c>
    </row>
    <row r="65" spans="1:2" ht="13.5" customHeight="1">
      <c r="A65" s="3" t="s">
        <v>338</v>
      </c>
    </row>
    <row r="66" spans="1:2" ht="13.5" customHeight="1">
      <c r="A66" s="3" t="s">
        <v>339</v>
      </c>
    </row>
    <row r="67" spans="1:2" ht="13.5" customHeight="1">
      <c r="A67" s="3" t="s">
        <v>340</v>
      </c>
    </row>
    <row r="68" spans="1:2" ht="13.5" customHeight="1">
      <c r="A68" s="5" t="s">
        <v>341</v>
      </c>
      <c r="B68" s="3">
        <f>_xlfn.F.INV.RT(0.05, 6,43)</f>
        <v>2.3184980310354315</v>
      </c>
    </row>
    <row r="69" spans="1:2" ht="13.5" customHeight="1">
      <c r="A69" s="3" t="s">
        <v>342</v>
      </c>
    </row>
    <row r="70" spans="1:2" ht="13.5" customHeight="1"/>
    <row r="71" spans="1:2" ht="13.5" customHeight="1"/>
    <row r="72" spans="1:2" ht="13.5" customHeight="1"/>
    <row r="73" spans="1:2" ht="13.5" customHeight="1"/>
    <row r="74" spans="1:2" ht="13.5" customHeight="1"/>
    <row r="75" spans="1:2" ht="13.5" customHeight="1"/>
    <row r="76" spans="1:2" ht="13.5" customHeight="1"/>
    <row r="77" spans="1:2" ht="13.5" customHeight="1"/>
    <row r="78" spans="1:2" ht="13.5" customHeight="1"/>
    <row r="79" spans="1:2" ht="13.5" customHeight="1"/>
    <row r="80" spans="1:2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000"/>
  <sheetViews>
    <sheetView workbookViewId="0">
      <selection activeCell="P5" sqref="P5"/>
    </sheetView>
  </sheetViews>
  <sheetFormatPr defaultColWidth="14.44140625" defaultRowHeight="15" customHeight="1"/>
  <cols>
    <col min="1" max="1" width="8.6640625" customWidth="1"/>
    <col min="2" max="2" width="13.109375" customWidth="1"/>
    <col min="3" max="10" width="8.6640625" customWidth="1"/>
    <col min="11" max="11" width="9.88671875" customWidth="1"/>
    <col min="12" max="26" width="8.6640625" customWidth="1"/>
  </cols>
  <sheetData>
    <row r="1" spans="1:23" ht="13.5" customHeight="1">
      <c r="A1" s="3" t="s">
        <v>343</v>
      </c>
    </row>
    <row r="2" spans="1:23" ht="13.5" customHeight="1">
      <c r="A2" s="29" t="s">
        <v>311</v>
      </c>
      <c r="D2" s="9"/>
      <c r="E2" s="9"/>
      <c r="F2" s="9"/>
      <c r="G2" s="9"/>
      <c r="H2" s="9"/>
      <c r="I2" s="9"/>
      <c r="P2" s="3" t="s">
        <v>344</v>
      </c>
    </row>
    <row r="3" spans="1:23" ht="13.5" customHeight="1">
      <c r="A3" s="29" t="s">
        <v>313</v>
      </c>
      <c r="B3" s="3" t="s">
        <v>320</v>
      </c>
      <c r="C3" s="9">
        <v>31.074999999999999</v>
      </c>
      <c r="D3" s="9">
        <v>53.224999999999994</v>
      </c>
      <c r="E3" s="9">
        <v>75.375</v>
      </c>
      <c r="F3" s="9">
        <v>97.524999999999991</v>
      </c>
      <c r="G3" s="9">
        <v>119.675</v>
      </c>
      <c r="H3" s="9">
        <v>141.82499999999999</v>
      </c>
      <c r="I3" s="9">
        <v>163.97500000000002</v>
      </c>
      <c r="J3" s="3" t="s">
        <v>315</v>
      </c>
      <c r="K3" s="3" t="s">
        <v>321</v>
      </c>
      <c r="L3" s="3" t="s">
        <v>345</v>
      </c>
      <c r="P3" s="3" t="s">
        <v>346</v>
      </c>
    </row>
    <row r="4" spans="1:23" ht="13.5" customHeight="1">
      <c r="B4" s="3" t="s">
        <v>323</v>
      </c>
    </row>
    <row r="5" spans="1:23" ht="13.5" customHeight="1">
      <c r="B5" s="3">
        <v>82.86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f t="shared" ref="J5:J11" si="0">SUM(C5:I5)</f>
        <v>1</v>
      </c>
      <c r="K5" s="3">
        <v>31.074999999999999</v>
      </c>
      <c r="L5" s="3">
        <f t="shared" ref="L5:L11" si="1">SUMPRODUCT(C$3:I$3,C5:I5)</f>
        <v>31.074999999999999</v>
      </c>
      <c r="O5" s="36" t="s">
        <v>347</v>
      </c>
      <c r="P5" s="17">
        <f>(L13-97.27 * 73.6)/ (SQRT(57.9) * SQRT(1429.48))</f>
        <v>0.54012536822203139</v>
      </c>
    </row>
    <row r="6" spans="1:23" ht="13.5" customHeight="1">
      <c r="B6" s="3">
        <v>88.58</v>
      </c>
      <c r="C6" s="3">
        <v>3</v>
      </c>
      <c r="D6" s="3">
        <v>6</v>
      </c>
      <c r="E6" s="3">
        <v>2</v>
      </c>
      <c r="F6" s="3">
        <v>0</v>
      </c>
      <c r="G6" s="3">
        <v>0</v>
      </c>
      <c r="H6" s="3">
        <v>0</v>
      </c>
      <c r="I6" s="3">
        <v>0</v>
      </c>
      <c r="J6" s="3">
        <f t="shared" si="0"/>
        <v>11</v>
      </c>
      <c r="K6" s="3">
        <v>51.211363636363629</v>
      </c>
      <c r="L6" s="3">
        <f t="shared" si="1"/>
        <v>563.32499999999993</v>
      </c>
    </row>
    <row r="7" spans="1:23" ht="13.5" customHeight="1">
      <c r="B7" s="3">
        <v>94.3</v>
      </c>
      <c r="C7" s="3">
        <v>3</v>
      </c>
      <c r="D7" s="3">
        <v>4</v>
      </c>
      <c r="E7" s="3">
        <v>7</v>
      </c>
      <c r="F7" s="3">
        <v>0</v>
      </c>
      <c r="G7" s="3">
        <v>1</v>
      </c>
      <c r="H7" s="3">
        <v>0</v>
      </c>
      <c r="I7" s="3">
        <v>0</v>
      </c>
      <c r="J7" s="3">
        <f t="shared" si="0"/>
        <v>15</v>
      </c>
      <c r="K7" s="3">
        <v>63.56166666666666</v>
      </c>
      <c r="L7" s="3">
        <f t="shared" si="1"/>
        <v>953.42499999999995</v>
      </c>
      <c r="O7" s="3" t="s">
        <v>348</v>
      </c>
    </row>
    <row r="8" spans="1:23" ht="13.5" customHeight="1">
      <c r="B8" s="3">
        <v>100.02</v>
      </c>
      <c r="C8" s="3">
        <v>3</v>
      </c>
      <c r="D8" s="3">
        <v>1</v>
      </c>
      <c r="E8" s="3">
        <v>4</v>
      </c>
      <c r="F8" s="3">
        <v>3</v>
      </c>
      <c r="G8" s="3">
        <v>1</v>
      </c>
      <c r="H8" s="3">
        <v>0</v>
      </c>
      <c r="I8" s="3">
        <v>1</v>
      </c>
      <c r="J8" s="3">
        <f t="shared" si="0"/>
        <v>13</v>
      </c>
      <c r="K8" s="3">
        <v>78.782692307692315</v>
      </c>
      <c r="L8" s="3">
        <f t="shared" si="1"/>
        <v>1024.175</v>
      </c>
    </row>
    <row r="9" spans="1:23" ht="13.5" customHeight="1">
      <c r="B9" s="3">
        <v>105.74</v>
      </c>
      <c r="C9" s="3">
        <v>1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3">
        <v>3</v>
      </c>
      <c r="J9" s="3">
        <f t="shared" si="0"/>
        <v>6</v>
      </c>
      <c r="K9" s="3">
        <v>108.60000000000002</v>
      </c>
      <c r="L9" s="3">
        <f t="shared" si="1"/>
        <v>651.60000000000014</v>
      </c>
      <c r="O9" s="3" t="s">
        <v>349</v>
      </c>
    </row>
    <row r="10" spans="1:23" ht="13.5" customHeight="1">
      <c r="B10" s="3">
        <v>111.46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0</v>
      </c>
      <c r="J10" s="3">
        <f t="shared" si="0"/>
        <v>2</v>
      </c>
      <c r="K10" s="3">
        <v>130.75</v>
      </c>
      <c r="L10" s="3">
        <f t="shared" si="1"/>
        <v>261.5</v>
      </c>
      <c r="O10" s="3" t="s">
        <v>350</v>
      </c>
    </row>
    <row r="11" spans="1:23" ht="13.5" customHeight="1">
      <c r="B11" s="3">
        <v>117.17999999999999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0</v>
      </c>
      <c r="J11" s="3">
        <f t="shared" si="0"/>
        <v>2</v>
      </c>
      <c r="K11" s="3">
        <v>97.524999999999991</v>
      </c>
      <c r="L11" s="3">
        <f t="shared" si="1"/>
        <v>195.04999999999998</v>
      </c>
      <c r="O11" s="3" t="s">
        <v>351</v>
      </c>
    </row>
    <row r="12" spans="1:23" ht="13.5" customHeight="1">
      <c r="B12" s="3" t="s">
        <v>317</v>
      </c>
      <c r="C12" s="3">
        <f t="shared" ref="C12:I12" si="2">SUM(C5:C11)</f>
        <v>11</v>
      </c>
      <c r="D12" s="3">
        <f t="shared" si="2"/>
        <v>12</v>
      </c>
      <c r="E12" s="3">
        <f t="shared" si="2"/>
        <v>14</v>
      </c>
      <c r="F12" s="3">
        <f t="shared" si="2"/>
        <v>5</v>
      </c>
      <c r="G12" s="3">
        <f t="shared" si="2"/>
        <v>3</v>
      </c>
      <c r="H12" s="3">
        <f t="shared" si="2"/>
        <v>1</v>
      </c>
      <c r="I12" s="3">
        <f t="shared" si="2"/>
        <v>4</v>
      </c>
    </row>
    <row r="13" spans="1:23" ht="13.5" customHeight="1">
      <c r="K13" s="3" t="s">
        <v>352</v>
      </c>
      <c r="L13" s="3">
        <f>1/50 * SUMPRODUCT(B5:B11, L5:L11)</f>
        <v>7314.4619399999992</v>
      </c>
      <c r="V13" s="3" t="s">
        <v>3</v>
      </c>
      <c r="W13" s="3" t="s">
        <v>321</v>
      </c>
    </row>
    <row r="14" spans="1:23" ht="13.5" customHeight="1">
      <c r="A14" s="18" t="s">
        <v>353</v>
      </c>
      <c r="V14" s="4">
        <v>80</v>
      </c>
      <c r="W14" s="3">
        <f t="shared" ref="W14:W63" si="3">B$19*V14+B$20</f>
        <v>27.686999999999983</v>
      </c>
    </row>
    <row r="15" spans="1:23" ht="13.5" customHeight="1">
      <c r="A15" s="3" t="s">
        <v>354</v>
      </c>
      <c r="F15" s="39" t="s">
        <v>355</v>
      </c>
      <c r="V15" s="4">
        <v>87</v>
      </c>
      <c r="W15" s="3">
        <f t="shared" si="3"/>
        <v>46.295799999999986</v>
      </c>
    </row>
    <row r="16" spans="1:23" ht="13.5" customHeight="1">
      <c r="A16" s="3" t="s">
        <v>356</v>
      </c>
      <c r="H16" s="3" t="s">
        <v>357</v>
      </c>
      <c r="V16" s="4">
        <v>88</v>
      </c>
      <c r="W16" s="3">
        <f t="shared" si="3"/>
        <v>48.954199999999986</v>
      </c>
    </row>
    <row r="17" spans="1:23" ht="13.5" customHeight="1">
      <c r="A17" s="3" t="s">
        <v>358</v>
      </c>
      <c r="H17" s="3" t="s">
        <v>359</v>
      </c>
      <c r="V17" s="4">
        <v>88</v>
      </c>
      <c r="W17" s="3">
        <f t="shared" si="3"/>
        <v>48.954199999999986</v>
      </c>
    </row>
    <row r="18" spans="1:23" ht="13.5" customHeight="1">
      <c r="A18" s="3" t="s">
        <v>360</v>
      </c>
      <c r="H18" s="3" t="s">
        <v>361</v>
      </c>
      <c r="V18" s="4">
        <v>89</v>
      </c>
      <c r="W18" s="3">
        <f t="shared" si="3"/>
        <v>51.612599999999986</v>
      </c>
    </row>
    <row r="19" spans="1:23" ht="13.5" customHeight="1">
      <c r="A19" s="3" t="s">
        <v>362</v>
      </c>
      <c r="B19" s="9">
        <f>2.6584</f>
        <v>2.6583999999999999</v>
      </c>
      <c r="V19" s="4">
        <v>90</v>
      </c>
      <c r="W19" s="3">
        <f t="shared" si="3"/>
        <v>54.270999999999987</v>
      </c>
    </row>
    <row r="20" spans="1:23" ht="13.5" customHeight="1">
      <c r="A20" s="3" t="s">
        <v>363</v>
      </c>
      <c r="B20" s="3">
        <v>-184.98500000000001</v>
      </c>
      <c r="V20" s="4">
        <v>90</v>
      </c>
      <c r="W20" s="3">
        <f t="shared" si="3"/>
        <v>54.270999999999987</v>
      </c>
    </row>
    <row r="21" spans="1:23" ht="13.5" customHeight="1">
      <c r="A21" s="18" t="s">
        <v>364</v>
      </c>
      <c r="V21" s="4">
        <v>90</v>
      </c>
      <c r="W21" s="3">
        <f t="shared" si="3"/>
        <v>54.270999999999987</v>
      </c>
    </row>
    <row r="22" spans="1:23" ht="13.5" customHeight="1">
      <c r="A22" s="3" t="s">
        <v>365</v>
      </c>
      <c r="J22" s="39" t="s">
        <v>366</v>
      </c>
      <c r="V22" s="4">
        <v>90</v>
      </c>
      <c r="W22" s="3">
        <f t="shared" si="3"/>
        <v>54.270999999999987</v>
      </c>
    </row>
    <row r="23" spans="1:23" ht="13.5" customHeight="1">
      <c r="A23" s="3" t="s">
        <v>3</v>
      </c>
      <c r="B23" s="3">
        <v>70</v>
      </c>
      <c r="C23" s="3">
        <v>97.27</v>
      </c>
      <c r="D23" s="3">
        <v>130</v>
      </c>
      <c r="V23" s="4">
        <v>90</v>
      </c>
      <c r="W23" s="3">
        <f t="shared" si="3"/>
        <v>54.270999999999987</v>
      </c>
    </row>
    <row r="24" spans="1:23" ht="13.5" customHeight="1">
      <c r="A24" s="3" t="s">
        <v>321</v>
      </c>
      <c r="B24" s="3">
        <f t="shared" ref="B24:D24" si="4">$B$19*B23+$B$20</f>
        <v>1.1029999999999802</v>
      </c>
      <c r="C24" s="3">
        <f t="shared" si="4"/>
        <v>73.597567999999967</v>
      </c>
      <c r="D24" s="3">
        <f t="shared" si="4"/>
        <v>160.60699999999997</v>
      </c>
      <c r="V24" s="4">
        <v>90</v>
      </c>
      <c r="W24" s="3">
        <f t="shared" si="3"/>
        <v>54.270999999999987</v>
      </c>
    </row>
    <row r="25" spans="1:23" ht="13.5" customHeight="1">
      <c r="V25" s="4">
        <v>90</v>
      </c>
      <c r="W25" s="3">
        <f t="shared" si="3"/>
        <v>54.270999999999987</v>
      </c>
    </row>
    <row r="26" spans="1:23" ht="13.5" customHeight="1">
      <c r="I26" s="3" t="s">
        <v>367</v>
      </c>
      <c r="V26" s="4">
        <v>92</v>
      </c>
      <c r="W26" s="3">
        <f>B$19*V26+B$20</f>
        <v>59.587799999999987</v>
      </c>
    </row>
    <row r="27" spans="1:23" ht="13.5" customHeight="1">
      <c r="V27" s="4">
        <v>92</v>
      </c>
      <c r="W27" s="3">
        <f t="shared" si="3"/>
        <v>59.587799999999987</v>
      </c>
    </row>
    <row r="28" spans="1:23" ht="13.5" customHeight="1">
      <c r="V28" s="4">
        <v>92</v>
      </c>
      <c r="W28" s="3">
        <f t="shared" si="3"/>
        <v>59.587799999999987</v>
      </c>
    </row>
    <row r="29" spans="1:23" ht="13.5" customHeight="1">
      <c r="V29" s="4">
        <v>92</v>
      </c>
      <c r="W29" s="3">
        <f t="shared" si="3"/>
        <v>59.587799999999987</v>
      </c>
    </row>
    <row r="30" spans="1:23" ht="13.5" customHeight="1">
      <c r="V30" s="4">
        <v>94</v>
      </c>
      <c r="W30" s="3">
        <f t="shared" si="3"/>
        <v>64.904599999999988</v>
      </c>
    </row>
    <row r="31" spans="1:23" ht="13.5" customHeight="1">
      <c r="V31" s="4">
        <v>95</v>
      </c>
      <c r="W31" s="3">
        <f t="shared" si="3"/>
        <v>67.562999999999988</v>
      </c>
    </row>
    <row r="32" spans="1:23" ht="13.5" customHeight="1">
      <c r="V32" s="4">
        <v>95</v>
      </c>
      <c r="W32" s="3">
        <f t="shared" si="3"/>
        <v>67.562999999999988</v>
      </c>
    </row>
    <row r="33" spans="1:23" ht="13.5" customHeight="1">
      <c r="V33" s="4">
        <v>95</v>
      </c>
      <c r="W33" s="3">
        <f t="shared" si="3"/>
        <v>67.562999999999988</v>
      </c>
    </row>
    <row r="34" spans="1:23" ht="13.5" customHeight="1">
      <c r="V34" s="4">
        <v>95</v>
      </c>
      <c r="W34" s="3">
        <f t="shared" si="3"/>
        <v>67.562999999999988</v>
      </c>
    </row>
    <row r="35" spans="1:23" ht="13.5" customHeight="1">
      <c r="V35" s="4">
        <v>95</v>
      </c>
      <c r="W35" s="3">
        <f t="shared" si="3"/>
        <v>67.562999999999988</v>
      </c>
    </row>
    <row r="36" spans="1:23" ht="13.5" customHeight="1">
      <c r="V36" s="4">
        <v>95</v>
      </c>
      <c r="W36" s="3">
        <f t="shared" si="3"/>
        <v>67.562999999999988</v>
      </c>
    </row>
    <row r="37" spans="1:23" ht="13.5" customHeight="1">
      <c r="V37" s="4">
        <v>96</v>
      </c>
      <c r="W37" s="3">
        <f t="shared" si="3"/>
        <v>70.22139999999996</v>
      </c>
    </row>
    <row r="38" spans="1:23" ht="13.5" customHeight="1">
      <c r="V38" s="4">
        <v>97</v>
      </c>
      <c r="W38" s="3">
        <f t="shared" si="3"/>
        <v>72.879799999999989</v>
      </c>
    </row>
    <row r="39" spans="1:23" ht="13.5" customHeight="1">
      <c r="V39" s="4">
        <v>97</v>
      </c>
      <c r="W39" s="3">
        <f t="shared" si="3"/>
        <v>72.879799999999989</v>
      </c>
    </row>
    <row r="40" spans="1:23" ht="13.5" customHeight="1">
      <c r="V40" s="4">
        <v>97</v>
      </c>
      <c r="W40" s="3">
        <f t="shared" si="3"/>
        <v>72.879799999999989</v>
      </c>
    </row>
    <row r="41" spans="1:23" ht="13.5" customHeight="1">
      <c r="V41" s="4">
        <v>98</v>
      </c>
      <c r="W41" s="3">
        <f t="shared" si="3"/>
        <v>75.538199999999961</v>
      </c>
    </row>
    <row r="42" spans="1:23" ht="13.5" customHeight="1">
      <c r="V42" s="4">
        <v>98</v>
      </c>
      <c r="W42" s="3">
        <f t="shared" si="3"/>
        <v>75.538199999999961</v>
      </c>
    </row>
    <row r="43" spans="1:23" ht="13.5" customHeight="1">
      <c r="V43" s="4">
        <v>98</v>
      </c>
      <c r="W43" s="3">
        <f t="shared" si="3"/>
        <v>75.538199999999961</v>
      </c>
    </row>
    <row r="44" spans="1:23" ht="13.5" customHeight="1">
      <c r="V44" s="4">
        <v>99</v>
      </c>
      <c r="W44" s="3">
        <f t="shared" si="3"/>
        <v>78.196599999999989</v>
      </c>
    </row>
    <row r="45" spans="1:23" ht="13.5" customHeight="1">
      <c r="V45" s="4">
        <v>100</v>
      </c>
      <c r="W45" s="3">
        <f t="shared" si="3"/>
        <v>80.854999999999961</v>
      </c>
    </row>
    <row r="46" spans="1:23" ht="13.5" customHeight="1">
      <c r="A46" s="18" t="s">
        <v>368</v>
      </c>
      <c r="V46" s="4">
        <v>100</v>
      </c>
      <c r="W46" s="3">
        <f t="shared" si="3"/>
        <v>80.854999999999961</v>
      </c>
    </row>
    <row r="47" spans="1:23" ht="13.5" customHeight="1">
      <c r="A47" s="3" t="s">
        <v>369</v>
      </c>
      <c r="V47" s="4">
        <v>100</v>
      </c>
      <c r="W47" s="3">
        <f t="shared" si="3"/>
        <v>80.854999999999961</v>
      </c>
    </row>
    <row r="48" spans="1:23" ht="13.5" customHeight="1">
      <c r="A48" s="3" t="s">
        <v>370</v>
      </c>
      <c r="V48" s="4">
        <v>101</v>
      </c>
      <c r="W48" s="3">
        <f t="shared" si="3"/>
        <v>83.51339999999999</v>
      </c>
    </row>
    <row r="49" spans="1:23" ht="13.5" customHeight="1">
      <c r="A49" s="3" t="s">
        <v>371</v>
      </c>
      <c r="V49" s="4">
        <v>101</v>
      </c>
      <c r="W49" s="3">
        <f t="shared" si="3"/>
        <v>83.51339999999999</v>
      </c>
    </row>
    <row r="50" spans="1:23" ht="13.5" customHeight="1">
      <c r="A50" s="3" t="s">
        <v>372</v>
      </c>
      <c r="V50" s="4">
        <v>101</v>
      </c>
      <c r="W50" s="3">
        <f t="shared" si="3"/>
        <v>83.51339999999999</v>
      </c>
    </row>
    <row r="51" spans="1:23" ht="13.5" customHeight="1">
      <c r="A51" s="3">
        <f>(0.54 * SQRT(48)) / SQRT(1 - 0.54 * 0.54)</f>
        <v>4.4450341537376126</v>
      </c>
      <c r="V51" s="4">
        <v>102</v>
      </c>
      <c r="W51" s="3">
        <f t="shared" si="3"/>
        <v>86.171799999999962</v>
      </c>
    </row>
    <row r="52" spans="1:23" ht="13.5" customHeight="1">
      <c r="A52" s="3" t="s">
        <v>373</v>
      </c>
      <c r="V52" s="4">
        <v>102</v>
      </c>
      <c r="W52" s="3">
        <f t="shared" si="3"/>
        <v>86.171799999999962</v>
      </c>
    </row>
    <row r="53" spans="1:23" ht="13.5" customHeight="1">
      <c r="A53" s="3">
        <f>_xlfn.T.INV.2T(0.05, 48)</f>
        <v>2.0106347576242314</v>
      </c>
      <c r="V53" s="4">
        <v>102</v>
      </c>
      <c r="W53" s="3">
        <f t="shared" si="3"/>
        <v>86.171799999999962</v>
      </c>
    </row>
    <row r="54" spans="1:23" ht="13.5" customHeight="1">
      <c r="A54" s="3" t="s">
        <v>374</v>
      </c>
      <c r="V54" s="4">
        <v>104</v>
      </c>
      <c r="W54" s="3">
        <f t="shared" si="3"/>
        <v>91.488599999999963</v>
      </c>
    </row>
    <row r="55" spans="1:23" ht="13.5" customHeight="1">
      <c r="A55" s="3" t="s">
        <v>375</v>
      </c>
      <c r="V55" s="4">
        <v>105</v>
      </c>
      <c r="W55" s="3">
        <f t="shared" si="3"/>
        <v>94.146999999999991</v>
      </c>
    </row>
    <row r="56" spans="1:23" ht="13.5" customHeight="1">
      <c r="A56" s="18" t="s">
        <v>353</v>
      </c>
      <c r="V56" s="4">
        <v>108</v>
      </c>
      <c r="W56" s="3">
        <f t="shared" si="3"/>
        <v>102.12219999999996</v>
      </c>
    </row>
    <row r="57" spans="1:23" ht="13.5" customHeight="1">
      <c r="A57" s="3" t="s">
        <v>376</v>
      </c>
      <c r="V57" s="4">
        <v>108</v>
      </c>
      <c r="W57" s="3">
        <f t="shared" si="3"/>
        <v>102.12219999999996</v>
      </c>
    </row>
    <row r="58" spans="1:23" ht="13.5" customHeight="1">
      <c r="A58" s="11" t="s">
        <v>377</v>
      </c>
      <c r="C58" s="3">
        <f>SQRT(484.98/1429.48)</f>
        <v>0.58246907569196205</v>
      </c>
      <c r="V58" s="4">
        <v>108</v>
      </c>
      <c r="W58" s="3">
        <f t="shared" si="3"/>
        <v>102.12219999999996</v>
      </c>
    </row>
    <row r="59" spans="1:23" ht="13.5" customHeight="1">
      <c r="A59" s="3" t="s">
        <v>378</v>
      </c>
      <c r="V59" s="4">
        <v>108</v>
      </c>
      <c r="W59" s="3">
        <f t="shared" si="3"/>
        <v>102.12219999999996</v>
      </c>
    </row>
    <row r="60" spans="1:23" ht="13.5" customHeight="1">
      <c r="V60" s="4">
        <v>109</v>
      </c>
      <c r="W60" s="3">
        <f t="shared" si="3"/>
        <v>104.78059999999999</v>
      </c>
    </row>
    <row r="61" spans="1:23" ht="13.5" customHeight="1">
      <c r="V61" s="4">
        <v>112</v>
      </c>
      <c r="W61" s="3">
        <f t="shared" si="3"/>
        <v>112.75579999999997</v>
      </c>
    </row>
    <row r="62" spans="1:23" ht="13.5" customHeight="1">
      <c r="V62" s="4">
        <v>115</v>
      </c>
      <c r="W62" s="3">
        <f t="shared" si="3"/>
        <v>120.73099999999999</v>
      </c>
    </row>
    <row r="63" spans="1:23" ht="13.5" customHeight="1">
      <c r="V63" s="4">
        <v>120</v>
      </c>
      <c r="W63" s="3">
        <f t="shared" si="3"/>
        <v>134.02299999999997</v>
      </c>
    </row>
    <row r="64" spans="1:23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000"/>
  <sheetViews>
    <sheetView workbookViewId="0">
      <selection activeCell="O7" sqref="O7"/>
    </sheetView>
  </sheetViews>
  <sheetFormatPr defaultColWidth="14.44140625" defaultRowHeight="15" customHeight="1"/>
  <cols>
    <col min="1" max="1" width="14.44140625" customWidth="1"/>
    <col min="2" max="2" width="14.109375" customWidth="1"/>
    <col min="3" max="3" width="8.6640625" customWidth="1"/>
    <col min="4" max="4" width="20" customWidth="1"/>
    <col min="5" max="12" width="8.6640625" customWidth="1"/>
    <col min="13" max="13" width="10" customWidth="1"/>
    <col min="14" max="26" width="8.6640625" customWidth="1"/>
  </cols>
  <sheetData>
    <row r="1" spans="1:16" ht="13.5" customHeight="1">
      <c r="A1" s="39" t="s">
        <v>379</v>
      </c>
    </row>
    <row r="2" spans="1:16" ht="13.5" customHeight="1">
      <c r="A2" s="3" t="s">
        <v>0</v>
      </c>
      <c r="B2" s="3" t="s">
        <v>380</v>
      </c>
      <c r="C2" s="3" t="s">
        <v>381</v>
      </c>
      <c r="D2" s="3" t="s">
        <v>382</v>
      </c>
      <c r="E2" s="3" t="s">
        <v>383</v>
      </c>
      <c r="I2" s="3" t="s">
        <v>384</v>
      </c>
    </row>
    <row r="3" spans="1:16" ht="13.5" customHeight="1">
      <c r="A3" s="4">
        <v>1</v>
      </c>
      <c r="B3" s="4">
        <v>80</v>
      </c>
      <c r="C3" s="4">
        <v>20</v>
      </c>
      <c r="D3" s="40">
        <f t="shared" ref="D3:D52" si="0">$N$13+$N$12*B3</f>
        <v>25.212393442622556</v>
      </c>
      <c r="E3" s="40">
        <f t="shared" ref="E3:E52" si="1">C3-D3</f>
        <v>-5.212393442622556</v>
      </c>
      <c r="I3" s="3" t="s">
        <v>385</v>
      </c>
      <c r="N3" s="3">
        <v>97.6</v>
      </c>
    </row>
    <row r="4" spans="1:16" ht="13.5" customHeight="1">
      <c r="A4" s="4">
        <v>2</v>
      </c>
      <c r="B4" s="4">
        <v>105</v>
      </c>
      <c r="C4" s="4">
        <v>50</v>
      </c>
      <c r="D4" s="40">
        <f t="shared" si="0"/>
        <v>94.655016393442821</v>
      </c>
      <c r="E4" s="40">
        <f t="shared" si="1"/>
        <v>-44.655016393442821</v>
      </c>
      <c r="I4" s="3" t="s">
        <v>386</v>
      </c>
      <c r="N4" s="3">
        <v>74.099999999999994</v>
      </c>
    </row>
    <row r="5" spans="1:16" ht="13.5" customHeight="1">
      <c r="A5" s="4">
        <v>3</v>
      </c>
      <c r="B5" s="4">
        <v>100</v>
      </c>
      <c r="C5" s="4">
        <v>80</v>
      </c>
      <c r="D5" s="40">
        <f t="shared" si="0"/>
        <v>80.76649180327874</v>
      </c>
      <c r="E5" s="40">
        <f t="shared" si="1"/>
        <v>-0.76649180327873978</v>
      </c>
      <c r="I5" s="3" t="s">
        <v>387</v>
      </c>
      <c r="N5" s="3">
        <v>61</v>
      </c>
    </row>
    <row r="6" spans="1:16" ht="13.5" customHeight="1">
      <c r="A6" s="4">
        <v>4</v>
      </c>
      <c r="B6" s="4">
        <v>94</v>
      </c>
      <c r="C6" s="4">
        <v>35</v>
      </c>
      <c r="D6" s="40">
        <f t="shared" si="0"/>
        <v>64.100262295081876</v>
      </c>
      <c r="E6" s="40">
        <f t="shared" si="1"/>
        <v>-29.100262295081876</v>
      </c>
      <c r="I6" s="3" t="s">
        <v>388</v>
      </c>
      <c r="N6" s="3">
        <v>1491.69</v>
      </c>
      <c r="O6" t="e" cm="1">
        <f t="array" aca="1" ref="O6" ca="1">'[2]5'!$M$16(Цена)^(1/2)</f>
        <v>#REF!</v>
      </c>
    </row>
    <row r="7" spans="1:16" ht="13.5" customHeight="1">
      <c r="A7" s="4">
        <v>5</v>
      </c>
      <c r="B7" s="4">
        <v>112</v>
      </c>
      <c r="C7" s="4">
        <v>115</v>
      </c>
      <c r="D7" s="40">
        <f t="shared" si="0"/>
        <v>114.09895081967247</v>
      </c>
      <c r="E7" s="40">
        <f t="shared" si="1"/>
        <v>0.90104918032753289</v>
      </c>
      <c r="I7" s="3" t="s">
        <v>389</v>
      </c>
      <c r="N7" s="3">
        <v>7.81</v>
      </c>
      <c r="P7" s="3" t="s">
        <v>390</v>
      </c>
    </row>
    <row r="8" spans="1:16" ht="13.5" customHeight="1">
      <c r="A8" s="4">
        <v>6</v>
      </c>
      <c r="B8" s="4">
        <v>108</v>
      </c>
      <c r="C8" s="4">
        <v>40</v>
      </c>
      <c r="D8" s="40">
        <f t="shared" si="0"/>
        <v>102.98813114754122</v>
      </c>
      <c r="E8" s="40">
        <f t="shared" si="1"/>
        <v>-62.988131147541225</v>
      </c>
      <c r="I8" s="3" t="s">
        <v>391</v>
      </c>
      <c r="N8" s="3">
        <v>38.619999999999997</v>
      </c>
    </row>
    <row r="9" spans="1:16" ht="13.5" customHeight="1">
      <c r="A9" s="4">
        <v>7</v>
      </c>
      <c r="B9" s="4">
        <v>100</v>
      </c>
      <c r="C9" s="4">
        <v>40</v>
      </c>
      <c r="D9" s="40">
        <f t="shared" si="0"/>
        <v>80.76649180327874</v>
      </c>
      <c r="E9" s="40">
        <f t="shared" si="1"/>
        <v>-40.76649180327874</v>
      </c>
      <c r="I9" s="3" t="s">
        <v>392</v>
      </c>
      <c r="N9" s="3">
        <f>SUMPRODUCT(B3:B52, C3:C52)/50</f>
        <v>7401.6</v>
      </c>
    </row>
    <row r="10" spans="1:16" ht="13.5" customHeight="1">
      <c r="A10" s="4">
        <v>8</v>
      </c>
      <c r="B10" s="4">
        <v>88</v>
      </c>
      <c r="C10" s="4">
        <v>50</v>
      </c>
      <c r="D10" s="40">
        <f t="shared" si="0"/>
        <v>47.434032786885041</v>
      </c>
      <c r="E10" s="40">
        <f t="shared" si="1"/>
        <v>2.5659672131149591</v>
      </c>
      <c r="I10" s="18" t="s">
        <v>393</v>
      </c>
    </row>
    <row r="11" spans="1:16" ht="13.5" customHeight="1">
      <c r="A11" s="4">
        <v>9</v>
      </c>
      <c r="B11" s="4">
        <v>92</v>
      </c>
      <c r="C11" s="4">
        <v>30</v>
      </c>
      <c r="D11" s="40">
        <f t="shared" si="0"/>
        <v>58.544852459016283</v>
      </c>
      <c r="E11" s="40">
        <f t="shared" si="1"/>
        <v>-28.544852459016283</v>
      </c>
      <c r="I11" s="3" t="s">
        <v>394</v>
      </c>
      <c r="N11" s="41">
        <f>(N9-N3*N4)/(N7*N8)</f>
        <v>0.56176236364565157</v>
      </c>
    </row>
    <row r="12" spans="1:16" ht="13.5" customHeight="1">
      <c r="A12" s="4">
        <v>10</v>
      </c>
      <c r="B12" s="4">
        <v>90</v>
      </c>
      <c r="C12" s="4">
        <v>35</v>
      </c>
      <c r="D12" s="40">
        <f t="shared" si="0"/>
        <v>52.989442622950662</v>
      </c>
      <c r="E12" s="40">
        <f t="shared" si="1"/>
        <v>-17.989442622950662</v>
      </c>
      <c r="I12" s="3" t="s">
        <v>395</v>
      </c>
      <c r="N12" s="42">
        <f>(N9-N3*N4)/N5</f>
        <v>2.7777049180328102</v>
      </c>
    </row>
    <row r="13" spans="1:16" ht="13.5" customHeight="1">
      <c r="A13" s="4">
        <v>11</v>
      </c>
      <c r="B13" s="4">
        <v>92</v>
      </c>
      <c r="C13" s="4">
        <v>70</v>
      </c>
      <c r="D13" s="40">
        <f t="shared" si="0"/>
        <v>58.544852459016283</v>
      </c>
      <c r="E13" s="40">
        <f t="shared" si="1"/>
        <v>11.455147540983717</v>
      </c>
      <c r="I13" s="3" t="s">
        <v>396</v>
      </c>
      <c r="N13" s="17">
        <f>N4-N12*N3</f>
        <v>-197.00400000000226</v>
      </c>
    </row>
    <row r="14" spans="1:16" ht="13.5" customHeight="1">
      <c r="A14" s="4">
        <v>12</v>
      </c>
      <c r="B14" s="4">
        <v>101</v>
      </c>
      <c r="C14" s="4">
        <v>120</v>
      </c>
      <c r="D14" s="40">
        <f t="shared" si="0"/>
        <v>83.544196721311579</v>
      </c>
      <c r="E14" s="40">
        <f t="shared" si="1"/>
        <v>36.455803278688421</v>
      </c>
    </row>
    <row r="15" spans="1:16" ht="13.5" customHeight="1">
      <c r="A15" s="4">
        <v>13</v>
      </c>
      <c r="B15" s="4">
        <v>98</v>
      </c>
      <c r="C15" s="4">
        <v>100</v>
      </c>
      <c r="D15" s="40">
        <f t="shared" si="0"/>
        <v>75.211081967213119</v>
      </c>
      <c r="E15" s="40">
        <f t="shared" si="1"/>
        <v>24.788918032786881</v>
      </c>
      <c r="I15" s="3" t="s">
        <v>397</v>
      </c>
    </row>
    <row r="16" spans="1:16" ht="13.5" customHeight="1">
      <c r="A16" s="4">
        <v>14</v>
      </c>
      <c r="B16" s="4">
        <v>95</v>
      </c>
      <c r="C16" s="4">
        <v>70</v>
      </c>
      <c r="D16" s="40">
        <f t="shared" si="0"/>
        <v>66.877967213114715</v>
      </c>
      <c r="E16" s="40">
        <f t="shared" si="1"/>
        <v>3.1220327868852848</v>
      </c>
      <c r="I16" s="3" t="s">
        <v>398</v>
      </c>
    </row>
    <row r="17" spans="1:16" ht="13.5" customHeight="1">
      <c r="A17" s="4">
        <v>15</v>
      </c>
      <c r="B17" s="4">
        <v>90</v>
      </c>
      <c r="C17" s="4">
        <v>65</v>
      </c>
      <c r="D17" s="40">
        <f t="shared" si="0"/>
        <v>52.989442622950662</v>
      </c>
      <c r="E17" s="40">
        <f t="shared" si="1"/>
        <v>12.010557377049338</v>
      </c>
      <c r="I17" s="3" t="s">
        <v>399</v>
      </c>
    </row>
    <row r="18" spans="1:16" ht="13.5" customHeight="1">
      <c r="A18" s="4">
        <v>16</v>
      </c>
      <c r="B18" s="4">
        <v>95</v>
      </c>
      <c r="C18" s="4">
        <v>80</v>
      </c>
      <c r="D18" s="40">
        <f t="shared" si="0"/>
        <v>66.877967213114715</v>
      </c>
      <c r="E18" s="40">
        <f t="shared" si="1"/>
        <v>13.122032786885285</v>
      </c>
      <c r="I18" s="3" t="s">
        <v>400</v>
      </c>
    </row>
    <row r="19" spans="1:16" ht="13.5" customHeight="1">
      <c r="A19" s="4">
        <v>17</v>
      </c>
      <c r="B19" s="4">
        <v>109</v>
      </c>
      <c r="C19" s="4">
        <v>150</v>
      </c>
      <c r="D19" s="40">
        <f t="shared" si="0"/>
        <v>105.76583606557406</v>
      </c>
      <c r="E19" s="40">
        <f t="shared" si="1"/>
        <v>44.234163934425936</v>
      </c>
      <c r="I19" s="3" t="s">
        <v>401</v>
      </c>
    </row>
    <row r="20" spans="1:16" ht="13.5" customHeight="1">
      <c r="A20" s="4">
        <v>18</v>
      </c>
      <c r="B20" s="4">
        <v>90</v>
      </c>
      <c r="C20" s="4">
        <v>50</v>
      </c>
      <c r="D20" s="40">
        <f t="shared" si="0"/>
        <v>52.989442622950662</v>
      </c>
      <c r="E20" s="40">
        <f t="shared" si="1"/>
        <v>-2.9894426229506621</v>
      </c>
      <c r="I20" s="7">
        <f>E54+D54</f>
        <v>1491.6900000000073</v>
      </c>
    </row>
    <row r="21" spans="1:16" ht="13.5" customHeight="1">
      <c r="A21" s="4">
        <v>19</v>
      </c>
      <c r="B21" s="4">
        <v>97</v>
      </c>
      <c r="C21" s="4">
        <v>60</v>
      </c>
      <c r="D21" s="40">
        <f t="shared" si="0"/>
        <v>72.433377049180336</v>
      </c>
      <c r="E21" s="40">
        <f t="shared" si="1"/>
        <v>-12.433377049180336</v>
      </c>
      <c r="I21" s="11" t="s">
        <v>402</v>
      </c>
      <c r="K21" s="43">
        <f>D54/N6</f>
        <v>0.31551751457171578</v>
      </c>
      <c r="N21" s="3" t="s">
        <v>403</v>
      </c>
      <c r="O21" s="3">
        <f>SQRT(K21)</f>
        <v>0.56170945743481637</v>
      </c>
      <c r="P21" s="18" t="s">
        <v>404</v>
      </c>
    </row>
    <row r="22" spans="1:16" ht="13.5" customHeight="1">
      <c r="A22" s="4">
        <v>20</v>
      </c>
      <c r="B22" s="4">
        <v>90</v>
      </c>
      <c r="C22" s="4">
        <v>50</v>
      </c>
      <c r="D22" s="40">
        <f t="shared" si="0"/>
        <v>52.989442622950662</v>
      </c>
      <c r="E22" s="40">
        <f t="shared" si="1"/>
        <v>-2.9894426229506621</v>
      </c>
      <c r="I22" s="3" t="s">
        <v>405</v>
      </c>
    </row>
    <row r="23" spans="1:16" ht="13.5" customHeight="1">
      <c r="A23" s="4">
        <v>21</v>
      </c>
      <c r="B23" s="4">
        <v>87</v>
      </c>
      <c r="C23" s="4">
        <v>60</v>
      </c>
      <c r="D23" s="40">
        <f t="shared" si="0"/>
        <v>44.65632786885223</v>
      </c>
      <c r="E23" s="40">
        <f t="shared" si="1"/>
        <v>15.34367213114777</v>
      </c>
      <c r="I23" s="3" t="s">
        <v>406</v>
      </c>
    </row>
    <row r="24" spans="1:16" ht="13.5" customHeight="1">
      <c r="A24" s="4">
        <v>22</v>
      </c>
      <c r="B24" s="4">
        <v>100</v>
      </c>
      <c r="C24" s="4">
        <v>90</v>
      </c>
      <c r="D24" s="40">
        <f t="shared" si="0"/>
        <v>80.76649180327874</v>
      </c>
      <c r="E24" s="40">
        <f t="shared" si="1"/>
        <v>9.2335081967212602</v>
      </c>
      <c r="I24" s="3" t="s">
        <v>407</v>
      </c>
    </row>
    <row r="25" spans="1:16" ht="13.5" customHeight="1">
      <c r="A25" s="4">
        <v>23</v>
      </c>
      <c r="B25" s="4">
        <v>98</v>
      </c>
      <c r="C25" s="4">
        <v>40</v>
      </c>
      <c r="D25" s="40">
        <f t="shared" si="0"/>
        <v>75.211081967213119</v>
      </c>
      <c r="E25" s="40">
        <f t="shared" si="1"/>
        <v>-35.211081967213119</v>
      </c>
      <c r="I25" s="3" t="s">
        <v>408</v>
      </c>
      <c r="K25" s="7">
        <f>K21*48/(1-K21)</f>
        <v>22.125972573229763</v>
      </c>
    </row>
    <row r="26" spans="1:16" ht="13.5" customHeight="1">
      <c r="A26" s="4">
        <v>24</v>
      </c>
      <c r="B26" s="4">
        <v>89</v>
      </c>
      <c r="C26" s="4">
        <v>25</v>
      </c>
      <c r="D26" s="40">
        <f t="shared" si="0"/>
        <v>50.211737704917851</v>
      </c>
      <c r="E26" s="40">
        <f t="shared" si="1"/>
        <v>-25.211737704917851</v>
      </c>
      <c r="I26" s="3" t="s">
        <v>409</v>
      </c>
    </row>
    <row r="27" spans="1:16" ht="13.5" customHeight="1">
      <c r="A27" s="4">
        <v>25</v>
      </c>
      <c r="B27" s="4">
        <v>90</v>
      </c>
      <c r="C27" s="4">
        <v>85</v>
      </c>
      <c r="D27" s="40">
        <f t="shared" si="0"/>
        <v>52.989442622950662</v>
      </c>
      <c r="E27" s="40">
        <f t="shared" si="1"/>
        <v>32.010557377049338</v>
      </c>
      <c r="I27" s="5" t="s">
        <v>410</v>
      </c>
      <c r="J27" s="3">
        <f>_xlfn.F.INV.RT(0.05, 1, 48)</f>
        <v>4.0426521285666537</v>
      </c>
    </row>
    <row r="28" spans="1:16" ht="13.5" customHeight="1">
      <c r="A28" s="4">
        <v>26</v>
      </c>
      <c r="B28" s="4">
        <v>97</v>
      </c>
      <c r="C28" s="4">
        <v>75</v>
      </c>
      <c r="D28" s="40">
        <f t="shared" si="0"/>
        <v>72.433377049180336</v>
      </c>
      <c r="E28" s="40">
        <f t="shared" si="1"/>
        <v>2.5666229508196636</v>
      </c>
      <c r="I28" s="3" t="s">
        <v>411</v>
      </c>
    </row>
    <row r="29" spans="1:16" ht="13.5" customHeight="1">
      <c r="A29" s="4">
        <v>27</v>
      </c>
      <c r="B29" s="4">
        <v>108</v>
      </c>
      <c r="C29" s="4">
        <v>175</v>
      </c>
      <c r="D29" s="40">
        <f t="shared" si="0"/>
        <v>102.98813114754122</v>
      </c>
      <c r="E29" s="40">
        <f t="shared" si="1"/>
        <v>72.011868852458775</v>
      </c>
    </row>
    <row r="30" spans="1:16" ht="13.5" customHeight="1">
      <c r="A30" s="4">
        <v>28</v>
      </c>
      <c r="B30" s="4">
        <v>102</v>
      </c>
      <c r="C30" s="4">
        <v>100</v>
      </c>
      <c r="D30" s="40">
        <f t="shared" si="0"/>
        <v>86.321901639344361</v>
      </c>
      <c r="E30" s="40">
        <f t="shared" si="1"/>
        <v>13.678098360655639</v>
      </c>
      <c r="I30" s="3" t="s">
        <v>412</v>
      </c>
    </row>
    <row r="31" spans="1:16" ht="13.5" customHeight="1">
      <c r="A31" s="4">
        <v>29</v>
      </c>
      <c r="B31" s="4">
        <v>88</v>
      </c>
      <c r="C31" s="4">
        <v>40</v>
      </c>
      <c r="D31" s="40">
        <f t="shared" si="0"/>
        <v>47.434032786885041</v>
      </c>
      <c r="E31" s="40">
        <f t="shared" si="1"/>
        <v>-7.4340327868850409</v>
      </c>
      <c r="I31" s="3" t="s">
        <v>413</v>
      </c>
      <c r="N31" s="3">
        <f>50/48 * E54</f>
        <v>1063.5788319672131</v>
      </c>
    </row>
    <row r="32" spans="1:16" ht="13.5" customHeight="1">
      <c r="A32" s="4">
        <v>30</v>
      </c>
      <c r="B32" s="4">
        <v>96</v>
      </c>
      <c r="C32" s="4">
        <v>50</v>
      </c>
      <c r="D32" s="40">
        <f t="shared" si="0"/>
        <v>69.655672131147497</v>
      </c>
      <c r="E32" s="40">
        <f t="shared" si="1"/>
        <v>-19.655672131147497</v>
      </c>
      <c r="I32" s="3" t="s">
        <v>414</v>
      </c>
      <c r="K32" s="3">
        <f>SQRT(N31)</f>
        <v>32.612556354373893</v>
      </c>
      <c r="L32" s="18" t="s">
        <v>415</v>
      </c>
    </row>
    <row r="33" spans="1:14" ht="13.5" customHeight="1">
      <c r="A33" s="4">
        <v>31</v>
      </c>
      <c r="B33" s="4">
        <v>92</v>
      </c>
      <c r="C33" s="4">
        <v>75</v>
      </c>
      <c r="D33" s="40">
        <f t="shared" si="0"/>
        <v>58.544852459016283</v>
      </c>
      <c r="E33" s="40">
        <f t="shared" si="1"/>
        <v>16.455147540983717</v>
      </c>
      <c r="I33" s="3" t="s">
        <v>416</v>
      </c>
    </row>
    <row r="34" spans="1:14" ht="13.5" customHeight="1">
      <c r="A34" s="4">
        <v>32</v>
      </c>
      <c r="B34" s="4">
        <v>102</v>
      </c>
      <c r="C34" s="4">
        <v>25</v>
      </c>
      <c r="D34" s="40">
        <f t="shared" si="0"/>
        <v>86.321901639344361</v>
      </c>
      <c r="E34" s="40">
        <f t="shared" si="1"/>
        <v>-61.321901639344361</v>
      </c>
      <c r="I34" s="3" t="s">
        <v>417</v>
      </c>
      <c r="L34" s="17">
        <f>K32/SQRT(50*N5)</f>
        <v>0.59052042397938376</v>
      </c>
      <c r="M34" s="18" t="s">
        <v>418</v>
      </c>
    </row>
    <row r="35" spans="1:14" ht="13.5" customHeight="1">
      <c r="A35" s="4">
        <v>33</v>
      </c>
      <c r="B35" s="4">
        <v>115</v>
      </c>
      <c r="C35" s="4">
        <v>95</v>
      </c>
      <c r="D35" s="40">
        <f t="shared" si="0"/>
        <v>122.43206557377093</v>
      </c>
      <c r="E35" s="40">
        <f t="shared" si="1"/>
        <v>-27.432065573770927</v>
      </c>
      <c r="I35" s="3" t="s">
        <v>419</v>
      </c>
      <c r="L35" s="44">
        <f>N36*L34</f>
        <v>57.819036524654607</v>
      </c>
      <c r="M35" s="18" t="s">
        <v>420</v>
      </c>
    </row>
    <row r="36" spans="1:14" ht="13.5" customHeight="1">
      <c r="A36" s="4">
        <v>34</v>
      </c>
      <c r="B36" s="4">
        <v>90</v>
      </c>
      <c r="C36" s="4">
        <v>60</v>
      </c>
      <c r="D36" s="40">
        <f t="shared" si="0"/>
        <v>52.989442622950662</v>
      </c>
      <c r="E36" s="40">
        <f t="shared" si="1"/>
        <v>7.0105573770493379</v>
      </c>
      <c r="I36" s="3" t="s">
        <v>421</v>
      </c>
      <c r="N36" s="11">
        <f>SQRT(1/50 *SUMPRODUCT(B3:B52, B3:B52))</f>
        <v>97.912001307296336</v>
      </c>
    </row>
    <row r="37" spans="1:14" ht="13.5" customHeight="1">
      <c r="A37" s="4">
        <v>35</v>
      </c>
      <c r="B37" s="4">
        <v>92</v>
      </c>
      <c r="C37" s="4">
        <v>70</v>
      </c>
      <c r="D37" s="40">
        <f t="shared" si="0"/>
        <v>58.544852459016283</v>
      </c>
      <c r="E37" s="40">
        <f t="shared" si="1"/>
        <v>11.455147540983717</v>
      </c>
    </row>
    <row r="38" spans="1:14" ht="13.5" customHeight="1">
      <c r="A38" s="4">
        <v>36</v>
      </c>
      <c r="B38" s="4">
        <v>95</v>
      </c>
      <c r="C38" s="4">
        <v>85</v>
      </c>
      <c r="D38" s="40">
        <f t="shared" si="0"/>
        <v>66.877967213114715</v>
      </c>
      <c r="E38" s="40">
        <f t="shared" si="1"/>
        <v>18.122032786885285</v>
      </c>
      <c r="I38" s="3" t="s">
        <v>422</v>
      </c>
    </row>
    <row r="39" spans="1:14" ht="13.5" customHeight="1">
      <c r="A39" s="4">
        <v>37</v>
      </c>
      <c r="B39" s="4">
        <v>108</v>
      </c>
      <c r="C39" s="4">
        <v>170</v>
      </c>
      <c r="D39" s="40">
        <f t="shared" si="0"/>
        <v>102.98813114754122</v>
      </c>
      <c r="E39" s="40">
        <f t="shared" si="1"/>
        <v>67.011868852458775</v>
      </c>
      <c r="I39" s="3" t="s">
        <v>423</v>
      </c>
      <c r="K39" s="7">
        <f>N13+N12*100</f>
        <v>80.76649180327874</v>
      </c>
    </row>
    <row r="40" spans="1:14" ht="13.5" customHeight="1">
      <c r="A40" s="4">
        <v>38</v>
      </c>
      <c r="B40" s="4">
        <v>95</v>
      </c>
      <c r="C40" s="4">
        <v>120</v>
      </c>
      <c r="D40" s="40">
        <f t="shared" si="0"/>
        <v>66.877967213114715</v>
      </c>
      <c r="E40" s="40">
        <f t="shared" si="1"/>
        <v>53.122032786885285</v>
      </c>
    </row>
    <row r="41" spans="1:14" ht="13.5" customHeight="1">
      <c r="A41" s="4">
        <v>39</v>
      </c>
      <c r="B41" s="4">
        <v>99</v>
      </c>
      <c r="C41" s="4">
        <v>160</v>
      </c>
      <c r="D41" s="40">
        <f t="shared" si="0"/>
        <v>77.988786885245958</v>
      </c>
      <c r="E41" s="40">
        <f t="shared" si="1"/>
        <v>82.011213114754042</v>
      </c>
      <c r="I41" s="3" t="s">
        <v>424</v>
      </c>
    </row>
    <row r="42" spans="1:14" ht="13.5" customHeight="1">
      <c r="A42" s="4">
        <v>40</v>
      </c>
      <c r="B42" s="4">
        <v>97</v>
      </c>
      <c r="C42" s="4">
        <v>50</v>
      </c>
      <c r="D42" s="40">
        <f t="shared" si="0"/>
        <v>72.433377049180336</v>
      </c>
      <c r="E42" s="40">
        <f t="shared" si="1"/>
        <v>-22.433377049180336</v>
      </c>
      <c r="I42" s="3" t="s">
        <v>425</v>
      </c>
    </row>
    <row r="43" spans="1:14" ht="13.5" customHeight="1">
      <c r="A43" s="4">
        <v>41</v>
      </c>
      <c r="B43" s="4">
        <v>102</v>
      </c>
      <c r="C43" s="4">
        <v>80</v>
      </c>
      <c r="D43" s="40">
        <f t="shared" si="0"/>
        <v>86.321901639344361</v>
      </c>
      <c r="E43" s="40">
        <f t="shared" si="1"/>
        <v>-6.321901639344361</v>
      </c>
      <c r="I43" s="5" t="s">
        <v>426</v>
      </c>
      <c r="J43" s="11">
        <f>_xlfn.T.INV.2T(0.05, 48)</f>
        <v>2.0106347576242314</v>
      </c>
    </row>
    <row r="44" spans="1:14" ht="13.5" customHeight="1">
      <c r="A44" s="4">
        <v>42</v>
      </c>
      <c r="B44" s="4">
        <v>95</v>
      </c>
      <c r="C44" s="4">
        <v>20</v>
      </c>
      <c r="D44" s="40">
        <f t="shared" si="0"/>
        <v>66.877967213114715</v>
      </c>
      <c r="E44" s="40">
        <f t="shared" si="1"/>
        <v>-46.877967213114715</v>
      </c>
      <c r="I44" s="3" t="s">
        <v>427</v>
      </c>
    </row>
    <row r="45" spans="1:14" ht="13.5" customHeight="1">
      <c r="A45" s="4">
        <v>43</v>
      </c>
      <c r="B45" s="4">
        <v>90</v>
      </c>
      <c r="C45" s="4">
        <v>55</v>
      </c>
      <c r="D45" s="40">
        <f t="shared" si="0"/>
        <v>52.989442622950662</v>
      </c>
      <c r="E45" s="40">
        <f t="shared" si="1"/>
        <v>2.0105573770493379</v>
      </c>
      <c r="I45" s="3" t="s">
        <v>428</v>
      </c>
      <c r="N45" s="3" t="s">
        <v>429</v>
      </c>
    </row>
    <row r="46" spans="1:14" ht="13.5" customHeight="1">
      <c r="A46" s="4">
        <v>44</v>
      </c>
      <c r="B46" s="4">
        <v>101</v>
      </c>
      <c r="C46" s="4">
        <v>70</v>
      </c>
      <c r="D46" s="40">
        <f t="shared" si="0"/>
        <v>83.544196721311579</v>
      </c>
      <c r="E46" s="40">
        <f t="shared" si="1"/>
        <v>-13.544196721311579</v>
      </c>
      <c r="I46" s="5" t="s">
        <v>430</v>
      </c>
      <c r="J46" s="43">
        <f>K32 * SQRT(1 + 1/50 + (100 - N3)^2/(50 * N5))</f>
        <v>32.967544697540113</v>
      </c>
    </row>
    <row r="47" spans="1:14" ht="13.5" customHeight="1">
      <c r="A47" s="4">
        <v>45</v>
      </c>
      <c r="B47" s="4">
        <v>104</v>
      </c>
      <c r="C47" s="4">
        <v>80</v>
      </c>
      <c r="D47" s="40">
        <f t="shared" si="0"/>
        <v>91.877311475409982</v>
      </c>
      <c r="E47" s="40">
        <f t="shared" si="1"/>
        <v>-11.877311475409982</v>
      </c>
      <c r="I47" s="3" t="s">
        <v>431</v>
      </c>
    </row>
    <row r="48" spans="1:14" ht="13.5" customHeight="1">
      <c r="A48" s="4">
        <v>46</v>
      </c>
      <c r="B48" s="4">
        <v>120</v>
      </c>
      <c r="C48" s="4">
        <v>100</v>
      </c>
      <c r="D48" s="40">
        <f t="shared" si="0"/>
        <v>136.32059016393495</v>
      </c>
      <c r="E48" s="40">
        <f t="shared" si="1"/>
        <v>-36.320590163934952</v>
      </c>
      <c r="I48" s="45">
        <f>K39-J43*J46</f>
        <v>14.480800560874158</v>
      </c>
      <c r="J48" s="46" t="s">
        <v>432</v>
      </c>
      <c r="K48" s="47">
        <f>K39+J43*J46</f>
        <v>147.05218304568331</v>
      </c>
    </row>
    <row r="49" spans="1:13" ht="13.5" customHeight="1">
      <c r="A49" s="4">
        <v>47</v>
      </c>
      <c r="B49" s="4">
        <v>101</v>
      </c>
      <c r="C49" s="4">
        <v>60</v>
      </c>
      <c r="D49" s="40">
        <f t="shared" si="0"/>
        <v>83.544196721311579</v>
      </c>
      <c r="E49" s="40">
        <f t="shared" si="1"/>
        <v>-23.544196721311579</v>
      </c>
      <c r="I49" s="3" t="s">
        <v>433</v>
      </c>
    </row>
    <row r="50" spans="1:13" ht="13.5" customHeight="1">
      <c r="A50" s="4">
        <v>48</v>
      </c>
      <c r="B50" s="4">
        <v>95</v>
      </c>
      <c r="C50" s="4">
        <v>50</v>
      </c>
      <c r="D50" s="40">
        <f t="shared" si="0"/>
        <v>66.877967213114715</v>
      </c>
      <c r="E50" s="40">
        <f t="shared" si="1"/>
        <v>-16.877967213114715</v>
      </c>
      <c r="I50" s="3" t="s">
        <v>434</v>
      </c>
    </row>
    <row r="51" spans="1:13" ht="13.5" customHeight="1">
      <c r="A51" s="4">
        <v>49</v>
      </c>
      <c r="B51" s="4">
        <v>98</v>
      </c>
      <c r="C51" s="4">
        <v>70</v>
      </c>
      <c r="D51" s="40">
        <f t="shared" si="0"/>
        <v>75.211081967213119</v>
      </c>
      <c r="E51" s="40">
        <f t="shared" si="1"/>
        <v>-5.2110819672131186</v>
      </c>
      <c r="I51" s="42">
        <f>$N$12-$J$43*$L$34</f>
        <v>1.5903840284928636</v>
      </c>
      <c r="J51" s="46" t="s">
        <v>435</v>
      </c>
      <c r="K51" s="42">
        <f>$N$12+$J$43*$L$34</f>
        <v>3.9650258075727569</v>
      </c>
      <c r="M51" s="39" t="s">
        <v>436</v>
      </c>
    </row>
    <row r="52" spans="1:13" ht="13.5" customHeight="1">
      <c r="A52" s="4">
        <v>50</v>
      </c>
      <c r="B52" s="4">
        <v>108</v>
      </c>
      <c r="C52" s="4">
        <v>160</v>
      </c>
      <c r="D52" s="40">
        <f t="shared" si="0"/>
        <v>102.98813114754122</v>
      </c>
      <c r="E52" s="40">
        <f t="shared" si="1"/>
        <v>57.011868852458775</v>
      </c>
      <c r="I52" s="3" t="s">
        <v>437</v>
      </c>
    </row>
    <row r="53" spans="1:13" ht="13.5" customHeight="1">
      <c r="A53" s="3" t="s">
        <v>438</v>
      </c>
      <c r="B53" s="3">
        <f t="shared" ref="B53:D53" si="2">SUM(B3:B52)/50</f>
        <v>97.6</v>
      </c>
      <c r="C53" s="3">
        <f t="shared" si="2"/>
        <v>74.099999999999994</v>
      </c>
      <c r="D53" s="3">
        <f t="shared" si="2"/>
        <v>74.100000000000009</v>
      </c>
      <c r="E53" s="40">
        <f>AVERAGE(E3:E52)</f>
        <v>-1.2505552149377763E-14</v>
      </c>
      <c r="I53" s="17">
        <f>$N$13-$J$43*$L$35</f>
        <v>-313.25696448881774</v>
      </c>
      <c r="J53" s="46" t="s">
        <v>439</v>
      </c>
      <c r="K53" s="17">
        <f>$N$13+$J$43*$L$35</f>
        <v>-80.751035511186771</v>
      </c>
      <c r="M53" s="39" t="s">
        <v>436</v>
      </c>
    </row>
    <row r="54" spans="1:13" ht="13.5" customHeight="1">
      <c r="A54" s="3" t="s">
        <v>440</v>
      </c>
      <c r="B54" s="3">
        <v>61</v>
      </c>
      <c r="C54" s="3">
        <v>1491.69</v>
      </c>
      <c r="D54" s="7">
        <f t="shared" ref="D54:E54" si="3">_xlfn.VAR.P(D3:D52)</f>
        <v>470.65432131148276</v>
      </c>
      <c r="E54" s="7">
        <f t="shared" si="3"/>
        <v>1021.0356786885245</v>
      </c>
    </row>
    <row r="55" spans="1:13" ht="13.5" customHeight="1"/>
    <row r="56" spans="1:13" ht="13.5" customHeight="1">
      <c r="A56" s="3" t="s">
        <v>441</v>
      </c>
      <c r="I56" s="39" t="s">
        <v>442</v>
      </c>
    </row>
    <row r="57" spans="1:13" ht="13.5" customHeight="1">
      <c r="A57" s="18" t="s">
        <v>443</v>
      </c>
      <c r="G57" s="39" t="s">
        <v>444</v>
      </c>
    </row>
    <row r="58" spans="1:13" ht="13.5" customHeight="1">
      <c r="A58" s="3">
        <f t="array" ref="A58:B62">LINEST(C3:C52, B3:B52, 1, 1)</f>
        <v>2.7777049180327866</v>
      </c>
      <c r="B58" s="3">
        <v>-197.00399999999999</v>
      </c>
      <c r="G58" s="39" t="s">
        <v>445</v>
      </c>
    </row>
    <row r="59" spans="1:13" ht="13.5" customHeight="1">
      <c r="A59" s="3">
        <v>0.59052042397938376</v>
      </c>
      <c r="B59" s="3">
        <v>57.819036524654607</v>
      </c>
    </row>
    <row r="60" spans="1:13" ht="13.5" customHeight="1">
      <c r="A60" s="3">
        <v>0.31551751457171034</v>
      </c>
      <c r="B60" s="3">
        <v>32.612556354373901</v>
      </c>
    </row>
    <row r="61" spans="1:13" ht="13.5" customHeight="1">
      <c r="A61" s="3">
        <v>22.125972573229205</v>
      </c>
      <c r="B61" s="3">
        <v>48</v>
      </c>
    </row>
    <row r="62" spans="1:13" ht="13.5" customHeight="1">
      <c r="A62" s="3">
        <v>23532.716065573717</v>
      </c>
      <c r="B62" s="3">
        <v>51051.783934426239</v>
      </c>
    </row>
    <row r="63" spans="1:13" ht="13.5" customHeight="1"/>
    <row r="64" spans="1:13" ht="13.5" customHeight="1">
      <c r="A64" s="3" t="s">
        <v>446</v>
      </c>
    </row>
    <row r="65" spans="1:2" ht="13.5" customHeight="1">
      <c r="A65" s="29" t="s">
        <v>447</v>
      </c>
      <c r="B65" s="29" t="s">
        <v>448</v>
      </c>
    </row>
    <row r="66" spans="1:2" ht="52.5" customHeight="1">
      <c r="A66" s="48" t="s">
        <v>449</v>
      </c>
      <c r="B66" s="49" t="s">
        <v>450</v>
      </c>
    </row>
    <row r="67" spans="1:2" ht="40.5" customHeight="1">
      <c r="A67" s="49" t="s">
        <v>451</v>
      </c>
      <c r="B67" s="49" t="s">
        <v>452</v>
      </c>
    </row>
    <row r="68" spans="1:2" ht="61.5" customHeight="1">
      <c r="A68" s="49" t="s">
        <v>453</v>
      </c>
      <c r="B68" s="49" t="s">
        <v>454</v>
      </c>
    </row>
    <row r="69" spans="1:2" ht="72.75" customHeight="1">
      <c r="A69" s="49" t="s">
        <v>455</v>
      </c>
      <c r="B69" s="49" t="s">
        <v>456</v>
      </c>
    </row>
    <row r="70" spans="1:2" ht="13.5" customHeight="1"/>
    <row r="71" spans="1:2" ht="13.5" customHeight="1"/>
    <row r="72" spans="1:2" ht="13.5" customHeight="1"/>
    <row r="73" spans="1:2" ht="13.5" customHeight="1"/>
    <row r="74" spans="1:2" ht="13.5" customHeight="1"/>
    <row r="75" spans="1:2" ht="13.5" customHeight="1"/>
    <row r="76" spans="1:2" ht="13.5" customHeight="1"/>
    <row r="77" spans="1:2" ht="13.5" customHeight="1"/>
    <row r="78" spans="1:2" ht="13.5" customHeight="1"/>
    <row r="79" spans="1:2" ht="13.5" customHeight="1"/>
    <row r="80" spans="1:2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00"/>
  <sheetViews>
    <sheetView workbookViewId="0"/>
  </sheetViews>
  <sheetFormatPr defaultColWidth="14.44140625" defaultRowHeight="15" customHeight="1"/>
  <cols>
    <col min="1" max="3" width="15.5546875" customWidth="1"/>
    <col min="4" max="4" width="8.6640625" customWidth="1"/>
    <col min="5" max="7" width="12.5546875" customWidth="1"/>
    <col min="8" max="26" width="8.6640625" customWidth="1"/>
  </cols>
  <sheetData>
    <row r="1" spans="1:7" ht="13.5" customHeight="1">
      <c r="A1" s="63" t="s">
        <v>0</v>
      </c>
      <c r="B1" s="60" t="e">
        <f>HLOOKUP(#REF!,Приложение,2,FALSE)</f>
        <v>#REF!</v>
      </c>
      <c r="C1" s="60" t="e">
        <f>HLOOKUP(#REF!,Приложение,2,FALSE)</f>
        <v>#REF!</v>
      </c>
      <c r="E1" s="63" t="s">
        <v>0</v>
      </c>
      <c r="F1" s="60" t="e">
        <f>HLOOKUP(#REF!,Приложение,2,FALSE)</f>
        <v>#REF!</v>
      </c>
      <c r="G1" s="60" t="e">
        <f>HLOOKUP(#REF!,Приложение,2,FALSE)</f>
        <v>#REF!</v>
      </c>
    </row>
    <row r="2" spans="1:7" ht="13.5" customHeight="1">
      <c r="A2" s="61"/>
      <c r="B2" s="61"/>
      <c r="C2" s="61"/>
      <c r="E2" s="61"/>
      <c r="F2" s="61"/>
      <c r="G2" s="61"/>
    </row>
    <row r="3" spans="1:7" ht="13.5" customHeight="1">
      <c r="A3" s="61"/>
      <c r="B3" s="61"/>
      <c r="C3" s="61"/>
      <c r="E3" s="61"/>
      <c r="F3" s="61"/>
      <c r="G3" s="61"/>
    </row>
    <row r="4" spans="1:7" ht="13.5" customHeight="1">
      <c r="A4" s="61"/>
      <c r="B4" s="61"/>
      <c r="C4" s="61"/>
      <c r="E4" s="61"/>
      <c r="F4" s="61"/>
      <c r="G4" s="61"/>
    </row>
    <row r="5" spans="1:7" ht="13.5" customHeight="1">
      <c r="A5" s="62"/>
      <c r="B5" s="62"/>
      <c r="C5" s="62"/>
      <c r="E5" s="62"/>
      <c r="F5" s="62"/>
      <c r="G5" s="62"/>
    </row>
    <row r="6" spans="1:7" ht="13.5" customHeight="1">
      <c r="A6" s="19">
        <v>1</v>
      </c>
      <c r="B6" s="19" t="e">
        <f>HLOOKUP(#REF!,Приложение,A6+6,FALSE)</f>
        <v>#REF!</v>
      </c>
      <c r="C6" s="19" t="e">
        <f>HLOOKUP(#REF!,Приложение,A6+6,FALSE)</f>
        <v>#REF!</v>
      </c>
      <c r="E6" s="19">
        <v>1</v>
      </c>
      <c r="F6" s="19" t="e">
        <f t="shared" ref="F6:F55" si="0">C6+E6*10^-11</f>
        <v>#REF!</v>
      </c>
      <c r="G6" s="19" t="e">
        <f t="shared" ref="G6:G55" si="1">B6</f>
        <v>#REF!</v>
      </c>
    </row>
    <row r="7" spans="1:7" ht="13.5" customHeight="1">
      <c r="A7" s="19">
        <v>2</v>
      </c>
      <c r="B7" s="19" t="e">
        <f>HLOOKUP(#REF!,Приложение,A7+6,FALSE)</f>
        <v>#REF!</v>
      </c>
      <c r="C7" s="19" t="e">
        <f>HLOOKUP(#REF!,Приложение,A7+6,FALSE)</f>
        <v>#REF!</v>
      </c>
      <c r="E7" s="19">
        <v>2</v>
      </c>
      <c r="F7" s="19" t="e">
        <f t="shared" si="0"/>
        <v>#REF!</v>
      </c>
      <c r="G7" s="19" t="e">
        <f t="shared" si="1"/>
        <v>#REF!</v>
      </c>
    </row>
    <row r="8" spans="1:7" ht="13.5" customHeight="1">
      <c r="A8" s="19">
        <v>3</v>
      </c>
      <c r="B8" s="19" t="e">
        <f>HLOOKUP(#REF!,Приложение,A8+6,FALSE)</f>
        <v>#REF!</v>
      </c>
      <c r="C8" s="19" t="e">
        <f>HLOOKUP(#REF!,Приложение,A8+6,FALSE)</f>
        <v>#REF!</v>
      </c>
      <c r="E8" s="19">
        <v>3</v>
      </c>
      <c r="F8" s="19" t="e">
        <f t="shared" si="0"/>
        <v>#REF!</v>
      </c>
      <c r="G8" s="19" t="e">
        <f t="shared" si="1"/>
        <v>#REF!</v>
      </c>
    </row>
    <row r="9" spans="1:7" ht="13.5" customHeight="1">
      <c r="A9" s="19">
        <v>4</v>
      </c>
      <c r="B9" s="19" t="e">
        <f>HLOOKUP(#REF!,Приложение,A9+6,FALSE)</f>
        <v>#REF!</v>
      </c>
      <c r="C9" s="19" t="e">
        <f>HLOOKUP(#REF!,Приложение,A9+6,FALSE)</f>
        <v>#REF!</v>
      </c>
      <c r="E9" s="19">
        <v>4</v>
      </c>
      <c r="F9" s="19" t="e">
        <f t="shared" si="0"/>
        <v>#REF!</v>
      </c>
      <c r="G9" s="19" t="e">
        <f t="shared" si="1"/>
        <v>#REF!</v>
      </c>
    </row>
    <row r="10" spans="1:7" ht="13.5" customHeight="1">
      <c r="A10" s="19">
        <v>5</v>
      </c>
      <c r="B10" s="19" t="e">
        <f>HLOOKUP(#REF!,Приложение,A10+6,FALSE)</f>
        <v>#REF!</v>
      </c>
      <c r="C10" s="19" t="e">
        <f>HLOOKUP(#REF!,Приложение,A10+6,FALSE)</f>
        <v>#REF!</v>
      </c>
      <c r="E10" s="19">
        <v>5</v>
      </c>
      <c r="F10" s="19" t="e">
        <f t="shared" si="0"/>
        <v>#REF!</v>
      </c>
      <c r="G10" s="19" t="e">
        <f t="shared" si="1"/>
        <v>#REF!</v>
      </c>
    </row>
    <row r="11" spans="1:7" ht="13.5" customHeight="1">
      <c r="A11" s="19">
        <v>6</v>
      </c>
      <c r="B11" s="19" t="e">
        <f>HLOOKUP(#REF!,Приложение,A11+6,FALSE)</f>
        <v>#REF!</v>
      </c>
      <c r="C11" s="19" t="e">
        <f>HLOOKUP(#REF!,Приложение,A11+6,FALSE)</f>
        <v>#REF!</v>
      </c>
      <c r="E11" s="19">
        <v>6</v>
      </c>
      <c r="F11" s="19" t="e">
        <f t="shared" si="0"/>
        <v>#REF!</v>
      </c>
      <c r="G11" s="19" t="e">
        <f t="shared" si="1"/>
        <v>#REF!</v>
      </c>
    </row>
    <row r="12" spans="1:7" ht="13.5" customHeight="1">
      <c r="A12" s="19">
        <v>7</v>
      </c>
      <c r="B12" s="19" t="e">
        <f>HLOOKUP(#REF!,Приложение,A12+6,FALSE)</f>
        <v>#REF!</v>
      </c>
      <c r="C12" s="19" t="e">
        <f>HLOOKUP(#REF!,Приложение,A12+6,FALSE)</f>
        <v>#REF!</v>
      </c>
      <c r="E12" s="19">
        <v>7</v>
      </c>
      <c r="F12" s="19" t="e">
        <f t="shared" si="0"/>
        <v>#REF!</v>
      </c>
      <c r="G12" s="19" t="e">
        <f t="shared" si="1"/>
        <v>#REF!</v>
      </c>
    </row>
    <row r="13" spans="1:7" ht="13.5" customHeight="1">
      <c r="A13" s="19">
        <v>8</v>
      </c>
      <c r="B13" s="19" t="e">
        <f>HLOOKUP(#REF!,Приложение,A13+6,FALSE)</f>
        <v>#REF!</v>
      </c>
      <c r="C13" s="19" t="e">
        <f>HLOOKUP(#REF!,Приложение,A13+6,FALSE)</f>
        <v>#REF!</v>
      </c>
      <c r="E13" s="19">
        <v>8</v>
      </c>
      <c r="F13" s="19" t="e">
        <f t="shared" si="0"/>
        <v>#REF!</v>
      </c>
      <c r="G13" s="19" t="e">
        <f t="shared" si="1"/>
        <v>#REF!</v>
      </c>
    </row>
    <row r="14" spans="1:7" ht="13.5" customHeight="1">
      <c r="A14" s="19">
        <v>9</v>
      </c>
      <c r="B14" s="19" t="e">
        <f>HLOOKUP(#REF!,Приложение,A14+6,FALSE)</f>
        <v>#REF!</v>
      </c>
      <c r="C14" s="19" t="e">
        <f>HLOOKUP(#REF!,Приложение,A14+6,FALSE)</f>
        <v>#REF!</v>
      </c>
      <c r="E14" s="19">
        <v>9</v>
      </c>
      <c r="F14" s="19" t="e">
        <f t="shared" si="0"/>
        <v>#REF!</v>
      </c>
      <c r="G14" s="19" t="e">
        <f t="shared" si="1"/>
        <v>#REF!</v>
      </c>
    </row>
    <row r="15" spans="1:7" ht="13.5" customHeight="1">
      <c r="A15" s="19">
        <v>10</v>
      </c>
      <c r="B15" s="19" t="e">
        <f>HLOOKUP(#REF!,Приложение,A15+6,FALSE)</f>
        <v>#REF!</v>
      </c>
      <c r="C15" s="19" t="e">
        <f>HLOOKUP(#REF!,Приложение,A15+6,FALSE)</f>
        <v>#REF!</v>
      </c>
      <c r="E15" s="19">
        <v>10</v>
      </c>
      <c r="F15" s="19" t="e">
        <f t="shared" si="0"/>
        <v>#REF!</v>
      </c>
      <c r="G15" s="19" t="e">
        <f t="shared" si="1"/>
        <v>#REF!</v>
      </c>
    </row>
    <row r="16" spans="1:7" ht="13.5" customHeight="1">
      <c r="A16" s="19">
        <v>11</v>
      </c>
      <c r="B16" s="19" t="e">
        <f>HLOOKUP(#REF!,Приложение,A16+6,FALSE)</f>
        <v>#REF!</v>
      </c>
      <c r="C16" s="19" t="e">
        <f>HLOOKUP(#REF!,Приложение,A16+6,FALSE)</f>
        <v>#REF!</v>
      </c>
      <c r="E16" s="19">
        <v>11</v>
      </c>
      <c r="F16" s="19" t="e">
        <f t="shared" si="0"/>
        <v>#REF!</v>
      </c>
      <c r="G16" s="19" t="e">
        <f t="shared" si="1"/>
        <v>#REF!</v>
      </c>
    </row>
    <row r="17" spans="1:7" ht="13.5" customHeight="1">
      <c r="A17" s="19">
        <v>12</v>
      </c>
      <c r="B17" s="19" t="e">
        <f>HLOOKUP(#REF!,Приложение,A17+6,FALSE)</f>
        <v>#REF!</v>
      </c>
      <c r="C17" s="19" t="e">
        <f>HLOOKUP(#REF!,Приложение,A17+6,FALSE)</f>
        <v>#REF!</v>
      </c>
      <c r="E17" s="19">
        <v>12</v>
      </c>
      <c r="F17" s="19" t="e">
        <f t="shared" si="0"/>
        <v>#REF!</v>
      </c>
      <c r="G17" s="19" t="e">
        <f t="shared" si="1"/>
        <v>#REF!</v>
      </c>
    </row>
    <row r="18" spans="1:7" ht="13.5" customHeight="1">
      <c r="A18" s="19">
        <v>13</v>
      </c>
      <c r="B18" s="19" t="e">
        <f>HLOOKUP(#REF!,Приложение,A18+6,FALSE)</f>
        <v>#REF!</v>
      </c>
      <c r="C18" s="19" t="e">
        <f>HLOOKUP(#REF!,Приложение,A18+6,FALSE)</f>
        <v>#REF!</v>
      </c>
      <c r="E18" s="19">
        <v>13</v>
      </c>
      <c r="F18" s="19" t="e">
        <f t="shared" si="0"/>
        <v>#REF!</v>
      </c>
      <c r="G18" s="19" t="e">
        <f t="shared" si="1"/>
        <v>#REF!</v>
      </c>
    </row>
    <row r="19" spans="1:7" ht="13.5" customHeight="1">
      <c r="A19" s="19">
        <v>14</v>
      </c>
      <c r="B19" s="19" t="e">
        <f>HLOOKUP(#REF!,Приложение,A19+6,FALSE)</f>
        <v>#REF!</v>
      </c>
      <c r="C19" s="19" t="e">
        <f>HLOOKUP(#REF!,Приложение,A19+6,FALSE)</f>
        <v>#REF!</v>
      </c>
      <c r="E19" s="19">
        <v>14</v>
      </c>
      <c r="F19" s="19" t="e">
        <f t="shared" si="0"/>
        <v>#REF!</v>
      </c>
      <c r="G19" s="19" t="e">
        <f t="shared" si="1"/>
        <v>#REF!</v>
      </c>
    </row>
    <row r="20" spans="1:7" ht="13.5" customHeight="1">
      <c r="A20" s="19">
        <v>15</v>
      </c>
      <c r="B20" s="19" t="e">
        <f>HLOOKUP(#REF!,Приложение,A20+6,FALSE)</f>
        <v>#REF!</v>
      </c>
      <c r="C20" s="19" t="e">
        <f>HLOOKUP(#REF!,Приложение,A20+6,FALSE)</f>
        <v>#REF!</v>
      </c>
      <c r="E20" s="19">
        <v>15</v>
      </c>
      <c r="F20" s="19" t="e">
        <f t="shared" si="0"/>
        <v>#REF!</v>
      </c>
      <c r="G20" s="19" t="e">
        <f t="shared" si="1"/>
        <v>#REF!</v>
      </c>
    </row>
    <row r="21" spans="1:7" ht="13.5" customHeight="1">
      <c r="A21" s="19">
        <v>16</v>
      </c>
      <c r="B21" s="19" t="e">
        <f>HLOOKUP(#REF!,Приложение,A21+6,FALSE)</f>
        <v>#REF!</v>
      </c>
      <c r="C21" s="19" t="e">
        <f>HLOOKUP(#REF!,Приложение,A21+6,FALSE)</f>
        <v>#REF!</v>
      </c>
      <c r="E21" s="19">
        <v>16</v>
      </c>
      <c r="F21" s="19" t="e">
        <f t="shared" si="0"/>
        <v>#REF!</v>
      </c>
      <c r="G21" s="19" t="e">
        <f t="shared" si="1"/>
        <v>#REF!</v>
      </c>
    </row>
    <row r="22" spans="1:7" ht="13.5" customHeight="1">
      <c r="A22" s="19">
        <v>17</v>
      </c>
      <c r="B22" s="19" t="e">
        <f>HLOOKUP(#REF!,Приложение,A22+6,FALSE)</f>
        <v>#REF!</v>
      </c>
      <c r="C22" s="19" t="e">
        <f>HLOOKUP(#REF!,Приложение,A22+6,FALSE)</f>
        <v>#REF!</v>
      </c>
      <c r="E22" s="19">
        <v>17</v>
      </c>
      <c r="F22" s="19" t="e">
        <f t="shared" si="0"/>
        <v>#REF!</v>
      </c>
      <c r="G22" s="19" t="e">
        <f t="shared" si="1"/>
        <v>#REF!</v>
      </c>
    </row>
    <row r="23" spans="1:7" ht="13.5" customHeight="1">
      <c r="A23" s="19">
        <v>18</v>
      </c>
      <c r="B23" s="19" t="e">
        <f>HLOOKUP(#REF!,Приложение,A23+6,FALSE)</f>
        <v>#REF!</v>
      </c>
      <c r="C23" s="19" t="e">
        <f>HLOOKUP(#REF!,Приложение,A23+6,FALSE)</f>
        <v>#REF!</v>
      </c>
      <c r="E23" s="19">
        <v>18</v>
      </c>
      <c r="F23" s="19" t="e">
        <f t="shared" si="0"/>
        <v>#REF!</v>
      </c>
      <c r="G23" s="19" t="e">
        <f t="shared" si="1"/>
        <v>#REF!</v>
      </c>
    </row>
    <row r="24" spans="1:7" ht="13.5" customHeight="1">
      <c r="A24" s="19">
        <v>19</v>
      </c>
      <c r="B24" s="19" t="e">
        <f>HLOOKUP(#REF!,Приложение,A24+6,FALSE)</f>
        <v>#REF!</v>
      </c>
      <c r="C24" s="19" t="e">
        <f>HLOOKUP(#REF!,Приложение,A24+6,FALSE)</f>
        <v>#REF!</v>
      </c>
      <c r="E24" s="19">
        <v>19</v>
      </c>
      <c r="F24" s="19" t="e">
        <f t="shared" si="0"/>
        <v>#REF!</v>
      </c>
      <c r="G24" s="19" t="e">
        <f t="shared" si="1"/>
        <v>#REF!</v>
      </c>
    </row>
    <row r="25" spans="1:7" ht="13.5" customHeight="1">
      <c r="A25" s="19">
        <v>20</v>
      </c>
      <c r="B25" s="19" t="e">
        <f>HLOOKUP(#REF!,Приложение,A25+6,FALSE)</f>
        <v>#REF!</v>
      </c>
      <c r="C25" s="19" t="e">
        <f>HLOOKUP(#REF!,Приложение,A25+6,FALSE)</f>
        <v>#REF!</v>
      </c>
      <c r="E25" s="19">
        <v>20</v>
      </c>
      <c r="F25" s="19" t="e">
        <f t="shared" si="0"/>
        <v>#REF!</v>
      </c>
      <c r="G25" s="19" t="e">
        <f t="shared" si="1"/>
        <v>#REF!</v>
      </c>
    </row>
    <row r="26" spans="1:7" ht="13.5" customHeight="1">
      <c r="A26" s="19">
        <v>21</v>
      </c>
      <c r="B26" s="19" t="e">
        <f>HLOOKUP(#REF!,Приложение,A26+6,FALSE)</f>
        <v>#REF!</v>
      </c>
      <c r="C26" s="19" t="e">
        <f>HLOOKUP(#REF!,Приложение,A26+6,FALSE)</f>
        <v>#REF!</v>
      </c>
      <c r="E26" s="19">
        <v>21</v>
      </c>
      <c r="F26" s="19" t="e">
        <f t="shared" si="0"/>
        <v>#REF!</v>
      </c>
      <c r="G26" s="19" t="e">
        <f t="shared" si="1"/>
        <v>#REF!</v>
      </c>
    </row>
    <row r="27" spans="1:7" ht="13.5" customHeight="1">
      <c r="A27" s="19">
        <v>22</v>
      </c>
      <c r="B27" s="19" t="e">
        <f>HLOOKUP(#REF!,Приложение,A27+6,FALSE)</f>
        <v>#REF!</v>
      </c>
      <c r="C27" s="19" t="e">
        <f>HLOOKUP(#REF!,Приложение,A27+6,FALSE)</f>
        <v>#REF!</v>
      </c>
      <c r="E27" s="19">
        <v>22</v>
      </c>
      <c r="F27" s="19" t="e">
        <f t="shared" si="0"/>
        <v>#REF!</v>
      </c>
      <c r="G27" s="19" t="e">
        <f t="shared" si="1"/>
        <v>#REF!</v>
      </c>
    </row>
    <row r="28" spans="1:7" ht="13.5" customHeight="1">
      <c r="A28" s="19">
        <v>23</v>
      </c>
      <c r="B28" s="19" t="e">
        <f>HLOOKUP(#REF!,Приложение,A28+6,FALSE)</f>
        <v>#REF!</v>
      </c>
      <c r="C28" s="19" t="e">
        <f>HLOOKUP(#REF!,Приложение,A28+6,FALSE)</f>
        <v>#REF!</v>
      </c>
      <c r="E28" s="19">
        <v>23</v>
      </c>
      <c r="F28" s="19" t="e">
        <f t="shared" si="0"/>
        <v>#REF!</v>
      </c>
      <c r="G28" s="19" t="e">
        <f t="shared" si="1"/>
        <v>#REF!</v>
      </c>
    </row>
    <row r="29" spans="1:7" ht="13.5" customHeight="1">
      <c r="A29" s="19">
        <v>24</v>
      </c>
      <c r="B29" s="19" t="e">
        <f>HLOOKUP(#REF!,Приложение,A29+6,FALSE)</f>
        <v>#REF!</v>
      </c>
      <c r="C29" s="19" t="e">
        <f>HLOOKUP(#REF!,Приложение,A29+6,FALSE)</f>
        <v>#REF!</v>
      </c>
      <c r="E29" s="19">
        <v>24</v>
      </c>
      <c r="F29" s="19" t="e">
        <f t="shared" si="0"/>
        <v>#REF!</v>
      </c>
      <c r="G29" s="19" t="e">
        <f t="shared" si="1"/>
        <v>#REF!</v>
      </c>
    </row>
    <row r="30" spans="1:7" ht="13.5" customHeight="1">
      <c r="A30" s="19">
        <v>25</v>
      </c>
      <c r="B30" s="19" t="e">
        <f>HLOOKUP(#REF!,Приложение,A30+6,FALSE)</f>
        <v>#REF!</v>
      </c>
      <c r="C30" s="19" t="e">
        <f>HLOOKUP(#REF!,Приложение,A30+6,FALSE)</f>
        <v>#REF!</v>
      </c>
      <c r="E30" s="19">
        <v>25</v>
      </c>
      <c r="F30" s="19" t="e">
        <f t="shared" si="0"/>
        <v>#REF!</v>
      </c>
      <c r="G30" s="19" t="e">
        <f t="shared" si="1"/>
        <v>#REF!</v>
      </c>
    </row>
    <row r="31" spans="1:7" ht="13.5" customHeight="1">
      <c r="A31" s="19">
        <v>26</v>
      </c>
      <c r="B31" s="19" t="e">
        <f>HLOOKUP(#REF!,Приложение,A31+6,FALSE)</f>
        <v>#REF!</v>
      </c>
      <c r="C31" s="19" t="e">
        <f>HLOOKUP(#REF!,Приложение,A31+6,FALSE)</f>
        <v>#REF!</v>
      </c>
      <c r="E31" s="19">
        <v>26</v>
      </c>
      <c r="F31" s="19" t="e">
        <f t="shared" si="0"/>
        <v>#REF!</v>
      </c>
      <c r="G31" s="19" t="e">
        <f t="shared" si="1"/>
        <v>#REF!</v>
      </c>
    </row>
    <row r="32" spans="1:7" ht="13.5" customHeight="1">
      <c r="A32" s="19">
        <v>27</v>
      </c>
      <c r="B32" s="19" t="e">
        <f>HLOOKUP(#REF!,Приложение,A32+6,FALSE)</f>
        <v>#REF!</v>
      </c>
      <c r="C32" s="19" t="e">
        <f>HLOOKUP(#REF!,Приложение,A32+6,FALSE)</f>
        <v>#REF!</v>
      </c>
      <c r="E32" s="19">
        <v>27</v>
      </c>
      <c r="F32" s="19" t="e">
        <f t="shared" si="0"/>
        <v>#REF!</v>
      </c>
      <c r="G32" s="19" t="e">
        <f t="shared" si="1"/>
        <v>#REF!</v>
      </c>
    </row>
    <row r="33" spans="1:7" ht="13.5" customHeight="1">
      <c r="A33" s="19">
        <v>28</v>
      </c>
      <c r="B33" s="19" t="e">
        <f>HLOOKUP(#REF!,Приложение,A33+6,FALSE)</f>
        <v>#REF!</v>
      </c>
      <c r="C33" s="19" t="e">
        <f>HLOOKUP(#REF!,Приложение,A33+6,FALSE)</f>
        <v>#REF!</v>
      </c>
      <c r="E33" s="19">
        <v>28</v>
      </c>
      <c r="F33" s="19" t="e">
        <f t="shared" si="0"/>
        <v>#REF!</v>
      </c>
      <c r="G33" s="19" t="e">
        <f t="shared" si="1"/>
        <v>#REF!</v>
      </c>
    </row>
    <row r="34" spans="1:7" ht="13.5" customHeight="1">
      <c r="A34" s="19">
        <v>29</v>
      </c>
      <c r="B34" s="19" t="e">
        <f>HLOOKUP(#REF!,Приложение,A34+6,FALSE)</f>
        <v>#REF!</v>
      </c>
      <c r="C34" s="19" t="e">
        <f>HLOOKUP(#REF!,Приложение,A34+6,FALSE)</f>
        <v>#REF!</v>
      </c>
      <c r="E34" s="19">
        <v>29</v>
      </c>
      <c r="F34" s="19" t="e">
        <f t="shared" si="0"/>
        <v>#REF!</v>
      </c>
      <c r="G34" s="19" t="e">
        <f t="shared" si="1"/>
        <v>#REF!</v>
      </c>
    </row>
    <row r="35" spans="1:7" ht="13.5" customHeight="1">
      <c r="A35" s="19">
        <v>30</v>
      </c>
      <c r="B35" s="19" t="e">
        <f>HLOOKUP(#REF!,Приложение,A35+6,FALSE)</f>
        <v>#REF!</v>
      </c>
      <c r="C35" s="19" t="e">
        <f>HLOOKUP(#REF!,Приложение,A35+6,FALSE)</f>
        <v>#REF!</v>
      </c>
      <c r="E35" s="19">
        <v>30</v>
      </c>
      <c r="F35" s="19" t="e">
        <f t="shared" si="0"/>
        <v>#REF!</v>
      </c>
      <c r="G35" s="19" t="e">
        <f t="shared" si="1"/>
        <v>#REF!</v>
      </c>
    </row>
    <row r="36" spans="1:7" ht="13.5" customHeight="1">
      <c r="A36" s="19">
        <v>31</v>
      </c>
      <c r="B36" s="19" t="e">
        <f>HLOOKUP(#REF!,Приложение,A36+6,FALSE)</f>
        <v>#REF!</v>
      </c>
      <c r="C36" s="19" t="e">
        <f>HLOOKUP(#REF!,Приложение,A36+6,FALSE)</f>
        <v>#REF!</v>
      </c>
      <c r="E36" s="19">
        <v>31</v>
      </c>
      <c r="F36" s="19" t="e">
        <f t="shared" si="0"/>
        <v>#REF!</v>
      </c>
      <c r="G36" s="19" t="e">
        <f t="shared" si="1"/>
        <v>#REF!</v>
      </c>
    </row>
    <row r="37" spans="1:7" ht="13.5" customHeight="1">
      <c r="A37" s="19">
        <v>32</v>
      </c>
      <c r="B37" s="19" t="e">
        <f>HLOOKUP(#REF!,Приложение,A37+6,FALSE)</f>
        <v>#REF!</v>
      </c>
      <c r="C37" s="19" t="e">
        <f>HLOOKUP(#REF!,Приложение,A37+6,FALSE)</f>
        <v>#REF!</v>
      </c>
      <c r="E37" s="19">
        <v>32</v>
      </c>
      <c r="F37" s="19" t="e">
        <f t="shared" si="0"/>
        <v>#REF!</v>
      </c>
      <c r="G37" s="19" t="e">
        <f t="shared" si="1"/>
        <v>#REF!</v>
      </c>
    </row>
    <row r="38" spans="1:7" ht="13.5" customHeight="1">
      <c r="A38" s="19">
        <v>33</v>
      </c>
      <c r="B38" s="19" t="e">
        <f>HLOOKUP(#REF!,Приложение,A38+6,FALSE)</f>
        <v>#REF!</v>
      </c>
      <c r="C38" s="19" t="e">
        <f>HLOOKUP(#REF!,Приложение,A38+6,FALSE)</f>
        <v>#REF!</v>
      </c>
      <c r="E38" s="19">
        <v>33</v>
      </c>
      <c r="F38" s="19" t="e">
        <f t="shared" si="0"/>
        <v>#REF!</v>
      </c>
      <c r="G38" s="19" t="e">
        <f t="shared" si="1"/>
        <v>#REF!</v>
      </c>
    </row>
    <row r="39" spans="1:7" ht="13.5" customHeight="1">
      <c r="A39" s="19">
        <v>34</v>
      </c>
      <c r="B39" s="19" t="e">
        <f>HLOOKUP(#REF!,Приложение,A39+6,FALSE)</f>
        <v>#REF!</v>
      </c>
      <c r="C39" s="19" t="e">
        <f>HLOOKUP(#REF!,Приложение,A39+6,FALSE)</f>
        <v>#REF!</v>
      </c>
      <c r="E39" s="19">
        <v>34</v>
      </c>
      <c r="F39" s="19" t="e">
        <f t="shared" si="0"/>
        <v>#REF!</v>
      </c>
      <c r="G39" s="19" t="e">
        <f t="shared" si="1"/>
        <v>#REF!</v>
      </c>
    </row>
    <row r="40" spans="1:7" ht="13.5" customHeight="1">
      <c r="A40" s="19">
        <v>35</v>
      </c>
      <c r="B40" s="19" t="e">
        <f>HLOOKUP(#REF!,Приложение,A40+6,FALSE)</f>
        <v>#REF!</v>
      </c>
      <c r="C40" s="19" t="e">
        <f>HLOOKUP(#REF!,Приложение,A40+6,FALSE)</f>
        <v>#REF!</v>
      </c>
      <c r="E40" s="19">
        <v>35</v>
      </c>
      <c r="F40" s="19" t="e">
        <f t="shared" si="0"/>
        <v>#REF!</v>
      </c>
      <c r="G40" s="19" t="e">
        <f t="shared" si="1"/>
        <v>#REF!</v>
      </c>
    </row>
    <row r="41" spans="1:7" ht="13.5" customHeight="1">
      <c r="A41" s="19">
        <v>36</v>
      </c>
      <c r="B41" s="19" t="e">
        <f>HLOOKUP(#REF!,Приложение,A41+6,FALSE)</f>
        <v>#REF!</v>
      </c>
      <c r="C41" s="19" t="e">
        <f>HLOOKUP(#REF!,Приложение,A41+6,FALSE)</f>
        <v>#REF!</v>
      </c>
      <c r="E41" s="19">
        <v>36</v>
      </c>
      <c r="F41" s="19" t="e">
        <f t="shared" si="0"/>
        <v>#REF!</v>
      </c>
      <c r="G41" s="19" t="e">
        <f t="shared" si="1"/>
        <v>#REF!</v>
      </c>
    </row>
    <row r="42" spans="1:7" ht="13.5" customHeight="1">
      <c r="A42" s="19">
        <v>37</v>
      </c>
      <c r="B42" s="19" t="e">
        <f>HLOOKUP(#REF!,Приложение,A42+6,FALSE)</f>
        <v>#REF!</v>
      </c>
      <c r="C42" s="19" t="e">
        <f>HLOOKUP(#REF!,Приложение,A42+6,FALSE)</f>
        <v>#REF!</v>
      </c>
      <c r="E42" s="19">
        <v>37</v>
      </c>
      <c r="F42" s="19" t="e">
        <f t="shared" si="0"/>
        <v>#REF!</v>
      </c>
      <c r="G42" s="19" t="e">
        <f t="shared" si="1"/>
        <v>#REF!</v>
      </c>
    </row>
    <row r="43" spans="1:7" ht="13.5" customHeight="1">
      <c r="A43" s="19">
        <v>38</v>
      </c>
      <c r="B43" s="19" t="e">
        <f>HLOOKUP(#REF!,Приложение,A43+6,FALSE)</f>
        <v>#REF!</v>
      </c>
      <c r="C43" s="19" t="e">
        <f>HLOOKUP(#REF!,Приложение,A43+6,FALSE)</f>
        <v>#REF!</v>
      </c>
      <c r="E43" s="19">
        <v>38</v>
      </c>
      <c r="F43" s="19" t="e">
        <f t="shared" si="0"/>
        <v>#REF!</v>
      </c>
      <c r="G43" s="19" t="e">
        <f t="shared" si="1"/>
        <v>#REF!</v>
      </c>
    </row>
    <row r="44" spans="1:7" ht="13.5" customHeight="1">
      <c r="A44" s="19">
        <v>39</v>
      </c>
      <c r="B44" s="19" t="e">
        <f>HLOOKUP(#REF!,Приложение,A44+6,FALSE)</f>
        <v>#REF!</v>
      </c>
      <c r="C44" s="19" t="e">
        <f>HLOOKUP(#REF!,Приложение,A44+6,FALSE)</f>
        <v>#REF!</v>
      </c>
      <c r="E44" s="19">
        <v>39</v>
      </c>
      <c r="F44" s="19" t="e">
        <f t="shared" si="0"/>
        <v>#REF!</v>
      </c>
      <c r="G44" s="19" t="e">
        <f t="shared" si="1"/>
        <v>#REF!</v>
      </c>
    </row>
    <row r="45" spans="1:7" ht="13.5" customHeight="1">
      <c r="A45" s="19">
        <v>40</v>
      </c>
      <c r="B45" s="19" t="e">
        <f>HLOOKUP(#REF!,Приложение,A45+6,FALSE)</f>
        <v>#REF!</v>
      </c>
      <c r="C45" s="19" t="e">
        <f>HLOOKUP(#REF!,Приложение,A45+6,FALSE)</f>
        <v>#REF!</v>
      </c>
      <c r="E45" s="19">
        <v>40</v>
      </c>
      <c r="F45" s="19" t="e">
        <f t="shared" si="0"/>
        <v>#REF!</v>
      </c>
      <c r="G45" s="19" t="e">
        <f t="shared" si="1"/>
        <v>#REF!</v>
      </c>
    </row>
    <row r="46" spans="1:7" ht="13.5" customHeight="1">
      <c r="A46" s="19">
        <v>41</v>
      </c>
      <c r="B46" s="19" t="e">
        <f>HLOOKUP(#REF!,Приложение,A46+6,FALSE)</f>
        <v>#REF!</v>
      </c>
      <c r="C46" s="19" t="e">
        <f>HLOOKUP(#REF!,Приложение,A46+6,FALSE)</f>
        <v>#REF!</v>
      </c>
      <c r="E46" s="19">
        <v>41</v>
      </c>
      <c r="F46" s="19" t="e">
        <f t="shared" si="0"/>
        <v>#REF!</v>
      </c>
      <c r="G46" s="19" t="e">
        <f t="shared" si="1"/>
        <v>#REF!</v>
      </c>
    </row>
    <row r="47" spans="1:7" ht="13.5" customHeight="1">
      <c r="A47" s="19">
        <v>42</v>
      </c>
      <c r="B47" s="19" t="e">
        <f>HLOOKUP(#REF!,Приложение,A47+6,FALSE)</f>
        <v>#REF!</v>
      </c>
      <c r="C47" s="19" t="e">
        <f>HLOOKUP(#REF!,Приложение,A47+6,FALSE)</f>
        <v>#REF!</v>
      </c>
      <c r="E47" s="19">
        <v>42</v>
      </c>
      <c r="F47" s="19" t="e">
        <f t="shared" si="0"/>
        <v>#REF!</v>
      </c>
      <c r="G47" s="19" t="e">
        <f t="shared" si="1"/>
        <v>#REF!</v>
      </c>
    </row>
    <row r="48" spans="1:7" ht="13.5" customHeight="1">
      <c r="A48" s="19">
        <v>43</v>
      </c>
      <c r="B48" s="19" t="e">
        <f>HLOOKUP(#REF!,Приложение,A48+6,FALSE)</f>
        <v>#REF!</v>
      </c>
      <c r="C48" s="19" t="e">
        <f>HLOOKUP(#REF!,Приложение,A48+6,FALSE)</f>
        <v>#REF!</v>
      </c>
      <c r="E48" s="19">
        <v>43</v>
      </c>
      <c r="F48" s="19" t="e">
        <f t="shared" si="0"/>
        <v>#REF!</v>
      </c>
      <c r="G48" s="19" t="e">
        <f t="shared" si="1"/>
        <v>#REF!</v>
      </c>
    </row>
    <row r="49" spans="1:7" ht="13.5" customHeight="1">
      <c r="A49" s="19">
        <v>44</v>
      </c>
      <c r="B49" s="19" t="e">
        <f>HLOOKUP(#REF!,Приложение,A49+6,FALSE)</f>
        <v>#REF!</v>
      </c>
      <c r="C49" s="19" t="e">
        <f>HLOOKUP(#REF!,Приложение,A49+6,FALSE)</f>
        <v>#REF!</v>
      </c>
      <c r="E49" s="19">
        <v>44</v>
      </c>
      <c r="F49" s="19" t="e">
        <f t="shared" si="0"/>
        <v>#REF!</v>
      </c>
      <c r="G49" s="19" t="e">
        <f t="shared" si="1"/>
        <v>#REF!</v>
      </c>
    </row>
    <row r="50" spans="1:7" ht="13.5" customHeight="1">
      <c r="A50" s="19">
        <v>45</v>
      </c>
      <c r="B50" s="19" t="e">
        <f>HLOOKUP(#REF!,Приложение,A50+6,FALSE)</f>
        <v>#REF!</v>
      </c>
      <c r="C50" s="19" t="e">
        <f>HLOOKUP(#REF!,Приложение,A50+6,FALSE)</f>
        <v>#REF!</v>
      </c>
      <c r="E50" s="19">
        <v>45</v>
      </c>
      <c r="F50" s="19" t="e">
        <f t="shared" si="0"/>
        <v>#REF!</v>
      </c>
      <c r="G50" s="19" t="e">
        <f t="shared" si="1"/>
        <v>#REF!</v>
      </c>
    </row>
    <row r="51" spans="1:7" ht="13.5" customHeight="1">
      <c r="A51" s="19">
        <v>46</v>
      </c>
      <c r="B51" s="19" t="e">
        <f>HLOOKUP(#REF!,Приложение,A51+6,FALSE)</f>
        <v>#REF!</v>
      </c>
      <c r="C51" s="19" t="e">
        <f>HLOOKUP(#REF!,Приложение,A51+6,FALSE)</f>
        <v>#REF!</v>
      </c>
      <c r="E51" s="19">
        <v>46</v>
      </c>
      <c r="F51" s="19" t="e">
        <f t="shared" si="0"/>
        <v>#REF!</v>
      </c>
      <c r="G51" s="19" t="e">
        <f t="shared" si="1"/>
        <v>#REF!</v>
      </c>
    </row>
    <row r="52" spans="1:7" ht="13.5" customHeight="1">
      <c r="A52" s="19">
        <v>47</v>
      </c>
      <c r="B52" s="19" t="e">
        <f>HLOOKUP(#REF!,Приложение,A52+6,FALSE)</f>
        <v>#REF!</v>
      </c>
      <c r="C52" s="19" t="e">
        <f>HLOOKUP(#REF!,Приложение,A52+6,FALSE)</f>
        <v>#REF!</v>
      </c>
      <c r="E52" s="19">
        <v>47</v>
      </c>
      <c r="F52" s="19" t="e">
        <f t="shared" si="0"/>
        <v>#REF!</v>
      </c>
      <c r="G52" s="19" t="e">
        <f t="shared" si="1"/>
        <v>#REF!</v>
      </c>
    </row>
    <row r="53" spans="1:7" ht="13.5" customHeight="1">
      <c r="A53" s="19">
        <v>48</v>
      </c>
      <c r="B53" s="19" t="e">
        <f>HLOOKUP(#REF!,Приложение,A53+6,FALSE)</f>
        <v>#REF!</v>
      </c>
      <c r="C53" s="19" t="e">
        <f>HLOOKUP(#REF!,Приложение,A53+6,FALSE)</f>
        <v>#REF!</v>
      </c>
      <c r="E53" s="19">
        <v>48</v>
      </c>
      <c r="F53" s="19" t="e">
        <f t="shared" si="0"/>
        <v>#REF!</v>
      </c>
      <c r="G53" s="19" t="e">
        <f t="shared" si="1"/>
        <v>#REF!</v>
      </c>
    </row>
    <row r="54" spans="1:7" ht="13.5" customHeight="1">
      <c r="A54" s="19">
        <v>49</v>
      </c>
      <c r="B54" s="19" t="e">
        <f>HLOOKUP(#REF!,Приложение,A54+6,FALSE)</f>
        <v>#REF!</v>
      </c>
      <c r="C54" s="19" t="e">
        <f>HLOOKUP(#REF!,Приложение,A54+6,FALSE)</f>
        <v>#REF!</v>
      </c>
      <c r="E54" s="19">
        <v>49</v>
      </c>
      <c r="F54" s="19" t="e">
        <f t="shared" si="0"/>
        <v>#REF!</v>
      </c>
      <c r="G54" s="19" t="e">
        <f t="shared" si="1"/>
        <v>#REF!</v>
      </c>
    </row>
    <row r="55" spans="1:7" ht="13.5" customHeight="1">
      <c r="A55" s="19">
        <v>50</v>
      </c>
      <c r="B55" s="19" t="e">
        <f>HLOOKUP(#REF!,Приложение,A55+6,FALSE)</f>
        <v>#REF!</v>
      </c>
      <c r="C55" s="19" t="e">
        <f>HLOOKUP(#REF!,Приложение,A55+6,FALSE)</f>
        <v>#REF!</v>
      </c>
      <c r="E55" s="19">
        <v>50</v>
      </c>
      <c r="F55" s="19" t="e">
        <f t="shared" si="0"/>
        <v>#REF!</v>
      </c>
      <c r="G55" s="19" t="e">
        <f t="shared" si="1"/>
        <v>#REF!</v>
      </c>
    </row>
    <row r="56" spans="1:7" ht="13.5" customHeight="1">
      <c r="A56" s="6"/>
    </row>
    <row r="57" spans="1:7" ht="13.5" customHeight="1">
      <c r="A57" s="6"/>
    </row>
    <row r="58" spans="1:7" ht="13.5" customHeight="1"/>
    <row r="59" spans="1:7" ht="13.5" customHeight="1"/>
    <row r="60" spans="1:7" ht="13.5" customHeight="1"/>
    <row r="61" spans="1:7" ht="13.5" customHeight="1"/>
    <row r="62" spans="1:7" ht="13.5" customHeight="1"/>
    <row r="63" spans="1:7" ht="13.5" customHeight="1"/>
    <row r="64" spans="1:7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G1:G5"/>
    <mergeCell ref="A1:A5"/>
    <mergeCell ref="B1:B5"/>
    <mergeCell ref="C1:C5"/>
    <mergeCell ref="E1:E5"/>
    <mergeCell ref="F1:F5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00"/>
  <sheetViews>
    <sheetView workbookViewId="0"/>
  </sheetViews>
  <sheetFormatPr defaultColWidth="14.44140625" defaultRowHeight="15" customHeight="1"/>
  <cols>
    <col min="1" max="9" width="9.5546875" customWidth="1"/>
    <col min="10" max="26" width="8.6640625" customWidth="1"/>
  </cols>
  <sheetData>
    <row r="1" spans="1:9" ht="13.5" customHeight="1">
      <c r="A1" s="51" t="s">
        <v>457</v>
      </c>
    </row>
    <row r="2" spans="1:9" ht="13.5" customHeight="1"/>
    <row r="3" spans="1:9" ht="13.5" customHeight="1">
      <c r="A3" s="72" t="s">
        <v>458</v>
      </c>
      <c r="B3" s="74" t="s">
        <v>459</v>
      </c>
      <c r="C3" s="75"/>
      <c r="D3" s="75"/>
      <c r="E3" s="67"/>
      <c r="F3" s="74" t="s">
        <v>460</v>
      </c>
      <c r="G3" s="75"/>
      <c r="H3" s="75"/>
      <c r="I3" s="67"/>
    </row>
    <row r="4" spans="1:9" ht="13.5" customHeight="1">
      <c r="A4" s="61"/>
      <c r="B4" s="70"/>
      <c r="C4" s="76"/>
      <c r="D4" s="76"/>
      <c r="E4" s="71"/>
      <c r="F4" s="70"/>
      <c r="G4" s="76"/>
      <c r="H4" s="76"/>
      <c r="I4" s="71"/>
    </row>
    <row r="5" spans="1:9" ht="14.25" customHeight="1">
      <c r="A5" s="61"/>
      <c r="B5" s="66" t="s">
        <v>461</v>
      </c>
      <c r="C5" s="67"/>
      <c r="D5" s="66" t="s">
        <v>462</v>
      </c>
      <c r="E5" s="67"/>
      <c r="F5" s="66" t="s">
        <v>461</v>
      </c>
      <c r="G5" s="67"/>
      <c r="H5" s="66" t="s">
        <v>462</v>
      </c>
      <c r="I5" s="67"/>
    </row>
    <row r="6" spans="1:9" ht="13.5" customHeight="1">
      <c r="A6" s="61"/>
      <c r="B6" s="68"/>
      <c r="C6" s="69"/>
      <c r="D6" s="68"/>
      <c r="E6" s="69"/>
      <c r="F6" s="68"/>
      <c r="G6" s="69"/>
      <c r="H6" s="68"/>
      <c r="I6" s="69"/>
    </row>
    <row r="7" spans="1:9" ht="13.5" customHeight="1">
      <c r="A7" s="62"/>
      <c r="B7" s="70"/>
      <c r="C7" s="71"/>
      <c r="D7" s="70"/>
      <c r="E7" s="71"/>
      <c r="F7" s="70"/>
      <c r="G7" s="71"/>
      <c r="H7" s="70"/>
      <c r="I7" s="71"/>
    </row>
    <row r="8" spans="1:9" ht="13.5" customHeight="1">
      <c r="A8" s="19" t="s">
        <v>463</v>
      </c>
      <c r="B8" s="19" t="s">
        <v>464</v>
      </c>
      <c r="C8" s="19" t="s">
        <v>465</v>
      </c>
      <c r="D8" s="19">
        <v>1</v>
      </c>
      <c r="E8" s="19">
        <v>2</v>
      </c>
      <c r="F8" s="19" t="s">
        <v>466</v>
      </c>
      <c r="G8" s="19" t="s">
        <v>467</v>
      </c>
      <c r="H8" s="19">
        <v>3</v>
      </c>
      <c r="I8" s="19">
        <v>4</v>
      </c>
    </row>
    <row r="9" spans="1:9" ht="13.5" customHeight="1">
      <c r="A9" s="19">
        <v>1</v>
      </c>
      <c r="B9" s="19">
        <v>66</v>
      </c>
      <c r="C9" s="19">
        <v>35</v>
      </c>
      <c r="D9" s="19">
        <v>20</v>
      </c>
      <c r="E9" s="19">
        <v>40</v>
      </c>
      <c r="F9" s="19">
        <v>72</v>
      </c>
      <c r="G9" s="19">
        <v>40</v>
      </c>
      <c r="H9" s="19">
        <v>30</v>
      </c>
      <c r="I9" s="19">
        <v>40</v>
      </c>
    </row>
    <row r="10" spans="1:9" ht="13.5" customHeight="1">
      <c r="A10" s="19">
        <v>2</v>
      </c>
      <c r="B10" s="19">
        <v>46</v>
      </c>
      <c r="C10" s="19">
        <v>42</v>
      </c>
      <c r="D10" s="19">
        <v>40</v>
      </c>
      <c r="E10" s="19">
        <v>60</v>
      </c>
      <c r="F10" s="19">
        <v>80</v>
      </c>
      <c r="G10" s="19">
        <v>75</v>
      </c>
      <c r="H10" s="19">
        <v>60</v>
      </c>
      <c r="I10" s="19">
        <v>70</v>
      </c>
    </row>
    <row r="11" spans="1:9" ht="13.5" customHeight="1">
      <c r="A11" s="19">
        <v>3</v>
      </c>
      <c r="B11" s="19">
        <v>58</v>
      </c>
      <c r="C11" s="19">
        <v>83</v>
      </c>
      <c r="D11" s="19">
        <v>100</v>
      </c>
      <c r="E11" s="19">
        <v>80</v>
      </c>
      <c r="F11" s="19">
        <v>48</v>
      </c>
      <c r="G11" s="19">
        <v>65</v>
      </c>
      <c r="H11" s="19">
        <v>110</v>
      </c>
      <c r="I11" s="19">
        <v>100</v>
      </c>
    </row>
    <row r="12" spans="1:9" ht="13.5" customHeight="1"/>
    <row r="13" spans="1:9" ht="13.5" customHeight="1"/>
    <row r="14" spans="1:9" ht="13.5" customHeight="1">
      <c r="A14" s="51" t="s">
        <v>468</v>
      </c>
    </row>
    <row r="15" spans="1:9" ht="13.5" customHeight="1"/>
    <row r="16" spans="1:9" ht="24.75" customHeight="1">
      <c r="A16" s="52" t="s">
        <v>469</v>
      </c>
      <c r="B16" s="73" t="s">
        <v>470</v>
      </c>
      <c r="C16" s="59"/>
      <c r="D16" s="59"/>
      <c r="E16" s="59"/>
    </row>
    <row r="17" spans="1:5" ht="24.75" customHeight="1">
      <c r="A17" s="53">
        <v>1</v>
      </c>
      <c r="B17" s="53">
        <v>2</v>
      </c>
      <c r="C17" s="53">
        <v>3</v>
      </c>
      <c r="D17" s="53">
        <v>4</v>
      </c>
      <c r="E17" s="53">
        <v>5</v>
      </c>
    </row>
    <row r="18" spans="1:5" ht="13.5" customHeight="1">
      <c r="A18" s="6">
        <v>1</v>
      </c>
      <c r="B18" s="6" t="s">
        <v>464</v>
      </c>
      <c r="C18" s="6">
        <v>1</v>
      </c>
      <c r="D18" s="6" t="s">
        <v>466</v>
      </c>
      <c r="E18" s="6">
        <v>3</v>
      </c>
    </row>
    <row r="19" spans="1:5" ht="13.5" customHeight="1">
      <c r="A19" s="6">
        <v>2</v>
      </c>
      <c r="B19" s="6" t="s">
        <v>464</v>
      </c>
      <c r="C19" s="6">
        <v>1</v>
      </c>
      <c r="D19" s="6" t="s">
        <v>466</v>
      </c>
      <c r="E19" s="6">
        <v>4</v>
      </c>
    </row>
    <row r="20" spans="1:5" ht="13.5" customHeight="1">
      <c r="A20" s="6">
        <v>3</v>
      </c>
      <c r="B20" s="6" t="s">
        <v>464</v>
      </c>
      <c r="C20" s="6">
        <v>1</v>
      </c>
      <c r="D20" s="6" t="s">
        <v>467</v>
      </c>
      <c r="E20" s="6">
        <v>3</v>
      </c>
    </row>
    <row r="21" spans="1:5" ht="13.5" customHeight="1">
      <c r="A21" s="6">
        <v>4</v>
      </c>
      <c r="B21" s="6" t="s">
        <v>464</v>
      </c>
      <c r="C21" s="6">
        <v>1</v>
      </c>
      <c r="D21" s="6" t="s">
        <v>467</v>
      </c>
      <c r="E21" s="6">
        <v>4</v>
      </c>
    </row>
    <row r="22" spans="1:5" ht="13.5" customHeight="1">
      <c r="A22" s="6">
        <v>5</v>
      </c>
      <c r="B22" s="6" t="s">
        <v>464</v>
      </c>
      <c r="C22" s="6">
        <v>2</v>
      </c>
      <c r="D22" s="6" t="s">
        <v>466</v>
      </c>
      <c r="E22" s="6">
        <v>3</v>
      </c>
    </row>
    <row r="23" spans="1:5" ht="13.5" customHeight="1">
      <c r="A23" s="6">
        <v>6</v>
      </c>
      <c r="B23" s="6" t="s">
        <v>464</v>
      </c>
      <c r="C23" s="6">
        <v>2</v>
      </c>
      <c r="D23" s="6" t="s">
        <v>466</v>
      </c>
      <c r="E23" s="6">
        <v>4</v>
      </c>
    </row>
    <row r="24" spans="1:5" ht="13.5" customHeight="1">
      <c r="A24" s="6">
        <v>7</v>
      </c>
      <c r="B24" s="6" t="s">
        <v>465</v>
      </c>
      <c r="C24" s="6">
        <v>1</v>
      </c>
      <c r="D24" s="6" t="s">
        <v>466</v>
      </c>
      <c r="E24" s="6">
        <v>3</v>
      </c>
    </row>
    <row r="25" spans="1:5" ht="13.5" customHeight="1">
      <c r="A25" s="6">
        <v>8</v>
      </c>
      <c r="B25" s="6" t="s">
        <v>465</v>
      </c>
      <c r="C25" s="6">
        <v>1</v>
      </c>
      <c r="D25" s="6" t="s">
        <v>467</v>
      </c>
      <c r="E25" s="6">
        <v>3</v>
      </c>
    </row>
    <row r="26" spans="1:5" ht="13.5" customHeight="1">
      <c r="A26" s="6">
        <v>9</v>
      </c>
      <c r="B26" s="6" t="s">
        <v>465</v>
      </c>
      <c r="C26" s="6">
        <v>2</v>
      </c>
      <c r="D26" s="6" t="s">
        <v>467</v>
      </c>
      <c r="E26" s="6">
        <v>3</v>
      </c>
    </row>
    <row r="27" spans="1:5" ht="13.5" customHeight="1">
      <c r="A27" s="6">
        <v>10</v>
      </c>
      <c r="B27" s="6" t="s">
        <v>465</v>
      </c>
      <c r="C27" s="6">
        <v>2</v>
      </c>
      <c r="D27" s="6" t="s">
        <v>467</v>
      </c>
      <c r="E27" s="6">
        <v>4</v>
      </c>
    </row>
    <row r="28" spans="1:5" ht="13.5" customHeight="1">
      <c r="A28" s="6">
        <v>11</v>
      </c>
      <c r="B28" s="6"/>
      <c r="C28" s="6"/>
      <c r="D28" s="6"/>
      <c r="E28" s="6"/>
    </row>
    <row r="29" spans="1:5" ht="13.5" customHeight="1">
      <c r="A29" s="6">
        <v>12</v>
      </c>
      <c r="B29" s="6"/>
      <c r="C29" s="6"/>
      <c r="D29" s="6"/>
      <c r="E29" s="6"/>
    </row>
    <row r="30" spans="1:5" ht="13.5" customHeight="1">
      <c r="A30" s="6">
        <v>13</v>
      </c>
      <c r="B30" s="6"/>
      <c r="C30" s="6"/>
      <c r="D30" s="6"/>
      <c r="E30" s="6"/>
    </row>
    <row r="31" spans="1:5" ht="13.5" customHeight="1">
      <c r="A31" s="6">
        <v>14</v>
      </c>
      <c r="B31" s="6"/>
      <c r="C31" s="6"/>
      <c r="D31" s="6"/>
      <c r="E31" s="6"/>
    </row>
    <row r="32" spans="1:5" ht="13.5" customHeight="1">
      <c r="A32" s="6">
        <v>15</v>
      </c>
      <c r="B32" s="6"/>
      <c r="C32" s="6"/>
      <c r="D32" s="6"/>
      <c r="E32" s="6"/>
    </row>
    <row r="33" spans="1:5" ht="13.5" customHeight="1">
      <c r="A33" s="6">
        <v>16</v>
      </c>
      <c r="B33" s="6"/>
      <c r="C33" s="6"/>
      <c r="D33" s="6"/>
      <c r="E33" s="6"/>
    </row>
    <row r="34" spans="1:5" ht="13.5" customHeight="1">
      <c r="A34" s="6">
        <v>17</v>
      </c>
      <c r="B34" s="6"/>
      <c r="C34" s="6"/>
      <c r="D34" s="6"/>
      <c r="E34" s="6"/>
    </row>
    <row r="35" spans="1:5" ht="13.5" customHeight="1">
      <c r="A35" s="6">
        <v>18</v>
      </c>
      <c r="B35" s="6"/>
      <c r="C35" s="6"/>
      <c r="D35" s="6"/>
      <c r="E35" s="6"/>
    </row>
    <row r="36" spans="1:5" ht="13.5" customHeight="1">
      <c r="A36" s="6">
        <v>19</v>
      </c>
      <c r="B36" s="6"/>
      <c r="C36" s="6"/>
      <c r="D36" s="6"/>
      <c r="E36" s="6"/>
    </row>
    <row r="37" spans="1:5" ht="13.5" customHeight="1">
      <c r="A37" s="6">
        <v>20</v>
      </c>
      <c r="B37" s="6"/>
      <c r="C37" s="6"/>
      <c r="D37" s="6"/>
      <c r="E37" s="6"/>
    </row>
    <row r="38" spans="1:5" ht="13.5" customHeight="1">
      <c r="A38" s="6">
        <v>21</v>
      </c>
      <c r="B38" s="6"/>
      <c r="C38" s="6"/>
      <c r="D38" s="6"/>
      <c r="E38" s="6"/>
    </row>
    <row r="39" spans="1:5" ht="13.5" customHeight="1">
      <c r="A39" s="6">
        <v>22</v>
      </c>
      <c r="B39" s="6"/>
      <c r="C39" s="6"/>
      <c r="D39" s="6"/>
      <c r="E39" s="6"/>
    </row>
    <row r="40" spans="1:5" ht="13.5" customHeight="1">
      <c r="A40" s="6">
        <v>23</v>
      </c>
      <c r="B40" s="6"/>
      <c r="C40" s="6"/>
      <c r="D40" s="6"/>
      <c r="E40" s="6"/>
    </row>
    <row r="41" spans="1:5" ht="13.5" customHeight="1">
      <c r="A41" s="6">
        <v>24</v>
      </c>
      <c r="B41" s="6"/>
      <c r="C41" s="6"/>
      <c r="D41" s="6"/>
      <c r="E41" s="6"/>
    </row>
    <row r="42" spans="1:5" ht="13.5" customHeight="1">
      <c r="A42" s="6">
        <v>25</v>
      </c>
      <c r="B42" s="6"/>
      <c r="C42" s="6"/>
      <c r="D42" s="6"/>
      <c r="E42" s="6"/>
    </row>
    <row r="43" spans="1:5" ht="13.5" customHeight="1">
      <c r="A43" s="6">
        <v>26</v>
      </c>
      <c r="B43" s="6"/>
      <c r="C43" s="6"/>
      <c r="D43" s="6"/>
      <c r="E43" s="6"/>
    </row>
    <row r="44" spans="1:5" ht="13.5" customHeight="1">
      <c r="A44" s="6">
        <v>27</v>
      </c>
      <c r="B44" s="6"/>
      <c r="C44" s="6"/>
      <c r="D44" s="6"/>
      <c r="E44" s="6"/>
    </row>
    <row r="45" spans="1:5" ht="13.5" customHeight="1">
      <c r="A45" s="6">
        <v>28</v>
      </c>
      <c r="B45" s="6"/>
      <c r="C45" s="6"/>
      <c r="D45" s="6"/>
      <c r="E45" s="6"/>
    </row>
    <row r="46" spans="1:5" ht="13.5" customHeight="1">
      <c r="A46" s="6">
        <v>29</v>
      </c>
      <c r="B46" s="6"/>
      <c r="C46" s="6"/>
      <c r="D46" s="6"/>
      <c r="E46" s="6"/>
    </row>
    <row r="47" spans="1:5" ht="13.5" customHeight="1">
      <c r="A47" s="6">
        <v>30</v>
      </c>
      <c r="B47" s="6"/>
      <c r="C47" s="6"/>
      <c r="D47" s="6"/>
      <c r="E47" s="6"/>
    </row>
    <row r="48" spans="1:5" ht="13.5" customHeight="1">
      <c r="A48" s="6">
        <v>31</v>
      </c>
      <c r="B48" s="6"/>
      <c r="C48" s="6"/>
      <c r="D48" s="6"/>
      <c r="E48" s="6"/>
    </row>
    <row r="49" spans="1:5" ht="13.5" customHeight="1">
      <c r="A49" s="6">
        <v>32</v>
      </c>
      <c r="B49" s="6"/>
      <c r="C49" s="6"/>
      <c r="D49" s="6"/>
      <c r="E49" s="6"/>
    </row>
    <row r="50" spans="1:5" ht="13.5" customHeight="1">
      <c r="A50" s="6">
        <v>33</v>
      </c>
      <c r="B50" s="6"/>
      <c r="C50" s="6"/>
      <c r="D50" s="6"/>
      <c r="E50" s="6"/>
    </row>
    <row r="51" spans="1:5" ht="13.5" customHeight="1">
      <c r="A51" s="6">
        <v>34</v>
      </c>
      <c r="B51" s="6"/>
      <c r="C51" s="6"/>
      <c r="D51" s="6"/>
      <c r="E51" s="6"/>
    </row>
    <row r="52" spans="1:5" ht="13.5" customHeight="1">
      <c r="A52" s="6">
        <v>35</v>
      </c>
      <c r="B52" s="6"/>
      <c r="C52" s="6"/>
      <c r="D52" s="6"/>
      <c r="E52" s="6"/>
    </row>
    <row r="53" spans="1:5" ht="13.5" customHeight="1">
      <c r="A53" s="6">
        <v>36</v>
      </c>
      <c r="B53" s="6"/>
      <c r="C53" s="6"/>
      <c r="D53" s="6"/>
      <c r="E53" s="6"/>
    </row>
    <row r="54" spans="1:5" ht="13.5" customHeight="1">
      <c r="A54" s="6">
        <v>37</v>
      </c>
      <c r="B54" s="6"/>
      <c r="C54" s="6"/>
      <c r="D54" s="6"/>
      <c r="E54" s="6"/>
    </row>
    <row r="55" spans="1:5" ht="13.5" customHeight="1">
      <c r="A55" s="6">
        <v>38</v>
      </c>
      <c r="B55" s="6"/>
      <c r="C55" s="6"/>
      <c r="D55" s="6"/>
      <c r="E55" s="6"/>
    </row>
    <row r="56" spans="1:5" ht="13.5" customHeight="1">
      <c r="A56" s="6">
        <v>39</v>
      </c>
      <c r="B56" s="6"/>
      <c r="C56" s="6"/>
      <c r="D56" s="6"/>
      <c r="E56" s="6"/>
    </row>
    <row r="57" spans="1:5" ht="13.5" customHeight="1">
      <c r="A57" s="6">
        <v>40</v>
      </c>
      <c r="B57" s="6"/>
      <c r="C57" s="6"/>
      <c r="D57" s="6"/>
      <c r="E57" s="6"/>
    </row>
    <row r="58" spans="1:5" ht="13.5" customHeight="1">
      <c r="A58" s="6">
        <v>41</v>
      </c>
      <c r="B58" s="6"/>
      <c r="C58" s="6"/>
      <c r="D58" s="6"/>
      <c r="E58" s="6"/>
    </row>
    <row r="59" spans="1:5" ht="13.5" customHeight="1">
      <c r="A59" s="6">
        <v>42</v>
      </c>
      <c r="B59" s="6"/>
      <c r="C59" s="6"/>
      <c r="D59" s="6"/>
      <c r="E59" s="6"/>
    </row>
    <row r="60" spans="1:5" ht="13.5" customHeight="1">
      <c r="A60" s="6">
        <v>43</v>
      </c>
      <c r="B60" s="6"/>
      <c r="C60" s="6"/>
      <c r="D60" s="6"/>
      <c r="E60" s="6"/>
    </row>
    <row r="61" spans="1:5" ht="13.5" customHeight="1">
      <c r="A61" s="6">
        <v>44</v>
      </c>
      <c r="B61" s="6"/>
      <c r="C61" s="6"/>
      <c r="D61" s="6"/>
      <c r="E61" s="6"/>
    </row>
    <row r="62" spans="1:5" ht="13.5" customHeight="1">
      <c r="A62" s="6">
        <v>45</v>
      </c>
      <c r="B62" s="6"/>
      <c r="C62" s="6"/>
      <c r="D62" s="6"/>
      <c r="E62" s="6"/>
    </row>
    <row r="63" spans="1:5" ht="13.5" customHeight="1">
      <c r="A63" s="6">
        <v>46</v>
      </c>
      <c r="B63" s="6"/>
      <c r="C63" s="6"/>
      <c r="D63" s="6"/>
      <c r="E63" s="6"/>
    </row>
    <row r="64" spans="1:5" ht="13.5" customHeight="1">
      <c r="A64" s="6">
        <v>47</v>
      </c>
      <c r="B64" s="6"/>
      <c r="C64" s="6"/>
      <c r="D64" s="6"/>
      <c r="E64" s="6"/>
    </row>
    <row r="65" spans="1:5" ht="13.5" customHeight="1">
      <c r="A65" s="6">
        <v>48</v>
      </c>
      <c r="B65" s="6"/>
      <c r="C65" s="6"/>
      <c r="D65" s="6"/>
      <c r="E65" s="6"/>
    </row>
    <row r="66" spans="1:5" ht="13.5" customHeight="1">
      <c r="A66" s="6">
        <v>49</v>
      </c>
      <c r="B66" s="6"/>
      <c r="C66" s="6"/>
      <c r="D66" s="6"/>
      <c r="E66" s="6"/>
    </row>
    <row r="67" spans="1:5" ht="13.5" customHeight="1">
      <c r="A67" s="6">
        <v>50</v>
      </c>
      <c r="B67" s="6"/>
      <c r="C67" s="6"/>
      <c r="D67" s="6"/>
      <c r="E67" s="6"/>
    </row>
    <row r="68" spans="1:5" ht="13.5" customHeight="1">
      <c r="A68" s="6">
        <v>51</v>
      </c>
      <c r="B68" s="6"/>
      <c r="C68" s="6"/>
      <c r="D68" s="6"/>
      <c r="E68" s="6"/>
    </row>
    <row r="69" spans="1:5" ht="13.5" customHeight="1">
      <c r="A69" s="6">
        <v>52</v>
      </c>
      <c r="B69" s="6"/>
      <c r="C69" s="6"/>
      <c r="D69" s="6"/>
      <c r="E69" s="6"/>
    </row>
    <row r="70" spans="1:5" ht="13.5" customHeight="1">
      <c r="A70" s="6">
        <v>53</v>
      </c>
      <c r="B70" s="6"/>
      <c r="C70" s="6"/>
      <c r="D70" s="6"/>
      <c r="E70" s="6"/>
    </row>
    <row r="71" spans="1:5" ht="13.5" customHeight="1">
      <c r="A71" s="6">
        <v>54</v>
      </c>
      <c r="B71" s="6"/>
      <c r="C71" s="6"/>
      <c r="D71" s="6"/>
      <c r="E71" s="6"/>
    </row>
    <row r="72" spans="1:5" ht="13.5" customHeight="1">
      <c r="A72" s="6">
        <v>55</v>
      </c>
      <c r="B72" s="6"/>
      <c r="C72" s="6"/>
      <c r="D72" s="6"/>
      <c r="E72" s="6"/>
    </row>
    <row r="73" spans="1:5" ht="13.5" customHeight="1">
      <c r="A73" s="6">
        <v>56</v>
      </c>
      <c r="B73" s="6"/>
      <c r="C73" s="6"/>
      <c r="D73" s="6"/>
      <c r="E73" s="6"/>
    </row>
    <row r="74" spans="1:5" ht="13.5" customHeight="1">
      <c r="A74" s="6">
        <v>57</v>
      </c>
      <c r="B74" s="6"/>
      <c r="C74" s="6"/>
      <c r="D74" s="6"/>
      <c r="E74" s="6"/>
    </row>
    <row r="75" spans="1:5" ht="13.5" customHeight="1">
      <c r="A75" s="6">
        <v>58</v>
      </c>
      <c r="B75" s="6"/>
      <c r="C75" s="6"/>
      <c r="D75" s="6"/>
      <c r="E75" s="6"/>
    </row>
    <row r="76" spans="1:5" ht="13.5" customHeight="1">
      <c r="A76" s="6">
        <v>59</v>
      </c>
      <c r="B76" s="6"/>
      <c r="C76" s="6"/>
      <c r="D76" s="6"/>
      <c r="E76" s="6"/>
    </row>
    <row r="77" spans="1:5" ht="13.5" customHeight="1">
      <c r="A77" s="6">
        <v>60</v>
      </c>
      <c r="B77" s="6"/>
      <c r="C77" s="6"/>
      <c r="D77" s="6"/>
      <c r="E77" s="6"/>
    </row>
    <row r="78" spans="1:5" ht="13.5" customHeight="1">
      <c r="A78" s="6">
        <v>61</v>
      </c>
      <c r="B78" s="6"/>
      <c r="C78" s="6"/>
      <c r="D78" s="6"/>
      <c r="E78" s="6"/>
    </row>
    <row r="79" spans="1:5" ht="13.5" customHeight="1">
      <c r="A79" s="6">
        <v>62</v>
      </c>
      <c r="B79" s="6"/>
      <c r="C79" s="6"/>
      <c r="D79" s="6"/>
      <c r="E79" s="6"/>
    </row>
    <row r="80" spans="1:5" ht="13.5" customHeight="1">
      <c r="A80" s="6">
        <v>63</v>
      </c>
      <c r="B80" s="6"/>
      <c r="C80" s="6"/>
      <c r="D80" s="6"/>
      <c r="E80" s="6"/>
    </row>
    <row r="81" spans="1:5" ht="13.5" customHeight="1">
      <c r="A81" s="6">
        <v>64</v>
      </c>
      <c r="B81" s="6"/>
      <c r="C81" s="6"/>
      <c r="D81" s="6"/>
      <c r="E81" s="6"/>
    </row>
    <row r="82" spans="1:5" ht="13.5" customHeight="1">
      <c r="A82" s="6">
        <v>65</v>
      </c>
      <c r="B82" s="6"/>
      <c r="C82" s="6"/>
      <c r="D82" s="6"/>
      <c r="E82" s="6"/>
    </row>
    <row r="83" spans="1:5" ht="13.5" customHeight="1">
      <c r="A83" s="6">
        <v>66</v>
      </c>
      <c r="B83" s="6"/>
      <c r="C83" s="6"/>
      <c r="D83" s="6"/>
      <c r="E83" s="6"/>
    </row>
    <row r="84" spans="1:5" ht="13.5" customHeight="1">
      <c r="A84" s="6">
        <v>67</v>
      </c>
      <c r="B84" s="6"/>
      <c r="C84" s="6"/>
      <c r="D84" s="6"/>
      <c r="E84" s="6"/>
    </row>
    <row r="85" spans="1:5" ht="13.5" customHeight="1">
      <c r="A85" s="6">
        <v>68</v>
      </c>
      <c r="B85" s="6"/>
      <c r="C85" s="6"/>
      <c r="D85" s="6"/>
      <c r="E85" s="6"/>
    </row>
    <row r="86" spans="1:5" ht="13.5" customHeight="1">
      <c r="A86" s="6">
        <v>69</v>
      </c>
      <c r="B86" s="6"/>
      <c r="C86" s="6"/>
      <c r="D86" s="6"/>
      <c r="E86" s="6"/>
    </row>
    <row r="87" spans="1:5" ht="13.5" customHeight="1">
      <c r="A87" s="6">
        <v>70</v>
      </c>
      <c r="B87" s="6"/>
      <c r="C87" s="6"/>
      <c r="D87" s="6"/>
      <c r="E87" s="6"/>
    </row>
    <row r="88" spans="1:5" ht="13.5" customHeight="1">
      <c r="A88" s="6">
        <v>71</v>
      </c>
      <c r="B88" s="6"/>
      <c r="C88" s="6"/>
      <c r="D88" s="6"/>
      <c r="E88" s="6"/>
    </row>
    <row r="89" spans="1:5" ht="13.5" customHeight="1">
      <c r="A89" s="6">
        <v>72</v>
      </c>
      <c r="B89" s="6"/>
      <c r="C89" s="6"/>
      <c r="D89" s="6"/>
      <c r="E89" s="6"/>
    </row>
    <row r="90" spans="1:5" ht="13.5" customHeight="1">
      <c r="A90" s="6">
        <v>73</v>
      </c>
      <c r="B90" s="6"/>
      <c r="C90" s="6"/>
      <c r="D90" s="6"/>
      <c r="E90" s="6"/>
    </row>
    <row r="91" spans="1:5" ht="13.5" customHeight="1">
      <c r="A91" s="6">
        <v>74</v>
      </c>
      <c r="B91" s="6"/>
      <c r="C91" s="6"/>
      <c r="D91" s="6"/>
      <c r="E91" s="6"/>
    </row>
    <row r="92" spans="1:5" ht="13.5" customHeight="1">
      <c r="A92" s="6">
        <v>75</v>
      </c>
      <c r="B92" s="6"/>
      <c r="C92" s="6"/>
      <c r="D92" s="6"/>
      <c r="E92" s="6"/>
    </row>
    <row r="93" spans="1:5" ht="13.5" customHeight="1">
      <c r="A93" s="6">
        <v>76</v>
      </c>
      <c r="B93" s="6"/>
      <c r="C93" s="6"/>
      <c r="D93" s="6"/>
      <c r="E93" s="6"/>
    </row>
    <row r="94" spans="1:5" ht="13.5" customHeight="1">
      <c r="A94" s="6">
        <v>77</v>
      </c>
      <c r="B94" s="6"/>
      <c r="C94" s="6"/>
      <c r="D94" s="6"/>
      <c r="E94" s="6"/>
    </row>
    <row r="95" spans="1:5" ht="13.5" customHeight="1">
      <c r="A95" s="6">
        <v>78</v>
      </c>
      <c r="B95" s="6"/>
      <c r="C95" s="6"/>
      <c r="D95" s="6"/>
      <c r="E95" s="6"/>
    </row>
    <row r="96" spans="1:5" ht="13.5" customHeight="1">
      <c r="A96" s="6">
        <v>79</v>
      </c>
      <c r="B96" s="6"/>
      <c r="C96" s="6"/>
      <c r="D96" s="6"/>
      <c r="E96" s="6"/>
    </row>
    <row r="97" spans="1:5" ht="13.5" customHeight="1">
      <c r="A97" s="6">
        <v>80</v>
      </c>
      <c r="B97" s="6"/>
      <c r="C97" s="6"/>
      <c r="D97" s="6"/>
      <c r="E97" s="6"/>
    </row>
    <row r="98" spans="1:5" ht="13.5" customHeight="1">
      <c r="A98" s="6">
        <v>81</v>
      </c>
      <c r="B98" s="6"/>
      <c r="C98" s="6"/>
      <c r="D98" s="6"/>
      <c r="E98" s="6"/>
    </row>
    <row r="99" spans="1:5" ht="13.5" customHeight="1">
      <c r="A99" s="6">
        <v>82</v>
      </c>
      <c r="B99" s="6"/>
      <c r="C99" s="6"/>
      <c r="D99" s="6"/>
      <c r="E99" s="6"/>
    </row>
    <row r="100" spans="1:5" ht="13.5" customHeight="1">
      <c r="A100" s="6">
        <v>83</v>
      </c>
      <c r="B100" s="6"/>
      <c r="C100" s="6"/>
      <c r="D100" s="6"/>
      <c r="E100" s="6"/>
    </row>
    <row r="101" spans="1:5" ht="13.5" customHeight="1">
      <c r="A101" s="6">
        <v>84</v>
      </c>
      <c r="B101" s="6"/>
      <c r="C101" s="6"/>
      <c r="D101" s="6"/>
      <c r="E101" s="6"/>
    </row>
    <row r="102" spans="1:5" ht="13.5" customHeight="1">
      <c r="A102" s="6">
        <v>85</v>
      </c>
      <c r="B102" s="6"/>
      <c r="C102" s="6"/>
      <c r="D102" s="6"/>
      <c r="E102" s="6"/>
    </row>
    <row r="103" spans="1:5" ht="13.5" customHeight="1">
      <c r="A103" s="6">
        <v>86</v>
      </c>
      <c r="B103" s="6"/>
      <c r="C103" s="6"/>
      <c r="D103" s="6"/>
      <c r="E103" s="6"/>
    </row>
    <row r="104" spans="1:5" ht="13.5" customHeight="1">
      <c r="A104" s="6">
        <v>87</v>
      </c>
      <c r="B104" s="6"/>
      <c r="C104" s="6"/>
      <c r="D104" s="6"/>
      <c r="E104" s="6"/>
    </row>
    <row r="105" spans="1:5" ht="13.5" customHeight="1">
      <c r="A105" s="6">
        <v>88</v>
      </c>
      <c r="B105" s="6"/>
      <c r="C105" s="6"/>
      <c r="D105" s="6"/>
      <c r="E105" s="6"/>
    </row>
    <row r="106" spans="1:5" ht="13.5" customHeight="1">
      <c r="A106" s="6">
        <v>89</v>
      </c>
      <c r="B106" s="6"/>
      <c r="C106" s="6"/>
      <c r="D106" s="6"/>
      <c r="E106" s="6"/>
    </row>
    <row r="107" spans="1:5" ht="13.5" customHeight="1">
      <c r="A107" s="6">
        <v>90</v>
      </c>
      <c r="B107" s="6"/>
      <c r="C107" s="6"/>
      <c r="D107" s="6"/>
      <c r="E107" s="6"/>
    </row>
    <row r="108" spans="1:5" ht="13.5" customHeight="1">
      <c r="A108" s="6">
        <v>91</v>
      </c>
      <c r="B108" s="6"/>
      <c r="C108" s="6"/>
      <c r="D108" s="6"/>
      <c r="E108" s="6"/>
    </row>
    <row r="109" spans="1:5" ht="13.5" customHeight="1">
      <c r="A109" s="6">
        <v>92</v>
      </c>
      <c r="B109" s="6"/>
      <c r="C109" s="6"/>
      <c r="D109" s="6"/>
      <c r="E109" s="6"/>
    </row>
    <row r="110" spans="1:5" ht="13.5" customHeight="1">
      <c r="A110" s="6">
        <v>93</v>
      </c>
      <c r="B110" s="6"/>
      <c r="C110" s="6"/>
      <c r="D110" s="6"/>
      <c r="E110" s="6"/>
    </row>
    <row r="111" spans="1:5" ht="13.5" customHeight="1">
      <c r="A111" s="6">
        <v>94</v>
      </c>
      <c r="B111" s="6"/>
      <c r="C111" s="6"/>
      <c r="D111" s="6"/>
      <c r="E111" s="6"/>
    </row>
    <row r="112" spans="1:5" ht="13.5" customHeight="1">
      <c r="A112" s="6">
        <v>95</v>
      </c>
      <c r="B112" s="6"/>
      <c r="C112" s="6"/>
      <c r="D112" s="6"/>
      <c r="E112" s="6"/>
    </row>
    <row r="113" spans="1:8" ht="13.5" customHeight="1">
      <c r="A113" s="6">
        <v>96</v>
      </c>
      <c r="B113" s="6"/>
      <c r="C113" s="6"/>
      <c r="D113" s="6"/>
      <c r="E113" s="6"/>
    </row>
    <row r="114" spans="1:8" ht="13.5" customHeight="1">
      <c r="A114" s="6">
        <v>97</v>
      </c>
      <c r="B114" s="6"/>
      <c r="C114" s="6"/>
      <c r="D114" s="6"/>
      <c r="E114" s="6"/>
    </row>
    <row r="115" spans="1:8" ht="13.5" customHeight="1">
      <c r="A115" s="6">
        <v>98</v>
      </c>
      <c r="B115" s="6"/>
      <c r="C115" s="6"/>
      <c r="D115" s="6"/>
      <c r="E115" s="6"/>
    </row>
    <row r="116" spans="1:8" ht="13.5" customHeight="1">
      <c r="A116" s="6">
        <v>99</v>
      </c>
      <c r="B116" s="6"/>
      <c r="C116" s="6"/>
      <c r="D116" s="6"/>
      <c r="E116" s="6"/>
    </row>
    <row r="117" spans="1:8" ht="13.5" customHeight="1">
      <c r="A117" s="6">
        <v>100</v>
      </c>
      <c r="B117" s="6"/>
      <c r="C117" s="6"/>
      <c r="D117" s="6"/>
      <c r="E117" s="6"/>
    </row>
    <row r="118" spans="1:8" ht="13.5" customHeight="1">
      <c r="A118" s="6"/>
    </row>
    <row r="119" spans="1:8" ht="13.5" customHeight="1">
      <c r="A119" s="51" t="s">
        <v>471</v>
      </c>
    </row>
    <row r="120" spans="1:8" ht="13.5" customHeight="1"/>
    <row r="121" spans="1:8" ht="14.25" customHeight="1">
      <c r="A121" s="63" t="s">
        <v>469</v>
      </c>
      <c r="B121" s="72" t="s">
        <v>458</v>
      </c>
      <c r="C121" s="66" t="s">
        <v>472</v>
      </c>
      <c r="D121" s="67"/>
      <c r="E121" s="66" t="s">
        <v>473</v>
      </c>
      <c r="F121" s="67"/>
      <c r="G121" s="66" t="s">
        <v>474</v>
      </c>
      <c r="H121" s="67"/>
    </row>
    <row r="122" spans="1:8" ht="13.5" customHeight="1">
      <c r="A122" s="61"/>
      <c r="B122" s="61"/>
      <c r="C122" s="68"/>
      <c r="D122" s="69"/>
      <c r="E122" s="68"/>
      <c r="F122" s="69"/>
      <c r="G122" s="68"/>
      <c r="H122" s="69"/>
    </row>
    <row r="123" spans="1:8" ht="13.5" customHeight="1">
      <c r="A123" s="61"/>
      <c r="B123" s="61"/>
      <c r="C123" s="68"/>
      <c r="D123" s="69"/>
      <c r="E123" s="68"/>
      <c r="F123" s="69"/>
      <c r="G123" s="68"/>
      <c r="H123" s="69"/>
    </row>
    <row r="124" spans="1:8" ht="13.5" customHeight="1">
      <c r="A124" s="61"/>
      <c r="B124" s="61"/>
      <c r="C124" s="68"/>
      <c r="D124" s="69"/>
      <c r="E124" s="68"/>
      <c r="F124" s="69"/>
      <c r="G124" s="70"/>
      <c r="H124" s="71"/>
    </row>
    <row r="125" spans="1:8" ht="13.5" customHeight="1">
      <c r="A125" s="61"/>
      <c r="B125" s="61"/>
      <c r="C125" s="68"/>
      <c r="D125" s="69"/>
      <c r="E125" s="68"/>
      <c r="F125" s="69"/>
      <c r="G125" s="72" t="s">
        <v>459</v>
      </c>
      <c r="H125" s="72" t="s">
        <v>460</v>
      </c>
    </row>
    <row r="126" spans="1:8" ht="13.5" customHeight="1">
      <c r="A126" s="62"/>
      <c r="B126" s="62"/>
      <c r="C126" s="70"/>
      <c r="D126" s="71"/>
      <c r="E126" s="70"/>
      <c r="F126" s="71"/>
      <c r="G126" s="62"/>
      <c r="H126" s="62"/>
    </row>
    <row r="127" spans="1:8" ht="13.5" customHeight="1">
      <c r="A127" s="50">
        <v>10</v>
      </c>
      <c r="B127" s="54" t="s">
        <v>464</v>
      </c>
      <c r="C127" s="64">
        <v>93</v>
      </c>
      <c r="D127" s="65"/>
      <c r="E127" s="64">
        <v>120</v>
      </c>
      <c r="F127" s="65"/>
      <c r="G127" s="19">
        <v>25</v>
      </c>
      <c r="H127" s="19">
        <v>28</v>
      </c>
    </row>
    <row r="128" spans="1:8" ht="13.5" customHeight="1">
      <c r="A128" s="50">
        <v>11</v>
      </c>
      <c r="B128" s="19" t="s">
        <v>475</v>
      </c>
      <c r="C128" s="64">
        <v>102</v>
      </c>
      <c r="D128" s="65"/>
      <c r="E128" s="64">
        <v>112</v>
      </c>
      <c r="F128" s="65"/>
      <c r="G128" s="19">
        <v>14</v>
      </c>
      <c r="H128" s="19">
        <v>16</v>
      </c>
    </row>
    <row r="129" spans="1:8" ht="13.5" customHeight="1">
      <c r="A129" s="50">
        <v>12</v>
      </c>
      <c r="B129" s="19" t="s">
        <v>476</v>
      </c>
      <c r="C129" s="64">
        <v>96</v>
      </c>
      <c r="D129" s="65"/>
      <c r="E129" s="64">
        <v>113</v>
      </c>
      <c r="F129" s="65"/>
      <c r="G129" s="19">
        <v>48</v>
      </c>
      <c r="H129" s="19">
        <v>52</v>
      </c>
    </row>
    <row r="130" spans="1:8" ht="13.5" customHeight="1">
      <c r="A130" s="50">
        <v>20</v>
      </c>
      <c r="B130" s="54" t="s">
        <v>464</v>
      </c>
      <c r="C130" s="64">
        <v>82</v>
      </c>
      <c r="D130" s="65"/>
      <c r="E130" s="64">
        <v>104</v>
      </c>
      <c r="F130" s="65"/>
      <c r="G130" s="19">
        <v>40</v>
      </c>
      <c r="H130" s="19">
        <v>34</v>
      </c>
    </row>
    <row r="131" spans="1:8" ht="13.5" customHeight="1">
      <c r="A131" s="50">
        <v>21</v>
      </c>
      <c r="B131" s="19" t="s">
        <v>475</v>
      </c>
      <c r="C131" s="64">
        <v>90</v>
      </c>
      <c r="D131" s="65"/>
      <c r="E131" s="64">
        <v>112</v>
      </c>
      <c r="F131" s="65"/>
      <c r="G131" s="19">
        <v>36</v>
      </c>
      <c r="H131" s="19">
        <v>36</v>
      </c>
    </row>
    <row r="132" spans="1:8" ht="13.5" customHeight="1">
      <c r="A132" s="50">
        <v>22</v>
      </c>
      <c r="B132" s="19" t="s">
        <v>476</v>
      </c>
      <c r="C132" s="64">
        <v>88</v>
      </c>
      <c r="D132" s="65"/>
      <c r="E132" s="64">
        <v>106</v>
      </c>
      <c r="F132" s="65"/>
      <c r="G132" s="19">
        <v>62</v>
      </c>
      <c r="H132" s="19">
        <v>58</v>
      </c>
    </row>
    <row r="133" spans="1:8" ht="13.5" customHeight="1">
      <c r="A133" s="50">
        <v>30</v>
      </c>
      <c r="B133" s="54" t="s">
        <v>464</v>
      </c>
      <c r="C133" s="64">
        <v>107</v>
      </c>
      <c r="D133" s="65"/>
      <c r="E133" s="64">
        <v>110</v>
      </c>
      <c r="F133" s="65"/>
      <c r="G133" s="19">
        <v>17</v>
      </c>
      <c r="H133" s="19">
        <v>20</v>
      </c>
    </row>
    <row r="134" spans="1:8" ht="13.5" customHeight="1">
      <c r="A134" s="50">
        <v>31</v>
      </c>
      <c r="B134" s="19" t="s">
        <v>475</v>
      </c>
      <c r="C134" s="64">
        <v>91</v>
      </c>
      <c r="D134" s="65"/>
      <c r="E134" s="64">
        <v>105</v>
      </c>
      <c r="F134" s="65"/>
      <c r="G134" s="19">
        <v>43</v>
      </c>
      <c r="H134" s="19">
        <v>40</v>
      </c>
    </row>
    <row r="135" spans="1:8" ht="13.5" customHeight="1">
      <c r="A135" s="50">
        <v>32</v>
      </c>
      <c r="B135" s="19" t="s">
        <v>476</v>
      </c>
      <c r="C135" s="64">
        <v>106</v>
      </c>
      <c r="D135" s="65"/>
      <c r="E135" s="64">
        <v>98</v>
      </c>
      <c r="F135" s="65"/>
      <c r="G135" s="19">
        <v>80</v>
      </c>
      <c r="H135" s="19">
        <v>83</v>
      </c>
    </row>
    <row r="136" spans="1:8" ht="13.5" customHeight="1">
      <c r="A136" s="50">
        <v>40</v>
      </c>
      <c r="B136" s="54" t="s">
        <v>464</v>
      </c>
      <c r="C136" s="64">
        <v>87</v>
      </c>
      <c r="D136" s="65"/>
      <c r="E136" s="64">
        <v>104</v>
      </c>
      <c r="F136" s="65"/>
      <c r="G136" s="19">
        <v>54</v>
      </c>
      <c r="H136" s="19">
        <v>49</v>
      </c>
    </row>
    <row r="137" spans="1:8" ht="13.5" customHeight="1">
      <c r="A137" s="50">
        <v>41</v>
      </c>
      <c r="B137" s="19" t="s">
        <v>475</v>
      </c>
      <c r="C137" s="64">
        <v>102</v>
      </c>
      <c r="D137" s="65"/>
      <c r="E137" s="64">
        <v>100</v>
      </c>
      <c r="F137" s="65"/>
      <c r="G137" s="19">
        <v>45</v>
      </c>
      <c r="H137" s="19">
        <v>46</v>
      </c>
    </row>
    <row r="138" spans="1:8" ht="13.5" customHeight="1">
      <c r="A138" s="50">
        <v>42</v>
      </c>
      <c r="B138" s="19" t="s">
        <v>476</v>
      </c>
      <c r="C138" s="64">
        <v>108</v>
      </c>
      <c r="D138" s="65"/>
      <c r="E138" s="64">
        <v>97</v>
      </c>
      <c r="F138" s="65"/>
      <c r="G138" s="19">
        <v>20</v>
      </c>
      <c r="H138" s="19">
        <v>21</v>
      </c>
    </row>
    <row r="139" spans="1:8" ht="13.5" customHeight="1">
      <c r="A139" s="50">
        <v>50</v>
      </c>
      <c r="B139" s="54" t="s">
        <v>464</v>
      </c>
      <c r="C139" s="64">
        <v>90</v>
      </c>
      <c r="D139" s="65"/>
      <c r="E139" s="64">
        <v>120</v>
      </c>
      <c r="F139" s="65"/>
      <c r="G139" s="19">
        <v>100</v>
      </c>
      <c r="H139" s="19">
        <v>108</v>
      </c>
    </row>
    <row r="140" spans="1:8" ht="13.5" customHeight="1">
      <c r="A140" s="50">
        <v>51</v>
      </c>
      <c r="B140" s="19" t="s">
        <v>475</v>
      </c>
      <c r="C140" s="64">
        <v>92</v>
      </c>
      <c r="D140" s="65"/>
      <c r="E140" s="64">
        <v>114</v>
      </c>
      <c r="F140" s="65"/>
      <c r="G140" s="19">
        <v>150</v>
      </c>
      <c r="H140" s="19">
        <v>157</v>
      </c>
    </row>
    <row r="141" spans="1:8" ht="13.5" customHeight="1">
      <c r="A141" s="50">
        <v>52</v>
      </c>
      <c r="B141" s="19" t="s">
        <v>476</v>
      </c>
      <c r="C141" s="64">
        <v>96</v>
      </c>
      <c r="D141" s="65"/>
      <c r="E141" s="64">
        <v>90</v>
      </c>
      <c r="F141" s="65"/>
      <c r="G141" s="19">
        <v>160</v>
      </c>
      <c r="H141" s="19">
        <v>185</v>
      </c>
    </row>
    <row r="142" spans="1:8" ht="13.5" customHeight="1">
      <c r="A142" s="50">
        <v>60</v>
      </c>
      <c r="B142" s="54" t="s">
        <v>464</v>
      </c>
      <c r="C142" s="64">
        <v>100</v>
      </c>
      <c r="D142" s="65"/>
      <c r="E142" s="64">
        <v>91</v>
      </c>
      <c r="F142" s="65"/>
      <c r="G142" s="19">
        <v>70</v>
      </c>
      <c r="H142" s="19">
        <v>64</v>
      </c>
    </row>
    <row r="143" spans="1:8" ht="13.5" customHeight="1">
      <c r="A143" s="50">
        <v>61</v>
      </c>
      <c r="B143" s="19" t="s">
        <v>475</v>
      </c>
      <c r="C143" s="64">
        <v>104</v>
      </c>
      <c r="D143" s="65"/>
      <c r="E143" s="64">
        <v>94</v>
      </c>
      <c r="F143" s="65"/>
      <c r="G143" s="19">
        <v>105</v>
      </c>
      <c r="H143" s="19">
        <v>103</v>
      </c>
    </row>
    <row r="144" spans="1:8" ht="13.5" customHeight="1">
      <c r="A144" s="50">
        <v>62</v>
      </c>
      <c r="B144" s="19" t="s">
        <v>476</v>
      </c>
      <c r="C144" s="64">
        <v>98</v>
      </c>
      <c r="D144" s="65"/>
      <c r="E144" s="64">
        <v>96</v>
      </c>
      <c r="F144" s="65"/>
      <c r="G144" s="19">
        <v>140</v>
      </c>
      <c r="H144" s="19">
        <v>132</v>
      </c>
    </row>
    <row r="145" spans="1:8" ht="13.5" customHeight="1">
      <c r="A145" s="50">
        <v>70</v>
      </c>
      <c r="B145" s="54" t="s">
        <v>464</v>
      </c>
      <c r="C145" s="64">
        <v>95</v>
      </c>
      <c r="D145" s="65"/>
      <c r="E145" s="64">
        <v>97</v>
      </c>
      <c r="F145" s="65"/>
      <c r="G145" s="19">
        <v>25</v>
      </c>
      <c r="H145" s="19">
        <v>23</v>
      </c>
    </row>
    <row r="146" spans="1:8" ht="13.5" customHeight="1">
      <c r="A146" s="50">
        <v>71</v>
      </c>
      <c r="B146" s="19" t="s">
        <v>475</v>
      </c>
      <c r="C146" s="64">
        <v>82</v>
      </c>
      <c r="D146" s="65"/>
      <c r="E146" s="64">
        <v>104</v>
      </c>
      <c r="F146" s="65"/>
      <c r="G146" s="19">
        <v>40</v>
      </c>
      <c r="H146" s="19">
        <v>34</v>
      </c>
    </row>
    <row r="147" spans="1:8" ht="13.5" customHeight="1">
      <c r="A147" s="50">
        <v>72</v>
      </c>
      <c r="B147" s="19" t="s">
        <v>476</v>
      </c>
      <c r="C147" s="64">
        <v>107</v>
      </c>
      <c r="D147" s="65"/>
      <c r="E147" s="64">
        <v>110</v>
      </c>
      <c r="F147" s="65"/>
      <c r="G147" s="19">
        <v>17</v>
      </c>
      <c r="H147" s="19">
        <v>20</v>
      </c>
    </row>
    <row r="148" spans="1:8" ht="13.5" customHeight="1">
      <c r="A148" s="50">
        <v>80</v>
      </c>
      <c r="B148" s="54" t="s">
        <v>464</v>
      </c>
      <c r="C148" s="64">
        <v>102</v>
      </c>
      <c r="D148" s="65"/>
      <c r="E148" s="64">
        <v>104</v>
      </c>
      <c r="F148" s="65"/>
      <c r="G148" s="19">
        <v>34</v>
      </c>
      <c r="H148" s="19">
        <v>36</v>
      </c>
    </row>
    <row r="149" spans="1:8" ht="13.5" customHeight="1">
      <c r="A149" s="50">
        <v>81</v>
      </c>
      <c r="B149" s="19" t="s">
        <v>475</v>
      </c>
      <c r="C149" s="64">
        <v>87</v>
      </c>
      <c r="D149" s="65"/>
      <c r="E149" s="64">
        <v>100</v>
      </c>
      <c r="F149" s="65"/>
      <c r="G149" s="19">
        <v>54</v>
      </c>
      <c r="H149" s="19">
        <v>47</v>
      </c>
    </row>
    <row r="150" spans="1:8" ht="13.5" customHeight="1">
      <c r="A150" s="50">
        <v>82</v>
      </c>
      <c r="B150" s="19" t="s">
        <v>476</v>
      </c>
      <c r="C150" s="64">
        <v>95</v>
      </c>
      <c r="D150" s="65"/>
      <c r="E150" s="64">
        <v>96</v>
      </c>
      <c r="F150" s="65"/>
      <c r="G150" s="19">
        <v>48</v>
      </c>
      <c r="H150" s="19">
        <v>44</v>
      </c>
    </row>
    <row r="151" spans="1:8" ht="13.5" customHeight="1">
      <c r="A151" s="50">
        <v>90</v>
      </c>
      <c r="B151" s="54" t="s">
        <v>464</v>
      </c>
      <c r="C151" s="64">
        <v>96</v>
      </c>
      <c r="D151" s="65"/>
      <c r="E151" s="64">
        <v>106</v>
      </c>
      <c r="F151" s="65"/>
      <c r="G151" s="19">
        <v>62</v>
      </c>
      <c r="H151" s="19">
        <v>63</v>
      </c>
    </row>
    <row r="152" spans="1:8" ht="13.5" customHeight="1">
      <c r="A152" s="50">
        <v>91</v>
      </c>
      <c r="B152" s="19" t="s">
        <v>475</v>
      </c>
      <c r="C152" s="64">
        <v>90</v>
      </c>
      <c r="D152" s="65"/>
      <c r="E152" s="64">
        <v>102</v>
      </c>
      <c r="F152" s="65"/>
      <c r="G152" s="19">
        <v>100</v>
      </c>
      <c r="H152" s="19">
        <v>92</v>
      </c>
    </row>
    <row r="153" spans="1:8" ht="13.5" customHeight="1">
      <c r="A153" s="50">
        <v>92</v>
      </c>
      <c r="B153" s="19" t="s">
        <v>476</v>
      </c>
      <c r="C153" s="64">
        <v>100</v>
      </c>
      <c r="D153" s="65"/>
      <c r="E153" s="64">
        <v>106</v>
      </c>
      <c r="F153" s="65"/>
      <c r="G153" s="19">
        <v>70</v>
      </c>
      <c r="H153" s="19">
        <v>74</v>
      </c>
    </row>
    <row r="154" spans="1:8" ht="13.5" customHeight="1">
      <c r="A154" s="50">
        <v>100</v>
      </c>
      <c r="B154" s="54" t="s">
        <v>464</v>
      </c>
      <c r="C154" s="64">
        <v>86</v>
      </c>
      <c r="D154" s="65"/>
      <c r="E154" s="64">
        <v>108</v>
      </c>
      <c r="F154" s="65"/>
      <c r="G154" s="19">
        <v>240</v>
      </c>
      <c r="H154" s="19">
        <v>223</v>
      </c>
    </row>
    <row r="155" spans="1:8" ht="13.5" customHeight="1">
      <c r="A155" s="50">
        <v>101</v>
      </c>
      <c r="B155" s="19" t="s">
        <v>475</v>
      </c>
      <c r="C155" s="64">
        <v>93</v>
      </c>
      <c r="D155" s="65"/>
      <c r="E155" s="64">
        <v>100</v>
      </c>
      <c r="F155" s="65"/>
      <c r="G155" s="19">
        <v>136</v>
      </c>
      <c r="H155" s="19">
        <v>126</v>
      </c>
    </row>
    <row r="156" spans="1:8" ht="13.5" customHeight="1">
      <c r="A156" s="50">
        <v>102</v>
      </c>
      <c r="B156" s="19" t="s">
        <v>476</v>
      </c>
      <c r="C156" s="64">
        <v>98</v>
      </c>
      <c r="D156" s="65"/>
      <c r="E156" s="64">
        <v>111</v>
      </c>
      <c r="F156" s="65"/>
      <c r="G156" s="19">
        <v>182</v>
      </c>
      <c r="H156" s="19">
        <v>198</v>
      </c>
    </row>
    <row r="157" spans="1:8" ht="13.5" customHeight="1"/>
    <row r="158" spans="1:8" ht="13.5" customHeight="1"/>
    <row r="159" spans="1:8" ht="13.5" customHeight="1"/>
    <row r="160" spans="1:8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5">
    <mergeCell ref="C140:D140"/>
    <mergeCell ref="C141:D141"/>
    <mergeCell ref="C142:D142"/>
    <mergeCell ref="C143:D143"/>
    <mergeCell ref="C144:D144"/>
    <mergeCell ref="C145:D145"/>
    <mergeCell ref="C146:D146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52:D152"/>
    <mergeCell ref="C153:D153"/>
    <mergeCell ref="E155:F155"/>
    <mergeCell ref="E156:F156"/>
    <mergeCell ref="E148:F148"/>
    <mergeCell ref="E149:F149"/>
    <mergeCell ref="E150:F150"/>
    <mergeCell ref="E151:F151"/>
    <mergeCell ref="E152:F152"/>
    <mergeCell ref="E153:F153"/>
    <mergeCell ref="E154:F154"/>
    <mergeCell ref="B16:E16"/>
    <mergeCell ref="A3:A7"/>
    <mergeCell ref="A121:A126"/>
    <mergeCell ref="B121:B126"/>
    <mergeCell ref="E121:F126"/>
    <mergeCell ref="B3:E4"/>
    <mergeCell ref="F3:I4"/>
    <mergeCell ref="B5:C7"/>
    <mergeCell ref="D5:E7"/>
    <mergeCell ref="F5:G7"/>
    <mergeCell ref="H5:I7"/>
    <mergeCell ref="G121:H124"/>
    <mergeCell ref="G125:G126"/>
    <mergeCell ref="H125:H126"/>
    <mergeCell ref="C121:D126"/>
    <mergeCell ref="C127:D127"/>
    <mergeCell ref="E127:F127"/>
    <mergeCell ref="C128:D128"/>
    <mergeCell ref="C129:D129"/>
    <mergeCell ref="C130:D130"/>
    <mergeCell ref="C131:D131"/>
    <mergeCell ref="C132:D132"/>
    <mergeCell ref="E128:F128"/>
    <mergeCell ref="E129:F129"/>
    <mergeCell ref="E130:F130"/>
    <mergeCell ref="E131:F131"/>
    <mergeCell ref="E132:F132"/>
    <mergeCell ref="E133:F133"/>
    <mergeCell ref="C133:D133"/>
    <mergeCell ref="C134:D134"/>
    <mergeCell ref="C135:D135"/>
    <mergeCell ref="C136:D136"/>
    <mergeCell ref="C137:D137"/>
    <mergeCell ref="C138:D138"/>
    <mergeCell ref="C139:D139"/>
    <mergeCell ref="E134:F134"/>
    <mergeCell ref="E135:F135"/>
    <mergeCell ref="E136:F136"/>
    <mergeCell ref="E137:F137"/>
    <mergeCell ref="E138:F138"/>
    <mergeCell ref="E139:F139"/>
    <mergeCell ref="E145:F145"/>
    <mergeCell ref="E146:F146"/>
    <mergeCell ref="E147:F147"/>
    <mergeCell ref="E140:F140"/>
    <mergeCell ref="E141:F141"/>
    <mergeCell ref="E142:F142"/>
    <mergeCell ref="E143:F143"/>
    <mergeCell ref="E144:F144"/>
  </mergeCells>
  <pageMargins left="0.39370078740157483" right="0.39370078740157483" top="0.74803149606299213" bottom="0.74803149606299213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00"/>
  <sheetViews>
    <sheetView workbookViewId="0"/>
  </sheetViews>
  <sheetFormatPr defaultColWidth="14.44140625" defaultRowHeight="15" customHeight="1"/>
  <cols>
    <col min="1" max="1" width="8.6640625" customWidth="1"/>
    <col min="2" max="11" width="15.5546875" customWidth="1"/>
    <col min="12" max="26" width="8.6640625" customWidth="1"/>
  </cols>
  <sheetData>
    <row r="1" spans="1:12" ht="13.5" customHeight="1">
      <c r="A1" s="19" t="s">
        <v>477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6"/>
    </row>
    <row r="2" spans="1:12" ht="69.75" customHeight="1">
      <c r="A2" s="55" t="s">
        <v>478</v>
      </c>
      <c r="B2" s="56" t="s">
        <v>479</v>
      </c>
      <c r="C2" s="56" t="s">
        <v>480</v>
      </c>
      <c r="D2" s="56" t="s">
        <v>481</v>
      </c>
      <c r="E2" s="56" t="s">
        <v>482</v>
      </c>
      <c r="F2" s="56" t="s">
        <v>483</v>
      </c>
      <c r="G2" s="56" t="s">
        <v>484</v>
      </c>
      <c r="H2" s="56" t="s">
        <v>485</v>
      </c>
      <c r="I2" s="56" t="s">
        <v>486</v>
      </c>
      <c r="J2" s="56" t="s">
        <v>487</v>
      </c>
      <c r="K2" s="56" t="s">
        <v>488</v>
      </c>
    </row>
    <row r="3" spans="1:12" ht="15" customHeight="1">
      <c r="A3" s="55"/>
      <c r="B3" s="56" t="s">
        <v>489</v>
      </c>
      <c r="C3" s="56" t="s">
        <v>489</v>
      </c>
      <c r="D3" s="56" t="s">
        <v>489</v>
      </c>
      <c r="E3" s="56" t="s">
        <v>489</v>
      </c>
      <c r="F3" s="56" t="s">
        <v>489</v>
      </c>
      <c r="G3" s="56" t="s">
        <v>490</v>
      </c>
      <c r="H3" s="56" t="s">
        <v>490</v>
      </c>
      <c r="I3" s="56"/>
      <c r="J3" s="56" t="s">
        <v>490</v>
      </c>
      <c r="K3" s="56" t="s">
        <v>490</v>
      </c>
    </row>
    <row r="4" spans="1:12" ht="13.5" customHeight="1">
      <c r="A4" s="19">
        <v>1985</v>
      </c>
      <c r="B4" s="19">
        <v>800</v>
      </c>
      <c r="C4" s="19">
        <v>900</v>
      </c>
      <c r="D4" s="19">
        <v>470</v>
      </c>
      <c r="E4" s="19">
        <v>10</v>
      </c>
      <c r="F4" s="19">
        <v>700</v>
      </c>
      <c r="G4" s="19">
        <v>650</v>
      </c>
      <c r="H4" s="19">
        <v>200</v>
      </c>
      <c r="I4" s="19">
        <v>500</v>
      </c>
      <c r="J4" s="19">
        <v>300</v>
      </c>
      <c r="K4" s="19">
        <v>880</v>
      </c>
    </row>
    <row r="5" spans="1:12" ht="13.5" customHeight="1">
      <c r="A5" s="19">
        <v>1986</v>
      </c>
      <c r="B5" s="19">
        <v>864</v>
      </c>
      <c r="C5" s="19">
        <v>920</v>
      </c>
      <c r="D5" s="19">
        <v>500</v>
      </c>
      <c r="E5" s="19">
        <v>12</v>
      </c>
      <c r="F5" s="19">
        <v>784</v>
      </c>
      <c r="G5" s="19">
        <v>665</v>
      </c>
      <c r="H5" s="19">
        <v>212</v>
      </c>
      <c r="I5" s="19">
        <v>550</v>
      </c>
      <c r="J5" s="19">
        <v>349</v>
      </c>
      <c r="K5" s="19">
        <v>824</v>
      </c>
    </row>
    <row r="6" spans="1:12" ht="13.5" customHeight="1">
      <c r="A6" s="19">
        <v>1987</v>
      </c>
      <c r="B6" s="19">
        <v>970</v>
      </c>
      <c r="C6" s="19">
        <v>981</v>
      </c>
      <c r="D6" s="19">
        <v>505</v>
      </c>
      <c r="E6" s="19">
        <v>8</v>
      </c>
      <c r="F6" s="19">
        <v>800</v>
      </c>
      <c r="G6" s="19">
        <v>640</v>
      </c>
      <c r="H6" s="19">
        <v>242</v>
      </c>
      <c r="I6" s="19">
        <v>602</v>
      </c>
      <c r="J6" s="19">
        <v>379</v>
      </c>
      <c r="K6" s="19">
        <v>750</v>
      </c>
    </row>
    <row r="7" spans="1:12" ht="13.5" customHeight="1">
      <c r="A7" s="19">
        <v>1988</v>
      </c>
      <c r="B7" s="19">
        <v>1006</v>
      </c>
      <c r="C7" s="19">
        <v>1000</v>
      </c>
      <c r="D7" s="19">
        <v>533</v>
      </c>
      <c r="E7" s="19">
        <v>17</v>
      </c>
      <c r="F7" s="19">
        <v>966</v>
      </c>
      <c r="G7" s="19">
        <v>696</v>
      </c>
      <c r="H7" s="19">
        <v>239</v>
      </c>
      <c r="I7" s="19">
        <v>644</v>
      </c>
      <c r="J7" s="19">
        <v>450</v>
      </c>
      <c r="K7" s="19">
        <v>712</v>
      </c>
    </row>
    <row r="8" spans="1:12" ht="13.5" customHeight="1">
      <c r="A8" s="19">
        <v>1989</v>
      </c>
      <c r="B8" s="19">
        <v>1035</v>
      </c>
      <c r="C8" s="19">
        <v>1060</v>
      </c>
      <c r="D8" s="19">
        <v>540</v>
      </c>
      <c r="E8" s="19">
        <v>24</v>
      </c>
      <c r="F8" s="19">
        <v>1082</v>
      </c>
      <c r="G8" s="19">
        <v>700</v>
      </c>
      <c r="H8" s="19">
        <v>254</v>
      </c>
      <c r="I8" s="19">
        <v>729</v>
      </c>
      <c r="J8" s="19">
        <v>501</v>
      </c>
      <c r="K8" s="19">
        <v>656</v>
      </c>
    </row>
    <row r="9" spans="1:12" ht="13.5" customHeight="1">
      <c r="A9" s="19">
        <v>1990</v>
      </c>
      <c r="B9" s="19">
        <v>1174</v>
      </c>
      <c r="C9" s="19">
        <v>1122</v>
      </c>
      <c r="D9" s="19">
        <v>589</v>
      </c>
      <c r="E9" s="19">
        <v>21</v>
      </c>
      <c r="F9" s="19">
        <v>1212</v>
      </c>
      <c r="G9" s="19">
        <v>727</v>
      </c>
      <c r="H9" s="19">
        <v>298</v>
      </c>
      <c r="I9" s="19">
        <v>810</v>
      </c>
      <c r="J9" s="19">
        <v>581</v>
      </c>
      <c r="K9" s="19">
        <v>639</v>
      </c>
    </row>
    <row r="10" spans="1:12" ht="13.5" customHeight="1">
      <c r="A10" s="19">
        <v>1991</v>
      </c>
      <c r="B10" s="19">
        <v>1287</v>
      </c>
      <c r="C10" s="19">
        <v>1141</v>
      </c>
      <c r="D10" s="19">
        <v>577</v>
      </c>
      <c r="E10" s="19">
        <v>30</v>
      </c>
      <c r="F10" s="19">
        <v>1300</v>
      </c>
      <c r="G10" s="19">
        <v>782</v>
      </c>
      <c r="H10" s="19">
        <v>284</v>
      </c>
      <c r="I10" s="19">
        <v>896</v>
      </c>
      <c r="J10" s="19">
        <v>600</v>
      </c>
      <c r="K10" s="19">
        <v>643</v>
      </c>
    </row>
    <row r="11" spans="1:12" ht="13.5" customHeight="1">
      <c r="A11" s="19">
        <v>1992</v>
      </c>
      <c r="B11" s="19">
        <v>1341</v>
      </c>
      <c r="C11" s="19">
        <v>1160</v>
      </c>
      <c r="D11" s="19">
        <v>594</v>
      </c>
      <c r="E11" s="19">
        <v>38</v>
      </c>
      <c r="F11" s="19">
        <v>1506</v>
      </c>
      <c r="G11" s="19">
        <v>756</v>
      </c>
      <c r="H11" s="19">
        <v>300</v>
      </c>
      <c r="I11" s="19">
        <v>956</v>
      </c>
      <c r="J11" s="19">
        <v>648</v>
      </c>
      <c r="K11" s="19">
        <v>489</v>
      </c>
    </row>
    <row r="12" spans="1:12" ht="13.5" customHeight="1">
      <c r="A12" s="19">
        <v>1993</v>
      </c>
      <c r="B12" s="19">
        <v>1475</v>
      </c>
      <c r="C12" s="19">
        <v>1222</v>
      </c>
      <c r="D12" s="19">
        <v>640</v>
      </c>
      <c r="E12" s="19">
        <v>43</v>
      </c>
      <c r="F12" s="19">
        <v>1687</v>
      </c>
      <c r="G12" s="19">
        <v>910</v>
      </c>
      <c r="H12" s="19">
        <v>319</v>
      </c>
      <c r="I12" s="19">
        <v>1084</v>
      </c>
      <c r="J12" s="19">
        <v>677</v>
      </c>
      <c r="K12" s="19">
        <v>429</v>
      </c>
    </row>
    <row r="13" spans="1:12" ht="13.5" customHeight="1">
      <c r="A13" s="19">
        <v>1994</v>
      </c>
      <c r="B13" s="19">
        <v>1539</v>
      </c>
      <c r="C13" s="19">
        <v>1261</v>
      </c>
      <c r="D13" s="19">
        <v>628</v>
      </c>
      <c r="E13" s="19">
        <v>48</v>
      </c>
      <c r="F13" s="19">
        <v>1756</v>
      </c>
      <c r="G13" s="19">
        <v>786</v>
      </c>
      <c r="H13" s="19">
        <v>352</v>
      </c>
      <c r="I13" s="19">
        <v>1168</v>
      </c>
      <c r="J13" s="19">
        <v>748</v>
      </c>
      <c r="K13" s="19">
        <v>397</v>
      </c>
    </row>
    <row r="14" spans="1:12" ht="13.5" customHeight="1">
      <c r="A14" s="19">
        <v>1995</v>
      </c>
      <c r="B14" s="19">
        <v>1712</v>
      </c>
      <c r="C14" s="19">
        <v>1300</v>
      </c>
      <c r="D14" s="19">
        <v>646</v>
      </c>
      <c r="E14" s="19">
        <v>63</v>
      </c>
      <c r="F14" s="19">
        <v>2060</v>
      </c>
      <c r="G14" s="19">
        <v>850</v>
      </c>
      <c r="H14" s="19">
        <v>362</v>
      </c>
      <c r="I14" s="19">
        <v>1300</v>
      </c>
      <c r="J14" s="19">
        <v>800</v>
      </c>
      <c r="K14" s="19">
        <v>321</v>
      </c>
    </row>
    <row r="15" spans="1:12" ht="13.5" customHeight="1">
      <c r="A15" s="6"/>
    </row>
    <row r="16" spans="1:12" ht="13.5" customHeight="1">
      <c r="A16" s="6"/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00"/>
  <sheetViews>
    <sheetView workbookViewId="0"/>
  </sheetViews>
  <sheetFormatPr defaultColWidth="14.44140625" defaultRowHeight="15" customHeight="1"/>
  <cols>
    <col min="1" max="1" width="10.5546875" customWidth="1"/>
    <col min="2" max="3" width="12.5546875" customWidth="1"/>
    <col min="4" max="5" width="6.5546875" customWidth="1"/>
    <col min="6" max="26" width="8.6640625" customWidth="1"/>
  </cols>
  <sheetData>
    <row r="1" spans="1:5" ht="14.25" customHeight="1">
      <c r="A1" s="72" t="s">
        <v>491</v>
      </c>
      <c r="B1" s="66" t="s">
        <v>492</v>
      </c>
      <c r="C1" s="67"/>
    </row>
    <row r="2" spans="1:5" ht="13.5" customHeight="1">
      <c r="A2" s="61"/>
      <c r="B2" s="68"/>
      <c r="C2" s="69"/>
    </row>
    <row r="3" spans="1:5" ht="13.5" customHeight="1">
      <c r="A3" s="62"/>
      <c r="B3" s="70"/>
      <c r="C3" s="71"/>
    </row>
    <row r="4" spans="1:5" ht="13.5" customHeight="1">
      <c r="A4" s="19">
        <v>1</v>
      </c>
      <c r="B4" s="19">
        <v>1</v>
      </c>
      <c r="C4" s="19">
        <v>2</v>
      </c>
    </row>
    <row r="5" spans="1:5" ht="13.5" customHeight="1">
      <c r="A5" s="19">
        <v>2</v>
      </c>
      <c r="B5" s="19">
        <v>1</v>
      </c>
      <c r="C5" s="19">
        <v>3</v>
      </c>
    </row>
    <row r="6" spans="1:5" ht="13.5" customHeight="1">
      <c r="A6" s="19">
        <v>3</v>
      </c>
      <c r="B6" s="19">
        <v>1</v>
      </c>
      <c r="C6" s="19">
        <v>4</v>
      </c>
    </row>
    <row r="7" spans="1:5" ht="13.5" customHeight="1">
      <c r="A7" s="19">
        <v>4</v>
      </c>
      <c r="B7" s="19">
        <v>1</v>
      </c>
      <c r="C7" s="19">
        <v>5</v>
      </c>
    </row>
    <row r="8" spans="1:5" ht="13.5" customHeight="1">
      <c r="A8" s="19">
        <v>5</v>
      </c>
      <c r="B8" s="19">
        <v>2</v>
      </c>
      <c r="C8" s="19">
        <v>3</v>
      </c>
    </row>
    <row r="9" spans="1:5" ht="13.5" customHeight="1">
      <c r="A9" s="19">
        <v>6</v>
      </c>
      <c r="B9" s="19">
        <v>2</v>
      </c>
      <c r="C9" s="19">
        <v>4</v>
      </c>
    </row>
    <row r="10" spans="1:5" ht="13.5" customHeight="1">
      <c r="A10" s="19">
        <v>7</v>
      </c>
      <c r="B10" s="19">
        <v>2</v>
      </c>
      <c r="C10" s="19">
        <v>5</v>
      </c>
    </row>
    <row r="11" spans="1:5" ht="13.5" customHeight="1">
      <c r="A11" s="19">
        <v>8</v>
      </c>
      <c r="B11" s="19">
        <v>3</v>
      </c>
      <c r="C11" s="19">
        <v>4</v>
      </c>
    </row>
    <row r="12" spans="1:5" ht="13.5" customHeight="1">
      <c r="A12" s="19">
        <v>9</v>
      </c>
      <c r="B12" s="19">
        <v>3</v>
      </c>
      <c r="C12" s="19">
        <v>5</v>
      </c>
    </row>
    <row r="13" spans="1:5" ht="13.5" customHeight="1">
      <c r="A13" s="19">
        <v>10</v>
      </c>
      <c r="B13" s="19">
        <v>4</v>
      </c>
      <c r="C13" s="19">
        <v>5</v>
      </c>
    </row>
    <row r="14" spans="1:5" ht="13.5" customHeight="1">
      <c r="A14" s="6"/>
      <c r="B14" s="6"/>
      <c r="C14" s="6"/>
      <c r="D14" s="6"/>
      <c r="E14" s="6"/>
    </row>
    <row r="15" spans="1:5" ht="13.5" customHeight="1">
      <c r="A15" s="6"/>
      <c r="B15" s="6"/>
      <c r="C15" s="6"/>
      <c r="D15" s="6"/>
      <c r="E15" s="6"/>
    </row>
    <row r="16" spans="1:5" ht="13.5" customHeight="1">
      <c r="A16" s="6"/>
      <c r="B16" s="6"/>
      <c r="C16" s="6"/>
      <c r="D16" s="6"/>
      <c r="E16" s="6"/>
    </row>
    <row r="17" spans="1:5" ht="13.5" customHeight="1">
      <c r="A17" s="6"/>
      <c r="B17" s="6"/>
      <c r="C17" s="6"/>
      <c r="D17" s="6"/>
      <c r="E17" s="6"/>
    </row>
    <row r="18" spans="1:5" ht="13.5" customHeight="1">
      <c r="A18" s="6"/>
      <c r="B18" s="6"/>
      <c r="C18" s="6"/>
      <c r="D18" s="6"/>
      <c r="E18" s="6"/>
    </row>
    <row r="19" spans="1:5" ht="13.5" customHeight="1">
      <c r="A19" s="6"/>
      <c r="B19" s="6"/>
      <c r="C19" s="6"/>
      <c r="D19" s="6"/>
      <c r="E19" s="6"/>
    </row>
    <row r="20" spans="1:5" ht="13.5" customHeight="1">
      <c r="A20" s="6"/>
      <c r="B20" s="6"/>
      <c r="C20" s="6"/>
      <c r="D20" s="6"/>
      <c r="E20" s="6"/>
    </row>
    <row r="21" spans="1:5" ht="13.5" customHeight="1">
      <c r="A21" s="6"/>
      <c r="B21" s="6"/>
      <c r="C21" s="6"/>
      <c r="D21" s="6"/>
      <c r="E21" s="6"/>
    </row>
    <row r="22" spans="1:5" ht="13.5" customHeight="1">
      <c r="A22" s="6"/>
      <c r="B22" s="6"/>
      <c r="C22" s="6"/>
      <c r="D22" s="6"/>
      <c r="E22" s="6"/>
    </row>
    <row r="23" spans="1:5" ht="13.5" customHeight="1">
      <c r="A23" s="6"/>
      <c r="B23" s="6"/>
      <c r="C23" s="6"/>
      <c r="D23" s="6"/>
      <c r="E23" s="6"/>
    </row>
    <row r="24" spans="1:5" ht="13.5" customHeight="1">
      <c r="A24" s="6"/>
      <c r="B24" s="6"/>
      <c r="C24" s="6"/>
      <c r="D24" s="6"/>
      <c r="E24" s="6"/>
    </row>
    <row r="25" spans="1:5" ht="13.5" customHeight="1">
      <c r="A25" s="6"/>
      <c r="B25" s="6"/>
      <c r="C25" s="6"/>
      <c r="D25" s="6"/>
      <c r="E25" s="6"/>
    </row>
    <row r="26" spans="1:5" ht="13.5" customHeight="1">
      <c r="A26" s="6"/>
      <c r="B26" s="6"/>
      <c r="C26" s="6"/>
      <c r="D26" s="6"/>
      <c r="E26" s="6"/>
    </row>
    <row r="27" spans="1:5" ht="13.5" customHeight="1">
      <c r="A27" s="6"/>
      <c r="B27" s="6"/>
      <c r="C27" s="6"/>
      <c r="D27" s="6"/>
      <c r="E27" s="6"/>
    </row>
    <row r="28" spans="1:5" ht="13.5" customHeight="1">
      <c r="A28" s="6"/>
      <c r="B28" s="6"/>
      <c r="C28" s="6"/>
      <c r="D28" s="6"/>
      <c r="E28" s="6"/>
    </row>
    <row r="29" spans="1:5" ht="13.5" customHeight="1">
      <c r="A29" s="6"/>
      <c r="B29" s="6"/>
      <c r="C29" s="6"/>
      <c r="D29" s="6"/>
      <c r="E29" s="6"/>
    </row>
    <row r="30" spans="1:5" ht="13.5" customHeight="1">
      <c r="A30" s="6"/>
      <c r="B30" s="6"/>
      <c r="C30" s="6"/>
      <c r="D30" s="6"/>
      <c r="E30" s="6"/>
    </row>
    <row r="31" spans="1:5" ht="13.5" customHeight="1">
      <c r="A31" s="6"/>
      <c r="B31" s="6"/>
      <c r="C31" s="6"/>
      <c r="D31" s="6"/>
      <c r="E31" s="6"/>
    </row>
    <row r="32" spans="1:5" ht="13.5" customHeight="1">
      <c r="A32" s="6"/>
      <c r="B32" s="6"/>
      <c r="C32" s="6"/>
      <c r="D32" s="6"/>
      <c r="E32" s="6"/>
    </row>
    <row r="33" spans="1:5" ht="13.5" customHeight="1">
      <c r="A33" s="6"/>
      <c r="B33" s="6"/>
      <c r="C33" s="6"/>
      <c r="D33" s="6"/>
      <c r="E33" s="6"/>
    </row>
    <row r="34" spans="1:5" ht="13.5" customHeight="1">
      <c r="A34" s="6"/>
      <c r="B34" s="6"/>
      <c r="C34" s="6"/>
      <c r="D34" s="6"/>
      <c r="E34" s="6"/>
    </row>
    <row r="35" spans="1:5" ht="13.5" customHeight="1">
      <c r="A35" s="6"/>
      <c r="B35" s="6"/>
      <c r="C35" s="6"/>
      <c r="D35" s="6"/>
      <c r="E35" s="6"/>
    </row>
    <row r="36" spans="1:5" ht="13.5" customHeight="1">
      <c r="A36" s="6"/>
      <c r="B36" s="6"/>
      <c r="C36" s="6"/>
      <c r="D36" s="6"/>
      <c r="E36" s="6"/>
    </row>
    <row r="37" spans="1:5" ht="13.5" customHeight="1">
      <c r="A37" s="6"/>
      <c r="B37" s="6"/>
      <c r="C37" s="6"/>
      <c r="D37" s="6"/>
      <c r="E37" s="6"/>
    </row>
    <row r="38" spans="1:5" ht="13.5" customHeight="1">
      <c r="A38" s="6"/>
      <c r="B38" s="6"/>
      <c r="C38" s="6"/>
      <c r="D38" s="6"/>
      <c r="E38" s="6"/>
    </row>
    <row r="39" spans="1:5" ht="13.5" customHeight="1">
      <c r="A39" s="6"/>
      <c r="B39" s="6"/>
      <c r="C39" s="6"/>
      <c r="D39" s="6"/>
      <c r="E39" s="6"/>
    </row>
    <row r="40" spans="1:5" ht="13.5" customHeight="1">
      <c r="A40" s="6"/>
      <c r="B40" s="6"/>
      <c r="C40" s="6"/>
      <c r="D40" s="6"/>
      <c r="E40" s="6"/>
    </row>
    <row r="41" spans="1:5" ht="13.5" customHeight="1">
      <c r="A41" s="6"/>
      <c r="B41" s="6"/>
      <c r="C41" s="6"/>
      <c r="D41" s="6"/>
      <c r="E41" s="6"/>
    </row>
    <row r="42" spans="1:5" ht="13.5" customHeight="1">
      <c r="A42" s="6"/>
      <c r="B42" s="6"/>
      <c r="C42" s="6"/>
      <c r="D42" s="6"/>
      <c r="E42" s="6"/>
    </row>
    <row r="43" spans="1:5" ht="13.5" customHeight="1">
      <c r="A43" s="6"/>
      <c r="B43" s="6"/>
      <c r="C43" s="6"/>
      <c r="D43" s="6"/>
      <c r="E43" s="6"/>
    </row>
    <row r="44" spans="1:5" ht="13.5" customHeight="1">
      <c r="A44" s="6"/>
      <c r="B44" s="6"/>
      <c r="C44" s="6"/>
      <c r="D44" s="6"/>
      <c r="E44" s="6"/>
    </row>
    <row r="45" spans="1:5" ht="13.5" customHeight="1">
      <c r="A45" s="6"/>
      <c r="B45" s="6"/>
      <c r="C45" s="6"/>
      <c r="D45" s="6"/>
      <c r="E45" s="6"/>
    </row>
    <row r="46" spans="1:5" ht="13.5" customHeight="1">
      <c r="A46" s="6"/>
      <c r="B46" s="6"/>
      <c r="C46" s="6"/>
      <c r="D46" s="6"/>
      <c r="E46" s="6"/>
    </row>
    <row r="47" spans="1:5" ht="13.5" customHeight="1">
      <c r="A47" s="6"/>
      <c r="B47" s="6"/>
      <c r="C47" s="6"/>
      <c r="D47" s="6"/>
      <c r="E47" s="6"/>
    </row>
    <row r="48" spans="1:5" ht="13.5" customHeight="1">
      <c r="A48" s="6"/>
      <c r="B48" s="6"/>
      <c r="C48" s="6"/>
      <c r="D48" s="6"/>
      <c r="E48" s="6"/>
    </row>
    <row r="49" spans="1:5" ht="13.5" customHeight="1">
      <c r="A49" s="6"/>
      <c r="B49" s="6"/>
      <c r="C49" s="6"/>
      <c r="D49" s="6"/>
      <c r="E49" s="6"/>
    </row>
    <row r="50" spans="1:5" ht="13.5" customHeight="1">
      <c r="A50" s="6"/>
      <c r="B50" s="6"/>
      <c r="C50" s="6"/>
      <c r="D50" s="6"/>
      <c r="E50" s="6"/>
    </row>
    <row r="51" spans="1:5" ht="13.5" customHeight="1">
      <c r="A51" s="6"/>
      <c r="B51" s="6"/>
      <c r="C51" s="6"/>
      <c r="D51" s="6"/>
      <c r="E51" s="6"/>
    </row>
    <row r="52" spans="1:5" ht="13.5" customHeight="1">
      <c r="A52" s="6"/>
      <c r="B52" s="6"/>
      <c r="C52" s="6"/>
      <c r="D52" s="6"/>
      <c r="E52" s="6"/>
    </row>
    <row r="53" spans="1:5" ht="13.5" customHeight="1">
      <c r="A53" s="6"/>
      <c r="B53" s="6"/>
      <c r="C53" s="6"/>
      <c r="D53" s="6"/>
      <c r="E53" s="6"/>
    </row>
    <row r="54" spans="1:5" ht="13.5" customHeight="1">
      <c r="A54" s="6"/>
      <c r="B54" s="6"/>
      <c r="C54" s="6"/>
      <c r="D54" s="6"/>
      <c r="E54" s="6"/>
    </row>
    <row r="55" spans="1:5" ht="13.5" customHeight="1">
      <c r="A55" s="6"/>
      <c r="B55" s="6"/>
      <c r="C55" s="6"/>
      <c r="D55" s="6"/>
      <c r="E55" s="6"/>
    </row>
    <row r="56" spans="1:5" ht="13.5" customHeight="1">
      <c r="A56" s="6"/>
      <c r="B56" s="6"/>
      <c r="C56" s="6"/>
      <c r="D56" s="6"/>
      <c r="E56" s="6"/>
    </row>
    <row r="57" spans="1:5" ht="13.5" customHeight="1">
      <c r="A57" s="6"/>
      <c r="B57" s="6"/>
      <c r="C57" s="6"/>
      <c r="D57" s="6"/>
      <c r="E57" s="6"/>
    </row>
    <row r="58" spans="1:5" ht="13.5" customHeight="1">
      <c r="A58" s="6"/>
      <c r="B58" s="6"/>
      <c r="C58" s="6"/>
      <c r="D58" s="6"/>
      <c r="E58" s="6"/>
    </row>
    <row r="59" spans="1:5" ht="13.5" customHeight="1">
      <c r="A59" s="6"/>
      <c r="B59" s="6"/>
      <c r="C59" s="6"/>
      <c r="D59" s="6"/>
      <c r="E59" s="6"/>
    </row>
    <row r="60" spans="1:5" ht="13.5" customHeight="1">
      <c r="A60" s="6"/>
      <c r="B60" s="6"/>
      <c r="C60" s="6"/>
      <c r="D60" s="6"/>
      <c r="E60" s="6"/>
    </row>
    <row r="61" spans="1:5" ht="13.5" customHeight="1">
      <c r="A61" s="6"/>
      <c r="B61" s="6"/>
      <c r="C61" s="6"/>
      <c r="D61" s="6"/>
      <c r="E61" s="6"/>
    </row>
    <row r="62" spans="1:5" ht="13.5" customHeight="1">
      <c r="A62" s="6"/>
      <c r="B62" s="6"/>
      <c r="C62" s="6"/>
      <c r="D62" s="6"/>
      <c r="E62" s="6"/>
    </row>
    <row r="63" spans="1:5" ht="13.5" customHeight="1">
      <c r="A63" s="6"/>
      <c r="B63" s="6"/>
      <c r="C63" s="6"/>
      <c r="D63" s="6"/>
      <c r="E63" s="6"/>
    </row>
    <row r="64" spans="1:5" ht="13.5" customHeight="1">
      <c r="A64" s="6"/>
      <c r="B64" s="6"/>
      <c r="C64" s="6"/>
      <c r="D64" s="6"/>
      <c r="E64" s="6"/>
    </row>
    <row r="65" spans="1:5" ht="13.5" customHeight="1">
      <c r="A65" s="6"/>
      <c r="B65" s="6"/>
      <c r="C65" s="6"/>
      <c r="D65" s="6"/>
      <c r="E65" s="6"/>
    </row>
    <row r="66" spans="1:5" ht="13.5" customHeight="1">
      <c r="A66" s="6"/>
      <c r="B66" s="6"/>
      <c r="C66" s="6"/>
      <c r="D66" s="6"/>
      <c r="E66" s="6"/>
    </row>
    <row r="67" spans="1:5" ht="13.5" customHeight="1">
      <c r="A67" s="6"/>
      <c r="B67" s="6"/>
      <c r="C67" s="6"/>
      <c r="D67" s="6"/>
      <c r="E67" s="6"/>
    </row>
    <row r="68" spans="1:5" ht="13.5" customHeight="1">
      <c r="A68" s="6"/>
      <c r="B68" s="6"/>
      <c r="C68" s="6"/>
      <c r="D68" s="6"/>
      <c r="E68" s="6"/>
    </row>
    <row r="69" spans="1:5" ht="13.5" customHeight="1">
      <c r="A69" s="6"/>
      <c r="B69" s="6"/>
      <c r="C69" s="6"/>
      <c r="D69" s="6"/>
      <c r="E69" s="6"/>
    </row>
    <row r="70" spans="1:5" ht="13.5" customHeight="1">
      <c r="A70" s="6"/>
      <c r="B70" s="6"/>
      <c r="C70" s="6"/>
      <c r="D70" s="6"/>
      <c r="E70" s="6"/>
    </row>
    <row r="71" spans="1:5" ht="13.5" customHeight="1">
      <c r="A71" s="6"/>
      <c r="B71" s="6"/>
      <c r="C71" s="6"/>
      <c r="D71" s="6"/>
      <c r="E71" s="6"/>
    </row>
    <row r="72" spans="1:5" ht="13.5" customHeight="1">
      <c r="A72" s="6"/>
      <c r="B72" s="6"/>
      <c r="C72" s="6"/>
      <c r="D72" s="6"/>
      <c r="E72" s="6"/>
    </row>
    <row r="73" spans="1:5" ht="13.5" customHeight="1">
      <c r="A73" s="6"/>
      <c r="B73" s="6"/>
      <c r="C73" s="6"/>
      <c r="D73" s="6"/>
      <c r="E73" s="6"/>
    </row>
    <row r="74" spans="1:5" ht="13.5" customHeight="1">
      <c r="A74" s="6"/>
      <c r="B74" s="6"/>
      <c r="C74" s="6"/>
      <c r="D74" s="6"/>
      <c r="E74" s="6"/>
    </row>
    <row r="75" spans="1:5" ht="13.5" customHeight="1">
      <c r="A75" s="6"/>
      <c r="B75" s="6"/>
      <c r="C75" s="6"/>
      <c r="D75" s="6"/>
      <c r="E75" s="6"/>
    </row>
    <row r="76" spans="1:5" ht="13.5" customHeight="1">
      <c r="A76" s="6"/>
      <c r="B76" s="6"/>
      <c r="C76" s="6"/>
      <c r="D76" s="6"/>
      <c r="E76" s="6"/>
    </row>
    <row r="77" spans="1:5" ht="13.5" customHeight="1">
      <c r="A77" s="6"/>
      <c r="B77" s="6"/>
      <c r="C77" s="6"/>
      <c r="D77" s="6"/>
      <c r="E77" s="6"/>
    </row>
    <row r="78" spans="1:5" ht="13.5" customHeight="1">
      <c r="A78" s="6"/>
      <c r="B78" s="6"/>
      <c r="C78" s="6"/>
      <c r="D78" s="6"/>
      <c r="E78" s="6"/>
    </row>
    <row r="79" spans="1:5" ht="13.5" customHeight="1">
      <c r="A79" s="6"/>
      <c r="B79" s="6"/>
      <c r="C79" s="6"/>
      <c r="D79" s="6"/>
      <c r="E79" s="6"/>
    </row>
    <row r="80" spans="1:5" ht="13.5" customHeight="1">
      <c r="A80" s="6"/>
      <c r="B80" s="6"/>
      <c r="C80" s="6"/>
      <c r="D80" s="6"/>
      <c r="E80" s="6"/>
    </row>
    <row r="81" spans="1:5" ht="13.5" customHeight="1">
      <c r="A81" s="6"/>
      <c r="B81" s="6"/>
      <c r="C81" s="6"/>
      <c r="D81" s="6"/>
      <c r="E81" s="6"/>
    </row>
    <row r="82" spans="1:5" ht="13.5" customHeight="1">
      <c r="A82" s="6"/>
      <c r="B82" s="6"/>
      <c r="C82" s="6"/>
      <c r="D82" s="6"/>
      <c r="E82" s="6"/>
    </row>
    <row r="83" spans="1:5" ht="13.5" customHeight="1">
      <c r="A83" s="6"/>
      <c r="B83" s="6"/>
      <c r="C83" s="6"/>
      <c r="D83" s="6"/>
      <c r="E83" s="6"/>
    </row>
    <row r="84" spans="1:5" ht="13.5" customHeight="1">
      <c r="A84" s="6"/>
      <c r="B84" s="6"/>
      <c r="C84" s="6"/>
      <c r="D84" s="6"/>
      <c r="E84" s="6"/>
    </row>
    <row r="85" spans="1:5" ht="13.5" customHeight="1">
      <c r="A85" s="6"/>
      <c r="B85" s="6"/>
      <c r="C85" s="6"/>
      <c r="D85" s="6"/>
      <c r="E85" s="6"/>
    </row>
    <row r="86" spans="1:5" ht="13.5" customHeight="1">
      <c r="A86" s="6"/>
      <c r="B86" s="6"/>
      <c r="C86" s="6"/>
      <c r="D86" s="6"/>
      <c r="E86" s="6"/>
    </row>
    <row r="87" spans="1:5" ht="13.5" customHeight="1">
      <c r="A87" s="6"/>
      <c r="B87" s="6"/>
      <c r="C87" s="6"/>
      <c r="D87" s="6"/>
      <c r="E87" s="6"/>
    </row>
    <row r="88" spans="1:5" ht="13.5" customHeight="1">
      <c r="A88" s="6"/>
      <c r="B88" s="6"/>
      <c r="C88" s="6"/>
      <c r="D88" s="6"/>
      <c r="E88" s="6"/>
    </row>
    <row r="89" spans="1:5" ht="13.5" customHeight="1">
      <c r="A89" s="6"/>
      <c r="B89" s="6"/>
      <c r="C89" s="6"/>
      <c r="D89" s="6"/>
      <c r="E89" s="6"/>
    </row>
    <row r="90" spans="1:5" ht="13.5" customHeight="1">
      <c r="A90" s="6"/>
      <c r="B90" s="6"/>
      <c r="C90" s="6"/>
      <c r="D90" s="6"/>
      <c r="E90" s="6"/>
    </row>
    <row r="91" spans="1:5" ht="13.5" customHeight="1">
      <c r="A91" s="6"/>
      <c r="B91" s="6"/>
      <c r="C91" s="6"/>
      <c r="D91" s="6"/>
      <c r="E91" s="6"/>
    </row>
    <row r="92" spans="1:5" ht="13.5" customHeight="1">
      <c r="A92" s="6"/>
      <c r="B92" s="6"/>
      <c r="C92" s="6"/>
      <c r="D92" s="6"/>
      <c r="E92" s="6"/>
    </row>
    <row r="93" spans="1:5" ht="13.5" customHeight="1">
      <c r="A93" s="6"/>
      <c r="B93" s="6"/>
      <c r="C93" s="6"/>
      <c r="D93" s="6"/>
      <c r="E93" s="6"/>
    </row>
    <row r="94" spans="1:5" ht="13.5" customHeight="1">
      <c r="A94" s="6"/>
      <c r="B94" s="6"/>
      <c r="C94" s="6"/>
      <c r="D94" s="6"/>
      <c r="E94" s="6"/>
    </row>
    <row r="95" spans="1:5" ht="13.5" customHeight="1">
      <c r="A95" s="6"/>
      <c r="B95" s="6"/>
      <c r="C95" s="6"/>
      <c r="D95" s="6"/>
      <c r="E95" s="6"/>
    </row>
    <row r="96" spans="1:5" ht="13.5" customHeight="1">
      <c r="A96" s="6"/>
      <c r="B96" s="6"/>
      <c r="C96" s="6"/>
      <c r="D96" s="6"/>
      <c r="E96" s="6"/>
    </row>
    <row r="97" spans="1:5" ht="13.5" customHeight="1">
      <c r="A97" s="6"/>
      <c r="B97" s="6"/>
      <c r="C97" s="6"/>
      <c r="D97" s="6"/>
      <c r="E97" s="6"/>
    </row>
    <row r="98" spans="1:5" ht="13.5" customHeight="1">
      <c r="A98" s="6"/>
      <c r="B98" s="6"/>
      <c r="C98" s="6"/>
      <c r="D98" s="6"/>
      <c r="E98" s="6"/>
    </row>
    <row r="99" spans="1:5" ht="13.5" customHeight="1">
      <c r="A99" s="6"/>
      <c r="B99" s="6"/>
      <c r="C99" s="6"/>
      <c r="D99" s="6"/>
      <c r="E99" s="6"/>
    </row>
    <row r="100" spans="1:5" ht="13.5" customHeight="1">
      <c r="A100" s="6"/>
      <c r="B100" s="6"/>
      <c r="C100" s="6"/>
      <c r="D100" s="6"/>
      <c r="E100" s="6"/>
    </row>
    <row r="101" spans="1:5" ht="13.5" customHeight="1">
      <c r="A101" s="6"/>
      <c r="B101" s="6"/>
      <c r="C101" s="6"/>
      <c r="D101" s="6"/>
      <c r="E101" s="6"/>
    </row>
    <row r="102" spans="1:5" ht="13.5" customHeight="1">
      <c r="A102" s="6"/>
      <c r="B102" s="6"/>
      <c r="C102" s="6"/>
      <c r="D102" s="6"/>
      <c r="E102" s="6"/>
    </row>
    <row r="103" spans="1:5" ht="13.5" customHeight="1">
      <c r="A103" s="6"/>
      <c r="B103" s="6"/>
      <c r="C103" s="6"/>
      <c r="D103" s="6"/>
      <c r="E103" s="6"/>
    </row>
    <row r="104" spans="1:5" ht="13.5" customHeight="1"/>
    <row r="105" spans="1:5" ht="13.5" customHeight="1"/>
    <row r="106" spans="1:5" ht="13.5" customHeight="1"/>
    <row r="107" spans="1:5" ht="13.5" customHeight="1"/>
    <row r="108" spans="1:5" ht="13.5" customHeight="1"/>
    <row r="109" spans="1:5" ht="13.5" customHeight="1"/>
    <row r="110" spans="1:5" ht="13.5" customHeight="1"/>
    <row r="111" spans="1:5" ht="13.5" customHeight="1"/>
    <row r="112" spans="1:5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">
    <mergeCell ref="A1:A3"/>
    <mergeCell ref="B1:C3"/>
  </mergeCells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000"/>
  <sheetViews>
    <sheetView workbookViewId="0"/>
  </sheetViews>
  <sheetFormatPr defaultColWidth="14.44140625" defaultRowHeight="15" customHeight="1"/>
  <cols>
    <col min="1" max="1" width="12.5546875" customWidth="1"/>
    <col min="2" max="6" width="15.5546875" customWidth="1"/>
    <col min="7" max="26" width="8.6640625" customWidth="1"/>
  </cols>
  <sheetData>
    <row r="1" spans="1:6" ht="13.5" customHeight="1">
      <c r="A1" s="54" t="s">
        <v>493</v>
      </c>
      <c r="B1" s="19">
        <v>1</v>
      </c>
      <c r="C1" s="19">
        <v>2</v>
      </c>
      <c r="D1" s="19">
        <v>3</v>
      </c>
      <c r="E1" s="19">
        <v>4</v>
      </c>
      <c r="F1" s="55">
        <v>5</v>
      </c>
    </row>
    <row r="2" spans="1:6" ht="13.5" customHeight="1">
      <c r="A2" s="72" t="s">
        <v>494</v>
      </c>
      <c r="B2" s="72" t="s">
        <v>2</v>
      </c>
      <c r="C2" s="72" t="s">
        <v>495</v>
      </c>
      <c r="D2" s="72" t="s">
        <v>496</v>
      </c>
      <c r="E2" s="72" t="s">
        <v>1</v>
      </c>
      <c r="F2" s="72" t="s">
        <v>497</v>
      </c>
    </row>
    <row r="3" spans="1:6" ht="13.5" customHeight="1">
      <c r="A3" s="61"/>
      <c r="B3" s="61"/>
      <c r="C3" s="61"/>
      <c r="D3" s="61"/>
      <c r="E3" s="61"/>
      <c r="F3" s="61"/>
    </row>
    <row r="4" spans="1:6" ht="13.5" customHeight="1">
      <c r="A4" s="61"/>
      <c r="B4" s="61"/>
      <c r="C4" s="61"/>
      <c r="D4" s="61"/>
      <c r="E4" s="61"/>
      <c r="F4" s="61"/>
    </row>
    <row r="5" spans="1:6" ht="13.5" customHeight="1">
      <c r="A5" s="61"/>
      <c r="B5" s="61"/>
      <c r="C5" s="61"/>
      <c r="D5" s="61"/>
      <c r="E5" s="61"/>
      <c r="F5" s="61"/>
    </row>
    <row r="6" spans="1:6" ht="13.5" customHeight="1">
      <c r="A6" s="62"/>
      <c r="B6" s="62"/>
      <c r="C6" s="62"/>
      <c r="D6" s="62"/>
      <c r="E6" s="62"/>
      <c r="F6" s="62"/>
    </row>
    <row r="7" spans="1:6" ht="13.5" customHeight="1">
      <c r="A7" s="19">
        <v>1</v>
      </c>
      <c r="B7" s="19">
        <v>20</v>
      </c>
      <c r="C7" s="19">
        <v>17</v>
      </c>
      <c r="D7" s="19">
        <v>7</v>
      </c>
      <c r="E7" s="19">
        <v>80</v>
      </c>
      <c r="F7" s="19">
        <v>320</v>
      </c>
    </row>
    <row r="8" spans="1:6" ht="13.5" customHeight="1">
      <c r="A8" s="19">
        <v>2</v>
      </c>
      <c r="B8" s="19">
        <v>50</v>
      </c>
      <c r="C8" s="19">
        <v>20</v>
      </c>
      <c r="D8" s="19">
        <v>5</v>
      </c>
      <c r="E8" s="19">
        <v>105</v>
      </c>
      <c r="F8" s="19">
        <v>611</v>
      </c>
    </row>
    <row r="9" spans="1:6" ht="13.5" customHeight="1">
      <c r="A9" s="19">
        <v>3</v>
      </c>
      <c r="B9" s="19">
        <v>80</v>
      </c>
      <c r="C9" s="19">
        <v>19</v>
      </c>
      <c r="D9" s="19">
        <v>1</v>
      </c>
      <c r="E9" s="19">
        <v>100</v>
      </c>
      <c r="F9" s="19">
        <v>840</v>
      </c>
    </row>
    <row r="10" spans="1:6" ht="13.5" customHeight="1">
      <c r="A10" s="19">
        <v>4</v>
      </c>
      <c r="B10" s="19">
        <v>35</v>
      </c>
      <c r="C10" s="19">
        <v>17</v>
      </c>
      <c r="D10" s="19">
        <v>7</v>
      </c>
      <c r="E10" s="19">
        <v>94</v>
      </c>
      <c r="F10" s="19">
        <v>482</v>
      </c>
    </row>
    <row r="11" spans="1:6" ht="13.5" customHeight="1">
      <c r="A11" s="19">
        <v>5</v>
      </c>
      <c r="B11" s="19">
        <v>115</v>
      </c>
      <c r="C11" s="19">
        <v>20</v>
      </c>
      <c r="D11" s="19">
        <v>2</v>
      </c>
      <c r="E11" s="19">
        <v>112</v>
      </c>
      <c r="F11" s="19">
        <v>1050</v>
      </c>
    </row>
    <row r="12" spans="1:6" ht="13.5" customHeight="1">
      <c r="A12" s="19">
        <v>6</v>
      </c>
      <c r="B12" s="19">
        <v>40</v>
      </c>
      <c r="C12" s="19">
        <v>19</v>
      </c>
      <c r="D12" s="19">
        <v>5</v>
      </c>
      <c r="E12" s="19">
        <v>108</v>
      </c>
      <c r="F12" s="19">
        <v>499</v>
      </c>
    </row>
    <row r="13" spans="1:6" ht="13.5" customHeight="1">
      <c r="A13" s="19">
        <v>7</v>
      </c>
      <c r="B13" s="19">
        <v>40</v>
      </c>
      <c r="C13" s="19">
        <v>19</v>
      </c>
      <c r="D13" s="19">
        <v>4</v>
      </c>
      <c r="E13" s="19">
        <v>100</v>
      </c>
      <c r="F13" s="19">
        <v>505</v>
      </c>
    </row>
    <row r="14" spans="1:6" ht="13.5" customHeight="1">
      <c r="A14" s="19">
        <v>8</v>
      </c>
      <c r="B14" s="19">
        <v>50</v>
      </c>
      <c r="C14" s="19">
        <v>19</v>
      </c>
      <c r="D14" s="19">
        <v>4</v>
      </c>
      <c r="E14" s="19">
        <v>88</v>
      </c>
      <c r="F14" s="19">
        <v>521</v>
      </c>
    </row>
    <row r="15" spans="1:6" ht="13.5" customHeight="1">
      <c r="A15" s="19">
        <v>9</v>
      </c>
      <c r="B15" s="19">
        <v>30</v>
      </c>
      <c r="C15" s="19">
        <v>17</v>
      </c>
      <c r="D15" s="19">
        <v>7</v>
      </c>
      <c r="E15" s="19">
        <v>92</v>
      </c>
      <c r="F15" s="19">
        <v>412</v>
      </c>
    </row>
    <row r="16" spans="1:6" ht="13.5" customHeight="1">
      <c r="A16" s="19">
        <v>10</v>
      </c>
      <c r="B16" s="19">
        <v>35</v>
      </c>
      <c r="C16" s="19">
        <v>17</v>
      </c>
      <c r="D16" s="19">
        <v>7</v>
      </c>
      <c r="E16" s="19">
        <v>90</v>
      </c>
      <c r="F16" s="19">
        <v>405</v>
      </c>
    </row>
    <row r="17" spans="1:6" ht="13.5" customHeight="1">
      <c r="A17" s="19">
        <v>11</v>
      </c>
      <c r="B17" s="19">
        <v>70</v>
      </c>
      <c r="C17" s="19">
        <v>19</v>
      </c>
      <c r="D17" s="19">
        <v>2</v>
      </c>
      <c r="E17" s="19">
        <v>92</v>
      </c>
      <c r="F17" s="19">
        <v>788</v>
      </c>
    </row>
    <row r="18" spans="1:6" ht="13.5" customHeight="1">
      <c r="A18" s="19">
        <v>12</v>
      </c>
      <c r="B18" s="19">
        <v>120</v>
      </c>
      <c r="C18" s="19">
        <v>21</v>
      </c>
      <c r="D18" s="19">
        <v>1</v>
      </c>
      <c r="E18" s="19">
        <v>101</v>
      </c>
      <c r="F18" s="19">
        <v>1280</v>
      </c>
    </row>
    <row r="19" spans="1:6" ht="13.5" customHeight="1">
      <c r="A19" s="19">
        <v>13</v>
      </c>
      <c r="B19" s="19">
        <v>100</v>
      </c>
      <c r="C19" s="19">
        <v>20</v>
      </c>
      <c r="D19" s="19">
        <v>2</v>
      </c>
      <c r="E19" s="19">
        <v>98</v>
      </c>
      <c r="F19" s="19">
        <v>990</v>
      </c>
    </row>
    <row r="20" spans="1:6" ht="13.5" customHeight="1">
      <c r="A20" s="19">
        <v>14</v>
      </c>
      <c r="B20" s="19">
        <v>70</v>
      </c>
      <c r="C20" s="19">
        <v>19</v>
      </c>
      <c r="D20" s="19">
        <v>7</v>
      </c>
      <c r="E20" s="19">
        <v>95</v>
      </c>
      <c r="F20" s="19">
        <v>810</v>
      </c>
    </row>
    <row r="21" spans="1:6" ht="13.5" customHeight="1">
      <c r="A21" s="19">
        <v>15</v>
      </c>
      <c r="B21" s="19">
        <v>65</v>
      </c>
      <c r="C21" s="19">
        <v>19</v>
      </c>
      <c r="D21" s="19">
        <v>5</v>
      </c>
      <c r="E21" s="19">
        <v>90</v>
      </c>
      <c r="F21" s="19">
        <v>750</v>
      </c>
    </row>
    <row r="22" spans="1:6" ht="13.5" customHeight="1">
      <c r="A22" s="19">
        <v>16</v>
      </c>
      <c r="B22" s="19">
        <v>80</v>
      </c>
      <c r="C22" s="19">
        <v>19</v>
      </c>
      <c r="D22" s="19">
        <v>2</v>
      </c>
      <c r="E22" s="19">
        <v>95</v>
      </c>
      <c r="F22" s="19">
        <v>924</v>
      </c>
    </row>
    <row r="23" spans="1:6" ht="13.5" customHeight="1">
      <c r="A23" s="19">
        <v>17</v>
      </c>
      <c r="B23" s="19">
        <v>150</v>
      </c>
      <c r="C23" s="19">
        <v>21</v>
      </c>
      <c r="D23" s="19">
        <v>1</v>
      </c>
      <c r="E23" s="19">
        <v>109</v>
      </c>
      <c r="F23" s="19">
        <v>1950</v>
      </c>
    </row>
    <row r="24" spans="1:6" ht="13.5" customHeight="1">
      <c r="A24" s="19">
        <v>18</v>
      </c>
      <c r="B24" s="19">
        <v>50</v>
      </c>
      <c r="C24" s="19">
        <v>18</v>
      </c>
      <c r="D24" s="19">
        <v>5</v>
      </c>
      <c r="E24" s="19">
        <v>90</v>
      </c>
      <c r="F24" s="19">
        <v>590</v>
      </c>
    </row>
    <row r="25" spans="1:6" ht="13.5" customHeight="1">
      <c r="A25" s="19">
        <v>19</v>
      </c>
      <c r="B25" s="19">
        <v>60</v>
      </c>
      <c r="C25" s="19">
        <v>20</v>
      </c>
      <c r="D25" s="19">
        <v>3</v>
      </c>
      <c r="E25" s="19">
        <v>97</v>
      </c>
      <c r="F25" s="19">
        <v>722</v>
      </c>
    </row>
    <row r="26" spans="1:6" ht="13.5" customHeight="1">
      <c r="A26" s="19">
        <v>20</v>
      </c>
      <c r="B26" s="19">
        <v>50</v>
      </c>
      <c r="C26" s="19">
        <v>19</v>
      </c>
      <c r="D26" s="19">
        <v>5</v>
      </c>
      <c r="E26" s="19">
        <v>90</v>
      </c>
      <c r="F26" s="19">
        <v>540</v>
      </c>
    </row>
    <row r="27" spans="1:6" ht="13.5" customHeight="1">
      <c r="A27" s="19">
        <v>21</v>
      </c>
      <c r="B27" s="19">
        <v>60</v>
      </c>
      <c r="C27" s="19">
        <v>19</v>
      </c>
      <c r="D27" s="19">
        <v>5</v>
      </c>
      <c r="E27" s="19">
        <v>87</v>
      </c>
      <c r="F27" s="19">
        <v>700</v>
      </c>
    </row>
    <row r="28" spans="1:6" ht="13.5" customHeight="1">
      <c r="A28" s="19">
        <v>22</v>
      </c>
      <c r="B28" s="19">
        <v>90</v>
      </c>
      <c r="C28" s="19">
        <v>20</v>
      </c>
      <c r="D28" s="19">
        <v>5</v>
      </c>
      <c r="E28" s="19">
        <v>100</v>
      </c>
      <c r="F28" s="19">
        <v>980</v>
      </c>
    </row>
    <row r="29" spans="1:6" ht="13.5" customHeight="1">
      <c r="A29" s="19">
        <v>23</v>
      </c>
      <c r="B29" s="19">
        <v>40</v>
      </c>
      <c r="C29" s="19">
        <v>19</v>
      </c>
      <c r="D29" s="19">
        <v>6</v>
      </c>
      <c r="E29" s="19">
        <v>98</v>
      </c>
      <c r="F29" s="19">
        <v>490</v>
      </c>
    </row>
    <row r="30" spans="1:6" ht="13.5" customHeight="1">
      <c r="A30" s="19">
        <v>24</v>
      </c>
      <c r="B30" s="19">
        <v>25</v>
      </c>
      <c r="C30" s="19">
        <v>20</v>
      </c>
      <c r="D30" s="19">
        <v>5</v>
      </c>
      <c r="E30" s="19">
        <v>89</v>
      </c>
      <c r="F30" s="19">
        <v>375</v>
      </c>
    </row>
    <row r="31" spans="1:6" ht="13.5" customHeight="1">
      <c r="A31" s="19">
        <v>25</v>
      </c>
      <c r="B31" s="19">
        <v>85</v>
      </c>
      <c r="C31" s="19">
        <v>18</v>
      </c>
      <c r="D31" s="19">
        <v>3</v>
      </c>
      <c r="E31" s="19">
        <v>90</v>
      </c>
      <c r="F31" s="19">
        <v>910</v>
      </c>
    </row>
    <row r="32" spans="1:6" ht="13.5" customHeight="1">
      <c r="A32" s="19">
        <v>26</v>
      </c>
      <c r="B32" s="19">
        <v>75</v>
      </c>
      <c r="C32" s="19">
        <v>19</v>
      </c>
      <c r="D32" s="19">
        <v>4</v>
      </c>
      <c r="E32" s="19">
        <v>97</v>
      </c>
      <c r="F32" s="19">
        <v>845</v>
      </c>
    </row>
    <row r="33" spans="1:6" ht="13.5" customHeight="1">
      <c r="A33" s="19">
        <v>27</v>
      </c>
      <c r="B33" s="19">
        <v>175</v>
      </c>
      <c r="C33" s="19">
        <v>21</v>
      </c>
      <c r="D33" s="19">
        <v>4</v>
      </c>
      <c r="E33" s="19">
        <v>108</v>
      </c>
      <c r="F33" s="19">
        <v>2400</v>
      </c>
    </row>
    <row r="34" spans="1:6" ht="13.5" customHeight="1">
      <c r="A34" s="19">
        <v>28</v>
      </c>
      <c r="B34" s="19">
        <v>100</v>
      </c>
      <c r="C34" s="19">
        <v>20</v>
      </c>
      <c r="D34" s="19">
        <v>2</v>
      </c>
      <c r="E34" s="19">
        <v>102</v>
      </c>
      <c r="F34" s="19">
        <v>1100</v>
      </c>
    </row>
    <row r="35" spans="1:6" ht="13.5" customHeight="1">
      <c r="A35" s="19">
        <v>29</v>
      </c>
      <c r="B35" s="19">
        <v>40</v>
      </c>
      <c r="C35" s="19">
        <v>18</v>
      </c>
      <c r="D35" s="19">
        <v>7</v>
      </c>
      <c r="E35" s="19">
        <v>88</v>
      </c>
      <c r="F35" s="19">
        <v>470</v>
      </c>
    </row>
    <row r="36" spans="1:6" ht="13.5" customHeight="1">
      <c r="A36" s="19">
        <v>30</v>
      </c>
      <c r="B36" s="19">
        <v>50</v>
      </c>
      <c r="C36" s="19">
        <v>18</v>
      </c>
      <c r="D36" s="19">
        <v>6</v>
      </c>
      <c r="E36" s="19">
        <v>96</v>
      </c>
      <c r="F36" s="19">
        <v>588</v>
      </c>
    </row>
    <row r="37" spans="1:6" ht="13.5" customHeight="1">
      <c r="A37" s="19">
        <v>31</v>
      </c>
      <c r="B37" s="19">
        <v>75</v>
      </c>
      <c r="C37" s="19">
        <v>19</v>
      </c>
      <c r="D37" s="19">
        <v>3</v>
      </c>
      <c r="E37" s="19">
        <v>92</v>
      </c>
      <c r="F37" s="19">
        <v>860</v>
      </c>
    </row>
    <row r="38" spans="1:6" ht="13.5" customHeight="1">
      <c r="A38" s="19">
        <v>32</v>
      </c>
      <c r="B38" s="19">
        <v>25</v>
      </c>
      <c r="C38" s="19">
        <v>18</v>
      </c>
      <c r="D38" s="19">
        <v>5</v>
      </c>
      <c r="E38" s="19">
        <v>102</v>
      </c>
      <c r="F38" s="19">
        <v>395</v>
      </c>
    </row>
    <row r="39" spans="1:6" ht="13.5" customHeight="1">
      <c r="A39" s="19">
        <v>33</v>
      </c>
      <c r="B39" s="19">
        <v>95</v>
      </c>
      <c r="C39" s="19">
        <v>21</v>
      </c>
      <c r="D39" s="19">
        <v>2</v>
      </c>
      <c r="E39" s="19">
        <v>115</v>
      </c>
      <c r="F39" s="19">
        <v>1000</v>
      </c>
    </row>
    <row r="40" spans="1:6" ht="13.5" customHeight="1">
      <c r="A40" s="19">
        <v>34</v>
      </c>
      <c r="B40" s="19">
        <v>60</v>
      </c>
      <c r="C40" s="19">
        <v>19</v>
      </c>
      <c r="D40" s="19">
        <v>6</v>
      </c>
      <c r="E40" s="19">
        <v>90</v>
      </c>
      <c r="F40" s="19">
        <v>640</v>
      </c>
    </row>
    <row r="41" spans="1:6" ht="13.5" customHeight="1">
      <c r="A41" s="19">
        <v>35</v>
      </c>
      <c r="B41" s="19">
        <v>70</v>
      </c>
      <c r="C41" s="19">
        <v>18</v>
      </c>
      <c r="D41" s="19">
        <v>3</v>
      </c>
      <c r="E41" s="19">
        <v>92</v>
      </c>
      <c r="F41" s="19">
        <v>805</v>
      </c>
    </row>
    <row r="42" spans="1:6" ht="13.5" customHeight="1">
      <c r="A42" s="19">
        <v>36</v>
      </c>
      <c r="B42" s="19">
        <v>85</v>
      </c>
      <c r="C42" s="19">
        <v>20</v>
      </c>
      <c r="D42" s="19">
        <v>2</v>
      </c>
      <c r="E42" s="19">
        <v>95</v>
      </c>
      <c r="F42" s="19">
        <v>920</v>
      </c>
    </row>
    <row r="43" spans="1:6" ht="13.5" customHeight="1">
      <c r="A43" s="19">
        <v>37</v>
      </c>
      <c r="B43" s="19">
        <v>170</v>
      </c>
      <c r="C43" s="19">
        <v>21</v>
      </c>
      <c r="D43" s="19">
        <v>1</v>
      </c>
      <c r="E43" s="19">
        <v>108</v>
      </c>
      <c r="F43" s="19">
        <v>2125</v>
      </c>
    </row>
    <row r="44" spans="1:6" ht="13.5" customHeight="1">
      <c r="A44" s="19">
        <v>38</v>
      </c>
      <c r="B44" s="19">
        <v>120</v>
      </c>
      <c r="C44" s="19">
        <v>21</v>
      </c>
      <c r="D44" s="19">
        <v>3</v>
      </c>
      <c r="E44" s="19">
        <v>95</v>
      </c>
      <c r="F44" s="19">
        <v>1400</v>
      </c>
    </row>
    <row r="45" spans="1:6" ht="13.5" customHeight="1">
      <c r="A45" s="19">
        <v>39</v>
      </c>
      <c r="B45" s="19">
        <v>160</v>
      </c>
      <c r="C45" s="19">
        <v>21</v>
      </c>
      <c r="D45" s="19">
        <v>1</v>
      </c>
      <c r="E45" s="19">
        <v>99</v>
      </c>
      <c r="F45" s="19">
        <v>1850</v>
      </c>
    </row>
    <row r="46" spans="1:6" ht="13.5" customHeight="1">
      <c r="A46" s="19">
        <v>40</v>
      </c>
      <c r="B46" s="19">
        <v>50</v>
      </c>
      <c r="C46" s="19">
        <v>19</v>
      </c>
      <c r="D46" s="19">
        <v>3</v>
      </c>
      <c r="E46" s="19">
        <v>97</v>
      </c>
      <c r="F46" s="19">
        <v>770</v>
      </c>
    </row>
    <row r="47" spans="1:6" ht="13.5" customHeight="1">
      <c r="A47" s="19">
        <v>41</v>
      </c>
      <c r="B47" s="19">
        <v>80</v>
      </c>
      <c r="C47" s="19">
        <v>20</v>
      </c>
      <c r="D47" s="19">
        <v>2</v>
      </c>
      <c r="E47" s="19">
        <v>102</v>
      </c>
      <c r="F47" s="19">
        <v>905</v>
      </c>
    </row>
    <row r="48" spans="1:6" ht="13.5" customHeight="1">
      <c r="A48" s="19">
        <v>42</v>
      </c>
      <c r="B48" s="19">
        <v>20</v>
      </c>
      <c r="C48" s="19">
        <v>18</v>
      </c>
      <c r="D48" s="19">
        <v>7</v>
      </c>
      <c r="E48" s="19">
        <v>95</v>
      </c>
      <c r="F48" s="19">
        <v>355</v>
      </c>
    </row>
    <row r="49" spans="1:6" ht="13.5" customHeight="1">
      <c r="A49" s="19">
        <v>43</v>
      </c>
      <c r="B49" s="19">
        <v>55</v>
      </c>
      <c r="C49" s="19">
        <v>19</v>
      </c>
      <c r="D49" s="19">
        <v>5</v>
      </c>
      <c r="E49" s="19">
        <v>90</v>
      </c>
      <c r="F49" s="19">
        <v>610</v>
      </c>
    </row>
    <row r="50" spans="1:6" ht="13.5" customHeight="1">
      <c r="A50" s="19">
        <v>44</v>
      </c>
      <c r="B50" s="19">
        <v>70</v>
      </c>
      <c r="C50" s="19">
        <v>20</v>
      </c>
      <c r="D50" s="19">
        <v>6</v>
      </c>
      <c r="E50" s="19">
        <v>101</v>
      </c>
      <c r="F50" s="19">
        <v>697</v>
      </c>
    </row>
    <row r="51" spans="1:6" ht="13.5" customHeight="1">
      <c r="A51" s="19">
        <v>45</v>
      </c>
      <c r="B51" s="19">
        <v>80</v>
      </c>
      <c r="C51" s="19">
        <v>20</v>
      </c>
      <c r="D51" s="19">
        <v>2</v>
      </c>
      <c r="E51" s="19">
        <v>104</v>
      </c>
      <c r="F51" s="19">
        <v>900</v>
      </c>
    </row>
    <row r="52" spans="1:6" ht="13.5" customHeight="1">
      <c r="A52" s="19">
        <v>46</v>
      </c>
      <c r="B52" s="19">
        <v>100</v>
      </c>
      <c r="C52" s="19">
        <v>21</v>
      </c>
      <c r="D52" s="19">
        <v>1</v>
      </c>
      <c r="E52" s="19">
        <v>120</v>
      </c>
      <c r="F52" s="19">
        <v>1025</v>
      </c>
    </row>
    <row r="53" spans="1:6" ht="13.5" customHeight="1">
      <c r="A53" s="19">
        <v>47</v>
      </c>
      <c r="B53" s="19">
        <v>60</v>
      </c>
      <c r="C53" s="19">
        <v>20</v>
      </c>
      <c r="D53" s="19">
        <v>6</v>
      </c>
      <c r="E53" s="19">
        <v>101</v>
      </c>
      <c r="F53" s="19">
        <v>697</v>
      </c>
    </row>
    <row r="54" spans="1:6" ht="13.5" customHeight="1">
      <c r="A54" s="19">
        <v>48</v>
      </c>
      <c r="B54" s="19">
        <v>50</v>
      </c>
      <c r="C54" s="19">
        <v>18</v>
      </c>
      <c r="D54" s="19">
        <v>2</v>
      </c>
      <c r="E54" s="19">
        <v>95</v>
      </c>
      <c r="F54" s="19">
        <v>570</v>
      </c>
    </row>
    <row r="55" spans="1:6" ht="13.5" customHeight="1">
      <c r="A55" s="19">
        <v>49</v>
      </c>
      <c r="B55" s="19">
        <v>70</v>
      </c>
      <c r="C55" s="19">
        <v>19</v>
      </c>
      <c r="D55" s="19">
        <v>4</v>
      </c>
      <c r="E55" s="19">
        <v>98</v>
      </c>
      <c r="F55" s="19">
        <v>800</v>
      </c>
    </row>
    <row r="56" spans="1:6" ht="13.5" customHeight="1">
      <c r="A56" s="19">
        <v>50</v>
      </c>
      <c r="B56" s="19">
        <v>160</v>
      </c>
      <c r="C56" s="19">
        <v>21</v>
      </c>
      <c r="D56" s="19">
        <v>1</v>
      </c>
      <c r="E56" s="19">
        <v>108</v>
      </c>
      <c r="F56" s="19">
        <v>2100</v>
      </c>
    </row>
    <row r="57" spans="1:6" ht="13.5" customHeight="1">
      <c r="A57" s="6"/>
      <c r="B57" s="6"/>
      <c r="C57" s="6"/>
      <c r="D57" s="6"/>
      <c r="E57" s="6"/>
      <c r="F57" s="6"/>
    </row>
    <row r="58" spans="1:6" ht="13.5" customHeight="1">
      <c r="A58" s="6"/>
      <c r="B58" s="6"/>
      <c r="C58" s="6"/>
      <c r="D58" s="6"/>
      <c r="E58" s="6"/>
      <c r="F58" s="6"/>
    </row>
    <row r="59" spans="1:6" ht="13.5" customHeight="1">
      <c r="A59" s="6"/>
      <c r="B59" s="6"/>
      <c r="C59" s="6"/>
      <c r="D59" s="6"/>
      <c r="E59" s="6"/>
      <c r="F59" s="6"/>
    </row>
    <row r="60" spans="1:6" ht="13.5" customHeight="1">
      <c r="A60" s="6"/>
      <c r="B60" s="6"/>
      <c r="C60" s="6"/>
      <c r="D60" s="6"/>
      <c r="E60" s="6"/>
      <c r="F60" s="6"/>
    </row>
    <row r="61" spans="1:6" ht="13.5" customHeight="1">
      <c r="A61" s="6"/>
      <c r="B61" s="6"/>
      <c r="C61" s="6"/>
      <c r="D61" s="6"/>
      <c r="E61" s="6"/>
      <c r="F61" s="6"/>
    </row>
    <row r="62" spans="1:6" ht="13.5" customHeight="1">
      <c r="A62" s="6"/>
      <c r="B62" s="6"/>
      <c r="C62" s="6"/>
      <c r="D62" s="6"/>
      <c r="E62" s="6"/>
      <c r="F62" s="6"/>
    </row>
    <row r="63" spans="1:6" ht="13.5" customHeight="1">
      <c r="A63" s="6"/>
      <c r="B63" s="6"/>
      <c r="C63" s="6"/>
      <c r="D63" s="6"/>
      <c r="E63" s="6"/>
      <c r="F63" s="6"/>
    </row>
    <row r="64" spans="1:6" ht="13.5" customHeight="1">
      <c r="A64" s="6"/>
      <c r="B64" s="6"/>
      <c r="C64" s="6"/>
      <c r="D64" s="6"/>
      <c r="E64" s="6"/>
      <c r="F64" s="6"/>
    </row>
    <row r="65" spans="1:6" ht="13.5" customHeight="1">
      <c r="A65" s="6"/>
      <c r="B65" s="6"/>
      <c r="C65" s="6"/>
      <c r="D65" s="6"/>
      <c r="E65" s="6"/>
      <c r="F65" s="6"/>
    </row>
    <row r="66" spans="1:6" ht="13.5" customHeight="1">
      <c r="A66" s="6"/>
      <c r="B66" s="6"/>
      <c r="C66" s="6"/>
      <c r="D66" s="6"/>
      <c r="E66" s="6"/>
      <c r="F66" s="6"/>
    </row>
    <row r="67" spans="1:6" ht="13.5" customHeight="1">
      <c r="A67" s="6"/>
      <c r="B67" s="6"/>
      <c r="C67" s="6"/>
      <c r="D67" s="6"/>
      <c r="E67" s="6"/>
      <c r="F67" s="6"/>
    </row>
    <row r="68" spans="1:6" ht="13.5" customHeight="1">
      <c r="A68" s="6"/>
      <c r="B68" s="6"/>
      <c r="C68" s="6"/>
      <c r="D68" s="6"/>
      <c r="E68" s="6"/>
      <c r="F68" s="6"/>
    </row>
    <row r="69" spans="1:6" ht="13.5" customHeight="1">
      <c r="A69" s="6"/>
      <c r="B69" s="6"/>
      <c r="C69" s="6"/>
      <c r="D69" s="6"/>
      <c r="E69" s="6"/>
      <c r="F69" s="6"/>
    </row>
    <row r="70" spans="1:6" ht="13.5" customHeight="1">
      <c r="A70" s="6"/>
      <c r="B70" s="6"/>
      <c r="C70" s="6"/>
      <c r="D70" s="6"/>
      <c r="E70" s="6"/>
      <c r="F70" s="6"/>
    </row>
    <row r="71" spans="1:6" ht="13.5" customHeight="1">
      <c r="A71" s="6"/>
      <c r="B71" s="6"/>
      <c r="C71" s="6"/>
      <c r="D71" s="6"/>
      <c r="E71" s="6"/>
      <c r="F71" s="6"/>
    </row>
    <row r="72" spans="1:6" ht="13.5" customHeight="1">
      <c r="A72" s="6"/>
      <c r="B72" s="6"/>
      <c r="C72" s="6"/>
      <c r="D72" s="6"/>
      <c r="E72" s="6"/>
      <c r="F72" s="6"/>
    </row>
    <row r="73" spans="1:6" ht="13.5" customHeight="1">
      <c r="A73" s="6"/>
      <c r="B73" s="6"/>
      <c r="C73" s="6"/>
      <c r="D73" s="6"/>
      <c r="E73" s="6"/>
      <c r="F73" s="6"/>
    </row>
    <row r="74" spans="1:6" ht="13.5" customHeight="1">
      <c r="A74" s="6"/>
      <c r="B74" s="6"/>
      <c r="C74" s="6"/>
      <c r="D74" s="6"/>
      <c r="E74" s="6"/>
      <c r="F74" s="6"/>
    </row>
    <row r="75" spans="1:6" ht="13.5" customHeight="1">
      <c r="A75" s="6"/>
      <c r="B75" s="6"/>
      <c r="C75" s="6"/>
      <c r="D75" s="6"/>
      <c r="E75" s="6"/>
      <c r="F75" s="6"/>
    </row>
    <row r="76" spans="1:6" ht="13.5" customHeight="1">
      <c r="A76" s="6"/>
      <c r="B76" s="6"/>
      <c r="C76" s="6"/>
      <c r="D76" s="6"/>
      <c r="E76" s="6"/>
      <c r="F76" s="6"/>
    </row>
    <row r="77" spans="1:6" ht="13.5" customHeight="1">
      <c r="A77" s="6"/>
      <c r="B77" s="6"/>
      <c r="C77" s="6"/>
      <c r="D77" s="6"/>
      <c r="E77" s="6"/>
      <c r="F77" s="6"/>
    </row>
    <row r="78" spans="1:6" ht="13.5" customHeight="1">
      <c r="A78" s="6"/>
      <c r="B78" s="6"/>
      <c r="C78" s="6"/>
      <c r="D78" s="6"/>
      <c r="E78" s="6"/>
      <c r="F78" s="6"/>
    </row>
    <row r="79" spans="1:6" ht="13.5" customHeight="1">
      <c r="A79" s="6"/>
      <c r="B79" s="6"/>
      <c r="C79" s="6"/>
      <c r="D79" s="6"/>
      <c r="E79" s="6"/>
      <c r="F79" s="6"/>
    </row>
    <row r="80" spans="1:6" ht="13.5" customHeight="1">
      <c r="A80" s="6"/>
      <c r="B80" s="6"/>
      <c r="C80" s="6"/>
      <c r="D80" s="6"/>
      <c r="E80" s="6"/>
      <c r="F80" s="6"/>
    </row>
    <row r="81" spans="1:6" ht="13.5" customHeight="1">
      <c r="A81" s="6"/>
      <c r="B81" s="6"/>
      <c r="C81" s="6"/>
      <c r="D81" s="6"/>
      <c r="E81" s="6"/>
      <c r="F81" s="6"/>
    </row>
    <row r="82" spans="1:6" ht="13.5" customHeight="1">
      <c r="A82" s="6"/>
      <c r="B82" s="6"/>
      <c r="C82" s="6"/>
      <c r="D82" s="6"/>
      <c r="E82" s="6"/>
      <c r="F82" s="6"/>
    </row>
    <row r="83" spans="1:6" ht="13.5" customHeight="1">
      <c r="A83" s="6"/>
      <c r="B83" s="6"/>
      <c r="C83" s="6"/>
      <c r="D83" s="6"/>
      <c r="E83" s="6"/>
      <c r="F83" s="6"/>
    </row>
    <row r="84" spans="1:6" ht="13.5" customHeight="1">
      <c r="A84" s="6"/>
      <c r="B84" s="6"/>
      <c r="C84" s="6"/>
      <c r="D84" s="6"/>
      <c r="E84" s="6"/>
      <c r="F84" s="6"/>
    </row>
    <row r="85" spans="1:6" ht="13.5" customHeight="1">
      <c r="A85" s="6"/>
      <c r="B85" s="6"/>
      <c r="C85" s="6"/>
      <c r="D85" s="6"/>
      <c r="E85" s="6"/>
      <c r="F85" s="6"/>
    </row>
    <row r="86" spans="1:6" ht="13.5" customHeight="1">
      <c r="A86" s="6"/>
      <c r="B86" s="6"/>
      <c r="C86" s="6"/>
      <c r="D86" s="6"/>
      <c r="E86" s="6"/>
      <c r="F86" s="6"/>
    </row>
    <row r="87" spans="1:6" ht="13.5" customHeight="1">
      <c r="A87" s="6"/>
      <c r="B87" s="6"/>
      <c r="C87" s="6"/>
      <c r="D87" s="6"/>
      <c r="E87" s="6"/>
      <c r="F87" s="6"/>
    </row>
    <row r="88" spans="1:6" ht="13.5" customHeight="1">
      <c r="A88" s="6"/>
      <c r="B88" s="6"/>
      <c r="C88" s="6"/>
      <c r="D88" s="6"/>
      <c r="E88" s="6"/>
      <c r="F88" s="6"/>
    </row>
    <row r="89" spans="1:6" ht="13.5" customHeight="1">
      <c r="A89" s="6"/>
      <c r="B89" s="6"/>
      <c r="C89" s="6"/>
      <c r="D89" s="6"/>
      <c r="E89" s="6"/>
      <c r="F89" s="6"/>
    </row>
    <row r="90" spans="1:6" ht="13.5" customHeight="1">
      <c r="A90" s="6"/>
      <c r="B90" s="6"/>
      <c r="C90" s="6"/>
      <c r="D90" s="6"/>
      <c r="E90" s="6"/>
      <c r="F90" s="6"/>
    </row>
    <row r="91" spans="1:6" ht="13.5" customHeight="1">
      <c r="A91" s="6"/>
      <c r="B91" s="6"/>
      <c r="C91" s="6"/>
      <c r="D91" s="6"/>
      <c r="E91" s="6"/>
      <c r="F91" s="6"/>
    </row>
    <row r="92" spans="1:6" ht="13.5" customHeight="1">
      <c r="A92" s="6"/>
      <c r="B92" s="6"/>
      <c r="C92" s="6"/>
      <c r="D92" s="6"/>
      <c r="E92" s="6"/>
      <c r="F92" s="6"/>
    </row>
    <row r="93" spans="1:6" ht="13.5" customHeight="1">
      <c r="A93" s="6"/>
      <c r="B93" s="6"/>
      <c r="C93" s="6"/>
      <c r="D93" s="6"/>
      <c r="E93" s="6"/>
      <c r="F93" s="6"/>
    </row>
    <row r="94" spans="1:6" ht="13.5" customHeight="1">
      <c r="A94" s="6"/>
      <c r="B94" s="6"/>
      <c r="C94" s="6"/>
      <c r="D94" s="6"/>
      <c r="E94" s="6"/>
      <c r="F94" s="6"/>
    </row>
    <row r="95" spans="1:6" ht="13.5" customHeight="1">
      <c r="A95" s="6"/>
      <c r="B95" s="6"/>
      <c r="C95" s="6"/>
      <c r="D95" s="6"/>
      <c r="E95" s="6"/>
      <c r="F95" s="6"/>
    </row>
    <row r="96" spans="1:6" ht="13.5" customHeight="1">
      <c r="A96" s="6"/>
      <c r="B96" s="6"/>
      <c r="C96" s="6"/>
      <c r="D96" s="6"/>
      <c r="E96" s="6"/>
      <c r="F96" s="6"/>
    </row>
    <row r="97" spans="1:6" ht="13.5" customHeight="1">
      <c r="A97" s="6"/>
      <c r="B97" s="6"/>
      <c r="C97" s="6"/>
      <c r="D97" s="6"/>
      <c r="E97" s="6"/>
      <c r="F97" s="6"/>
    </row>
    <row r="98" spans="1:6" ht="13.5" customHeight="1">
      <c r="A98" s="6"/>
      <c r="B98" s="6"/>
      <c r="C98" s="6"/>
      <c r="D98" s="6"/>
      <c r="E98" s="6"/>
      <c r="F98" s="6"/>
    </row>
    <row r="99" spans="1:6" ht="13.5" customHeight="1">
      <c r="A99" s="6"/>
      <c r="B99" s="6"/>
      <c r="C99" s="6"/>
      <c r="D99" s="6"/>
      <c r="E99" s="6"/>
      <c r="F99" s="6"/>
    </row>
    <row r="100" spans="1:6" ht="13.5" customHeight="1">
      <c r="A100" s="6"/>
      <c r="B100" s="6"/>
      <c r="C100" s="6"/>
      <c r="D100" s="6"/>
      <c r="E100" s="6"/>
      <c r="F100" s="6"/>
    </row>
    <row r="101" spans="1:6" ht="13.5" customHeight="1">
      <c r="A101" s="6"/>
      <c r="B101" s="6"/>
      <c r="C101" s="6"/>
      <c r="D101" s="6"/>
      <c r="E101" s="6"/>
      <c r="F101" s="6"/>
    </row>
    <row r="102" spans="1:6" ht="13.5" customHeight="1">
      <c r="A102" s="6"/>
      <c r="B102" s="6"/>
      <c r="C102" s="6"/>
      <c r="D102" s="6"/>
      <c r="E102" s="6"/>
      <c r="F102" s="6"/>
    </row>
    <row r="103" spans="1:6" ht="13.5" customHeight="1">
      <c r="A103" s="6"/>
      <c r="B103" s="6"/>
      <c r="C103" s="6"/>
      <c r="D103" s="6"/>
      <c r="E103" s="6"/>
      <c r="F103" s="6"/>
    </row>
    <row r="104" spans="1:6" ht="13.5" customHeight="1">
      <c r="A104" s="6"/>
      <c r="B104" s="6"/>
      <c r="C104" s="6"/>
      <c r="D104" s="6"/>
      <c r="E104" s="6"/>
      <c r="F104" s="6"/>
    </row>
    <row r="105" spans="1:6" ht="13.5" customHeight="1">
      <c r="A105" s="6"/>
      <c r="B105" s="6"/>
      <c r="C105" s="6"/>
      <c r="D105" s="6"/>
      <c r="E105" s="6"/>
      <c r="F105" s="6"/>
    </row>
    <row r="106" spans="1:6" ht="13.5" customHeight="1"/>
    <row r="107" spans="1:6" ht="13.5" customHeight="1">
      <c r="A107" s="6"/>
      <c r="F107" s="6"/>
    </row>
    <row r="108" spans="1:6" ht="13.5" customHeight="1"/>
    <row r="109" spans="1:6" ht="13.5" customHeight="1"/>
    <row r="110" spans="1:6" ht="13.5" customHeight="1"/>
    <row r="111" spans="1:6" ht="13.5" customHeight="1"/>
    <row r="112" spans="1:6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F2:F6"/>
    <mergeCell ref="A2:A6"/>
    <mergeCell ref="B2:B6"/>
    <mergeCell ref="C2:C6"/>
    <mergeCell ref="D2:D6"/>
    <mergeCell ref="E2:E6"/>
  </mergeCell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13</vt:i4>
      </vt:variant>
    </vt:vector>
  </HeadingPairs>
  <TitlesOfParts>
    <vt:vector size="30" baseType="lpstr">
      <vt:lpstr>Данные курса акций</vt:lpstr>
      <vt:lpstr>Анализ прибыли</vt:lpstr>
      <vt:lpstr>Анализ цены</vt:lpstr>
      <vt:lpstr>ДЗ</vt:lpstr>
      <vt:lpstr>Практика 18.09</vt:lpstr>
      <vt:lpstr>Практика 25.09</vt:lpstr>
      <vt:lpstr>Практика 09.10</vt:lpstr>
      <vt:lpstr>Практика 16.10</vt:lpstr>
      <vt:lpstr>Практика 23.10</vt:lpstr>
      <vt:lpstr>Практика 30.10</vt:lpstr>
      <vt:lpstr>Практика 06.11</vt:lpstr>
      <vt:lpstr>Практика 13.11</vt:lpstr>
      <vt:lpstr>Данные</vt:lpstr>
      <vt:lpstr>Дан K2.1</vt:lpstr>
      <vt:lpstr>Дан K2.3</vt:lpstr>
      <vt:lpstr>Таб 1</vt:lpstr>
      <vt:lpstr>Приложение</vt:lpstr>
      <vt:lpstr>данм</vt:lpstr>
      <vt:lpstr>Прибыль1</vt:lpstr>
      <vt:lpstr>Приложение</vt:lpstr>
      <vt:lpstr>результат</vt:lpstr>
      <vt:lpstr>результатм</vt:lpstr>
      <vt:lpstr>Таб1</vt:lpstr>
      <vt:lpstr>таб2</vt:lpstr>
      <vt:lpstr>таб3</vt:lpstr>
      <vt:lpstr>таб6</vt:lpstr>
      <vt:lpstr>табб5</vt:lpstr>
      <vt:lpstr>фактор</vt:lpstr>
      <vt:lpstr>факторм</vt:lpstr>
      <vt:lpstr>Цена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Дадахон Султанов</cp:lastModifiedBy>
  <dcterms:created xsi:type="dcterms:W3CDTF">2007-03-28T10:40:39Z</dcterms:created>
  <dcterms:modified xsi:type="dcterms:W3CDTF">2023-12-01T20:37:06Z</dcterms:modified>
</cp:coreProperties>
</file>