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hkglobal.sharepoint.com/sites/AdvancePlanningSchedulingProject/Shared Documents/General/Facility Capabilities/"/>
    </mc:Choice>
  </mc:AlternateContent>
  <xr:revisionPtr revIDLastSave="0" documentId="8_{EF5986E7-409B-4F45-B456-6F210C5DD071}" xr6:coauthVersionLast="47" xr6:coauthVersionMax="47" xr10:uidLastSave="{00000000-0000-0000-0000-000000000000}"/>
  <bookViews>
    <workbookView xWindow="5040" yWindow="1260" windowWidth="23415" windowHeight="13440" firstSheet="2" activeTab="2" xr2:uid="{00000000-000D-0000-FFFF-FFFF00000000}"/>
  </bookViews>
  <sheets>
    <sheet name="Duplex" sheetId="14" r:id="rId1"/>
    <sheet name="Block MC" sheetId="9" r:id="rId2"/>
    <sheet name="Block G" sheetId="8" r:id="rId3"/>
    <sheet name="Heat treat" sheetId="15" r:id="rId4"/>
    <sheet name="HT coil times" sheetId="18" r:id="rId5"/>
    <sheet name="Straightening" sheetId="12" r:id="rId6"/>
    <sheet name="Drilling" sheetId="13" r:id="rId7"/>
    <sheet name="CUT3" sheetId="20" r:id="rId8"/>
    <sheet name="CUT4" sheetId="21" r:id="rId9"/>
    <sheet name="Rail GG" sheetId="7" r:id="rId10"/>
    <sheet name="Block G (2)" sheetId="17" r:id="rId11"/>
    <sheet name="Plan" sheetId="19" r:id="rId12"/>
  </sheets>
  <definedNames>
    <definedName name="_xlnm._FilterDatabase" localSheetId="9" hidden="1">'Rail GG'!$B$2:$J$34</definedName>
    <definedName name="_xlnm.Print_Area" localSheetId="2">'Block G'!$B$2:$J$29</definedName>
    <definedName name="_xlnm.Print_Area" localSheetId="10">'Block G (2)'!$B$2:$J$29</definedName>
    <definedName name="_xlnm.Print_Area" localSheetId="1">'Block MC'!$A$38:$L$231</definedName>
    <definedName name="_xlnm.Print_Area" localSheetId="7">'CUT3'!$B$2:$K$12</definedName>
    <definedName name="_xlnm.Print_Area" localSheetId="8">'CUT4'!$B$2:$K$12</definedName>
    <definedName name="_xlnm.Print_Area" localSheetId="6">Drilling!$B$2:$K$13</definedName>
    <definedName name="_xlnm.Print_Area" localSheetId="0">Duplex!$B$2:$J$8</definedName>
    <definedName name="_xlnm.Print_Area" localSheetId="3">'Heat treat'!$B$1:$K$8</definedName>
    <definedName name="_xlnm.Print_Area" localSheetId="9">'Rail GG'!$B$2:$J$34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8" l="1"/>
  <c r="AF6" i="8"/>
  <c r="AF5" i="8"/>
  <c r="X15" i="8"/>
  <c r="X14" i="8"/>
  <c r="X13" i="8"/>
  <c r="X12" i="8"/>
  <c r="X11" i="8"/>
  <c r="X10" i="8"/>
  <c r="X9" i="8"/>
  <c r="X8" i="8"/>
  <c r="X7" i="8"/>
  <c r="X5" i="8"/>
  <c r="E29" i="21"/>
  <c r="H33" i="20"/>
  <c r="C34" i="9"/>
  <c r="C33" i="9"/>
  <c r="H33" i="9" s="1"/>
  <c r="J237" i="9"/>
  <c r="F34" i="9"/>
  <c r="F33" i="9"/>
  <c r="I248" i="9"/>
  <c r="I247" i="9"/>
  <c r="J247" i="9" s="1"/>
  <c r="K247" i="9" s="1"/>
  <c r="L247" i="9" s="1"/>
  <c r="I246" i="9"/>
  <c r="I245" i="9"/>
  <c r="I244" i="9"/>
  <c r="I243" i="9"/>
  <c r="J243" i="9" s="1"/>
  <c r="K243" i="9" s="1"/>
  <c r="L243" i="9" s="1"/>
  <c r="I242" i="9"/>
  <c r="I241" i="9"/>
  <c r="J241" i="9" s="1"/>
  <c r="K241" i="9" s="1"/>
  <c r="L241" i="9" s="1"/>
  <c r="I240" i="9"/>
  <c r="I239" i="9"/>
  <c r="J239" i="9" s="1"/>
  <c r="K239" i="9" s="1"/>
  <c r="L239" i="9" s="1"/>
  <c r="I238" i="9"/>
  <c r="I237" i="9"/>
  <c r="K237" i="9" l="1"/>
  <c r="L237" i="9" s="1"/>
  <c r="H34" i="9" s="1"/>
  <c r="G33" i="9"/>
  <c r="J245" i="9"/>
  <c r="K245" i="9" s="1"/>
  <c r="L245" i="9" s="1"/>
  <c r="G34" i="9" l="1"/>
  <c r="P107" i="19" l="1"/>
  <c r="Z106" i="19"/>
  <c r="Y106" i="19"/>
  <c r="X106" i="19"/>
  <c r="W106" i="19"/>
  <c r="P106" i="19"/>
  <c r="Y105" i="19"/>
  <c r="Z105" i="19" s="1"/>
  <c r="W105" i="19"/>
  <c r="X105" i="19" s="1"/>
  <c r="P105" i="19"/>
  <c r="Z104" i="19"/>
  <c r="Y104" i="19"/>
  <c r="W104" i="19"/>
  <c r="X104" i="19" s="1"/>
  <c r="P104" i="19"/>
  <c r="Y103" i="19"/>
  <c r="Z103" i="19" s="1"/>
  <c r="W103" i="19"/>
  <c r="X103" i="19" s="1"/>
  <c r="P103" i="19"/>
  <c r="Y102" i="19"/>
  <c r="Z102" i="19" s="1"/>
  <c r="X102" i="19"/>
  <c r="W102" i="19"/>
  <c r="U102" i="19"/>
  <c r="V102" i="19" s="1"/>
  <c r="T102" i="19"/>
  <c r="S102" i="19"/>
  <c r="P102" i="19"/>
  <c r="D102" i="19"/>
  <c r="A102" i="19"/>
  <c r="Y101" i="19"/>
  <c r="Z101" i="19" s="1"/>
  <c r="X101" i="19"/>
  <c r="W101" i="19"/>
  <c r="U101" i="19"/>
  <c r="V101" i="19" s="1"/>
  <c r="T101" i="19"/>
  <c r="S101" i="19"/>
  <c r="P101" i="19"/>
  <c r="O101" i="19"/>
  <c r="N101" i="19"/>
  <c r="L101" i="19"/>
  <c r="M101" i="19" s="1"/>
  <c r="A101" i="19"/>
  <c r="Z100" i="19"/>
  <c r="Y100" i="19"/>
  <c r="W100" i="19"/>
  <c r="X100" i="19" s="1"/>
  <c r="V100" i="19"/>
  <c r="U100" i="19"/>
  <c r="S100" i="19"/>
  <c r="T100" i="19" s="1"/>
  <c r="P100" i="19"/>
  <c r="N100" i="19"/>
  <c r="O100" i="19" s="1"/>
  <c r="L100" i="19"/>
  <c r="M100" i="19" s="1"/>
  <c r="H100" i="19"/>
  <c r="I100" i="19" s="1"/>
  <c r="A100" i="19"/>
  <c r="Z99" i="19"/>
  <c r="Y99" i="19"/>
  <c r="X99" i="19"/>
  <c r="W99" i="19"/>
  <c r="P99" i="19"/>
  <c r="N99" i="19"/>
  <c r="O99" i="19" s="1"/>
  <c r="M99" i="19"/>
  <c r="L99" i="19"/>
  <c r="J99" i="19"/>
  <c r="K99" i="19" s="1"/>
  <c r="I99" i="19"/>
  <c r="H99" i="19"/>
  <c r="F99" i="19"/>
  <c r="G99" i="19" s="1"/>
  <c r="D99" i="19"/>
  <c r="E99" i="19" s="1"/>
  <c r="B99" i="19"/>
  <c r="C99" i="19" s="1"/>
  <c r="A99" i="19"/>
  <c r="Z98" i="19"/>
  <c r="Y98" i="19"/>
  <c r="X98" i="19"/>
  <c r="W98" i="19"/>
  <c r="P98" i="19"/>
  <c r="N98" i="19"/>
  <c r="O98" i="19" s="1"/>
  <c r="M98" i="19"/>
  <c r="L98" i="19"/>
  <c r="J98" i="19"/>
  <c r="K98" i="19" s="1"/>
  <c r="H98" i="19"/>
  <c r="I98" i="19" s="1"/>
  <c r="F98" i="19"/>
  <c r="G98" i="19" s="1"/>
  <c r="D98" i="19"/>
  <c r="E98" i="19" s="1"/>
  <c r="B98" i="19"/>
  <c r="C98" i="19" s="1"/>
  <c r="A98" i="19"/>
  <c r="Z97" i="19"/>
  <c r="Y97" i="19"/>
  <c r="X97" i="19"/>
  <c r="W97" i="19"/>
  <c r="V97" i="19"/>
  <c r="U97" i="19"/>
  <c r="P97" i="19"/>
  <c r="N97" i="19"/>
  <c r="O97" i="19" s="1"/>
  <c r="L97" i="19"/>
  <c r="M97" i="19" s="1"/>
  <c r="K97" i="19"/>
  <c r="J97" i="19"/>
  <c r="H97" i="19"/>
  <c r="I97" i="19" s="1"/>
  <c r="F97" i="19"/>
  <c r="G97" i="19" s="1"/>
  <c r="D97" i="19"/>
  <c r="E97" i="19" s="1"/>
  <c r="B97" i="19"/>
  <c r="C97" i="19" s="1"/>
  <c r="A97" i="19"/>
  <c r="Y96" i="19"/>
  <c r="Z96" i="19" s="1"/>
  <c r="X96" i="19"/>
  <c r="W96" i="19"/>
  <c r="U96" i="19"/>
  <c r="V96" i="19" s="1"/>
  <c r="P96" i="19"/>
  <c r="N96" i="19"/>
  <c r="O96" i="19" s="1"/>
  <c r="L96" i="19"/>
  <c r="M96" i="19" s="1"/>
  <c r="J96" i="19"/>
  <c r="K96" i="19" s="1"/>
  <c r="I96" i="19"/>
  <c r="H96" i="19"/>
  <c r="F96" i="19"/>
  <c r="G96" i="19" s="1"/>
  <c r="D96" i="19"/>
  <c r="E96" i="19" s="1"/>
  <c r="B96" i="19"/>
  <c r="C96" i="19" s="1"/>
  <c r="A96" i="19"/>
  <c r="Z95" i="19"/>
  <c r="Y95" i="19"/>
  <c r="W95" i="19"/>
  <c r="X95" i="19" s="1"/>
  <c r="V95" i="19"/>
  <c r="U95" i="19"/>
  <c r="P95" i="19"/>
  <c r="N95" i="19"/>
  <c r="O95" i="19" s="1"/>
  <c r="L95" i="19"/>
  <c r="M95" i="19" s="1"/>
  <c r="J95" i="19"/>
  <c r="K95" i="19" s="1"/>
  <c r="H95" i="19"/>
  <c r="I95" i="19" s="1"/>
  <c r="G95" i="19"/>
  <c r="F95" i="19"/>
  <c r="D95" i="19"/>
  <c r="E95" i="19" s="1"/>
  <c r="B95" i="19"/>
  <c r="C95" i="19" s="1"/>
  <c r="A95" i="19"/>
  <c r="Y94" i="19"/>
  <c r="Z94" i="19" s="1"/>
  <c r="X94" i="19"/>
  <c r="W94" i="19"/>
  <c r="U94" i="19"/>
  <c r="V94" i="19" s="1"/>
  <c r="P94" i="19"/>
  <c r="N94" i="19"/>
  <c r="O94" i="19" s="1"/>
  <c r="L94" i="19"/>
  <c r="M94" i="19" s="1"/>
  <c r="J94" i="19"/>
  <c r="K94" i="19" s="1"/>
  <c r="H94" i="19"/>
  <c r="I94" i="19" s="1"/>
  <c r="F94" i="19"/>
  <c r="G94" i="19" s="1"/>
  <c r="E94" i="19"/>
  <c r="D94" i="19"/>
  <c r="B94" i="19"/>
  <c r="C94" i="19" s="1"/>
  <c r="A94" i="19"/>
  <c r="Z93" i="19"/>
  <c r="Y93" i="19"/>
  <c r="W93" i="19"/>
  <c r="X93" i="19" s="1"/>
  <c r="V93" i="19"/>
  <c r="U93" i="19"/>
  <c r="P93" i="19"/>
  <c r="N93" i="19"/>
  <c r="O93" i="19" s="1"/>
  <c r="L93" i="19"/>
  <c r="M93" i="19" s="1"/>
  <c r="J93" i="19"/>
  <c r="K93" i="19" s="1"/>
  <c r="H93" i="19"/>
  <c r="I93" i="19" s="1"/>
  <c r="F93" i="19"/>
  <c r="G93" i="19" s="1"/>
  <c r="D93" i="19"/>
  <c r="E93" i="19" s="1"/>
  <c r="C93" i="19"/>
  <c r="B93" i="19"/>
  <c r="A93" i="19"/>
  <c r="Y92" i="19"/>
  <c r="Z92" i="19" s="1"/>
  <c r="X92" i="19"/>
  <c r="W92" i="19"/>
  <c r="P92" i="19"/>
  <c r="O92" i="19"/>
  <c r="N92" i="19"/>
  <c r="L92" i="19"/>
  <c r="M92" i="19" s="1"/>
  <c r="J92" i="19"/>
  <c r="K92" i="19" s="1"/>
  <c r="H92" i="19"/>
  <c r="I92" i="19" s="1"/>
  <c r="F92" i="19"/>
  <c r="G92" i="19" s="1"/>
  <c r="D92" i="19"/>
  <c r="B92" i="19"/>
  <c r="C92" i="19" s="1"/>
  <c r="A92" i="19"/>
  <c r="Y91" i="19"/>
  <c r="Z91" i="19" s="1"/>
  <c r="W91" i="19"/>
  <c r="X91" i="19" s="1"/>
  <c r="P91" i="19"/>
  <c r="O91" i="19"/>
  <c r="N91" i="19"/>
  <c r="M91" i="19"/>
  <c r="L91" i="19"/>
  <c r="K91" i="19"/>
  <c r="J91" i="19"/>
  <c r="I91" i="19"/>
  <c r="H91" i="19"/>
  <c r="A91" i="19"/>
  <c r="Y90" i="19"/>
  <c r="Z90" i="19" s="1"/>
  <c r="W90" i="19"/>
  <c r="X90" i="19" s="1"/>
  <c r="V90" i="19"/>
  <c r="U90" i="19"/>
  <c r="P90" i="19"/>
  <c r="N90" i="19"/>
  <c r="O90" i="19" s="1"/>
  <c r="M90" i="19"/>
  <c r="L90" i="19"/>
  <c r="J90" i="19"/>
  <c r="K90" i="19" s="1"/>
  <c r="I90" i="19"/>
  <c r="H90" i="19"/>
  <c r="F90" i="19"/>
  <c r="G90" i="19" s="1"/>
  <c r="E90" i="19"/>
  <c r="D90" i="19"/>
  <c r="B90" i="19"/>
  <c r="C90" i="19" s="1"/>
  <c r="A90" i="19"/>
  <c r="Y89" i="19"/>
  <c r="Z89" i="19" s="1"/>
  <c r="W89" i="19"/>
  <c r="X89" i="19" s="1"/>
  <c r="U89" i="19"/>
  <c r="V89" i="19" s="1"/>
  <c r="P89" i="19"/>
  <c r="O89" i="19"/>
  <c r="N89" i="19"/>
  <c r="L89" i="19"/>
  <c r="M89" i="19" s="1"/>
  <c r="K89" i="19"/>
  <c r="J89" i="19"/>
  <c r="H89" i="19"/>
  <c r="I89" i="19" s="1"/>
  <c r="G89" i="19"/>
  <c r="F89" i="19"/>
  <c r="D89" i="19"/>
  <c r="E89" i="19" s="1"/>
  <c r="C89" i="19"/>
  <c r="B89" i="19"/>
  <c r="A89" i="19"/>
  <c r="Y88" i="19"/>
  <c r="Z88" i="19" s="1"/>
  <c r="W88" i="19"/>
  <c r="X88" i="19" s="1"/>
  <c r="P88" i="19"/>
  <c r="O88" i="19"/>
  <c r="N88" i="19"/>
  <c r="M88" i="19"/>
  <c r="L88" i="19"/>
  <c r="K88" i="19"/>
  <c r="J88" i="19"/>
  <c r="I88" i="19"/>
  <c r="H88" i="19"/>
  <c r="A88" i="19"/>
  <c r="Y87" i="19"/>
  <c r="Z87" i="19" s="1"/>
  <c r="X87" i="19"/>
  <c r="W87" i="19"/>
  <c r="P87" i="19"/>
  <c r="N87" i="19"/>
  <c r="O87" i="19" s="1"/>
  <c r="M87" i="19"/>
  <c r="L87" i="19"/>
  <c r="J87" i="19"/>
  <c r="K87" i="19" s="1"/>
  <c r="I87" i="19"/>
  <c r="H87" i="19"/>
  <c r="A87" i="19"/>
  <c r="Z86" i="19"/>
  <c r="Y86" i="19"/>
  <c r="W86" i="19"/>
  <c r="X86" i="19" s="1"/>
  <c r="P86" i="19"/>
  <c r="O86" i="19"/>
  <c r="N86" i="19"/>
  <c r="L86" i="19"/>
  <c r="M86" i="19" s="1"/>
  <c r="K86" i="19"/>
  <c r="J86" i="19"/>
  <c r="F86" i="19"/>
  <c r="G86" i="19" s="1"/>
  <c r="A86" i="19"/>
  <c r="Y85" i="19"/>
  <c r="Z85" i="19" s="1"/>
  <c r="W85" i="19"/>
  <c r="X85" i="19" s="1"/>
  <c r="P85" i="19"/>
  <c r="N85" i="19"/>
  <c r="O85" i="19" s="1"/>
  <c r="M85" i="19"/>
  <c r="L85" i="19"/>
  <c r="J85" i="19"/>
  <c r="K85" i="19" s="1"/>
  <c r="G85" i="19"/>
  <c r="F85" i="19"/>
  <c r="A85" i="19"/>
  <c r="Y84" i="19"/>
  <c r="Z84" i="19" s="1"/>
  <c r="W84" i="19"/>
  <c r="X84" i="19" s="1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A84" i="19"/>
  <c r="Y83" i="19"/>
  <c r="Z83" i="19" s="1"/>
  <c r="W83" i="19"/>
  <c r="X83" i="19" s="1"/>
  <c r="P83" i="19"/>
  <c r="O83" i="19"/>
  <c r="N83" i="19"/>
  <c r="M83" i="19"/>
  <c r="L83" i="19"/>
  <c r="K83" i="19"/>
  <c r="J83" i="19"/>
  <c r="G83" i="19"/>
  <c r="F83" i="19"/>
  <c r="A83" i="19"/>
  <c r="Y82" i="19"/>
  <c r="Z82" i="19" s="1"/>
  <c r="X82" i="19"/>
  <c r="W82" i="19"/>
  <c r="P82" i="19"/>
  <c r="N82" i="19"/>
  <c r="O82" i="19" s="1"/>
  <c r="M82" i="19"/>
  <c r="L82" i="19"/>
  <c r="J82" i="19"/>
  <c r="K82" i="19" s="1"/>
  <c r="G82" i="19"/>
  <c r="F82" i="19"/>
  <c r="A82" i="19"/>
  <c r="Y81" i="19"/>
  <c r="Z81" i="19" s="1"/>
  <c r="W81" i="19"/>
  <c r="X81" i="19" s="1"/>
  <c r="P81" i="19"/>
  <c r="O81" i="19"/>
  <c r="N81" i="19"/>
  <c r="L81" i="19"/>
  <c r="M81" i="19" s="1"/>
  <c r="K81" i="19"/>
  <c r="J81" i="19"/>
  <c r="F81" i="19"/>
  <c r="G81" i="19" s="1"/>
  <c r="A81" i="19"/>
  <c r="Y80" i="19"/>
  <c r="Z80" i="19" s="1"/>
  <c r="W80" i="19"/>
  <c r="X80" i="19" s="1"/>
  <c r="U80" i="19"/>
  <c r="V80" i="19" s="1"/>
  <c r="T80" i="19"/>
  <c r="S80" i="19"/>
  <c r="P80" i="19"/>
  <c r="N80" i="19"/>
  <c r="O80" i="19" s="1"/>
  <c r="M80" i="19"/>
  <c r="L80" i="19"/>
  <c r="J80" i="19"/>
  <c r="K80" i="19" s="1"/>
  <c r="I80" i="19"/>
  <c r="H80" i="19"/>
  <c r="F80" i="19"/>
  <c r="G80" i="19" s="1"/>
  <c r="E80" i="19"/>
  <c r="D80" i="19"/>
  <c r="B80" i="19"/>
  <c r="C80" i="19" s="1"/>
  <c r="A80" i="19"/>
  <c r="Y79" i="19"/>
  <c r="Z79" i="19" s="1"/>
  <c r="W79" i="19"/>
  <c r="X79" i="19" s="1"/>
  <c r="U79" i="19"/>
  <c r="V79" i="19" s="1"/>
  <c r="S79" i="19"/>
  <c r="T79" i="19" s="1"/>
  <c r="P79" i="19"/>
  <c r="N79" i="19"/>
  <c r="O79" i="19" s="1"/>
  <c r="M79" i="19"/>
  <c r="L79" i="19"/>
  <c r="J79" i="19"/>
  <c r="K79" i="19" s="1"/>
  <c r="I79" i="19"/>
  <c r="H79" i="19"/>
  <c r="F79" i="19"/>
  <c r="G79" i="19" s="1"/>
  <c r="E79" i="19"/>
  <c r="D79" i="19"/>
  <c r="B79" i="19"/>
  <c r="C79" i="19" s="1"/>
  <c r="A79" i="19"/>
  <c r="Y78" i="19"/>
  <c r="Z78" i="19" s="1"/>
  <c r="W78" i="19"/>
  <c r="X78" i="19" s="1"/>
  <c r="U78" i="19"/>
  <c r="V78" i="19" s="1"/>
  <c r="T78" i="19"/>
  <c r="S78" i="19"/>
  <c r="P78" i="19"/>
  <c r="N78" i="19"/>
  <c r="O78" i="19" s="1"/>
  <c r="M78" i="19"/>
  <c r="L78" i="19"/>
  <c r="J78" i="19"/>
  <c r="K78" i="19" s="1"/>
  <c r="I78" i="19"/>
  <c r="H78" i="19"/>
  <c r="F78" i="19"/>
  <c r="G78" i="19" s="1"/>
  <c r="E78" i="19"/>
  <c r="D78" i="19"/>
  <c r="B78" i="19"/>
  <c r="C78" i="19" s="1"/>
  <c r="A78" i="19"/>
  <c r="Y77" i="19"/>
  <c r="Z77" i="19" s="1"/>
  <c r="W77" i="19"/>
  <c r="X77" i="19" s="1"/>
  <c r="U77" i="19"/>
  <c r="V77" i="19" s="1"/>
  <c r="S77" i="19"/>
  <c r="T77" i="19" s="1"/>
  <c r="Q77" i="19"/>
  <c r="R77" i="19" s="1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A77" i="19"/>
  <c r="Y76" i="19"/>
  <c r="Z76" i="19" s="1"/>
  <c r="W76" i="19"/>
  <c r="X76" i="19" s="1"/>
  <c r="V76" i="19"/>
  <c r="U76" i="19"/>
  <c r="S76" i="19"/>
  <c r="T76" i="19" s="1"/>
  <c r="Q76" i="19"/>
  <c r="R76" i="19" s="1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A76" i="19"/>
  <c r="Y75" i="19"/>
  <c r="Z75" i="19" s="1"/>
  <c r="X75" i="19"/>
  <c r="W75" i="19"/>
  <c r="U75" i="19"/>
  <c r="V75" i="19" s="1"/>
  <c r="S75" i="19"/>
  <c r="T75" i="19" s="1"/>
  <c r="Q75" i="19"/>
  <c r="R75" i="19" s="1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A75" i="19"/>
  <c r="Z74" i="19"/>
  <c r="Y74" i="19"/>
  <c r="W74" i="19"/>
  <c r="X74" i="19" s="1"/>
  <c r="V74" i="19"/>
  <c r="U74" i="19"/>
  <c r="S74" i="19"/>
  <c r="T74" i="19" s="1"/>
  <c r="Q74" i="19"/>
  <c r="R74" i="19" s="1"/>
  <c r="P74" i="19"/>
  <c r="N74" i="19"/>
  <c r="O74" i="19" s="1"/>
  <c r="M74" i="19"/>
  <c r="L74" i="19"/>
  <c r="J74" i="19"/>
  <c r="K74" i="19" s="1"/>
  <c r="I74" i="19"/>
  <c r="H74" i="19"/>
  <c r="F74" i="19"/>
  <c r="G74" i="19" s="1"/>
  <c r="E74" i="19"/>
  <c r="D74" i="19"/>
  <c r="B74" i="19"/>
  <c r="C74" i="19" s="1"/>
  <c r="A74" i="19"/>
  <c r="Y73" i="19"/>
  <c r="Z73" i="19" s="1"/>
  <c r="W73" i="19"/>
  <c r="X73" i="19" s="1"/>
  <c r="U73" i="19"/>
  <c r="V73" i="19" s="1"/>
  <c r="T73" i="19"/>
  <c r="S73" i="19"/>
  <c r="Q73" i="19"/>
  <c r="R73" i="19" s="1"/>
  <c r="P73" i="19"/>
  <c r="O73" i="19"/>
  <c r="N73" i="19"/>
  <c r="L73" i="19"/>
  <c r="M73" i="19" s="1"/>
  <c r="K73" i="19"/>
  <c r="J73" i="19"/>
  <c r="H73" i="19"/>
  <c r="I73" i="19" s="1"/>
  <c r="G73" i="19"/>
  <c r="F73" i="19"/>
  <c r="D73" i="19"/>
  <c r="E73" i="19" s="1"/>
  <c r="C73" i="19"/>
  <c r="B73" i="19"/>
  <c r="A73" i="19"/>
  <c r="Y72" i="19"/>
  <c r="Z72" i="19" s="1"/>
  <c r="W72" i="19"/>
  <c r="X72" i="19" s="1"/>
  <c r="U72" i="19"/>
  <c r="V72" i="19" s="1"/>
  <c r="S72" i="19"/>
  <c r="T72" i="19" s="1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A72" i="19"/>
  <c r="Y71" i="19"/>
  <c r="Z71" i="19" s="1"/>
  <c r="W71" i="19"/>
  <c r="X71" i="19" s="1"/>
  <c r="V71" i="19"/>
  <c r="U71" i="19"/>
  <c r="S71" i="19"/>
  <c r="T71" i="19" s="1"/>
  <c r="P71" i="19"/>
  <c r="O71" i="19"/>
  <c r="N71" i="19"/>
  <c r="L71" i="19"/>
  <c r="M71" i="19" s="1"/>
  <c r="K71" i="19"/>
  <c r="J71" i="19"/>
  <c r="H71" i="19"/>
  <c r="I71" i="19" s="1"/>
  <c r="G71" i="19"/>
  <c r="F71" i="19"/>
  <c r="D71" i="19"/>
  <c r="E71" i="19" s="1"/>
  <c r="C71" i="19"/>
  <c r="B71" i="19"/>
  <c r="A71" i="19"/>
  <c r="Y70" i="19"/>
  <c r="Z70" i="19" s="1"/>
  <c r="W70" i="19"/>
  <c r="X70" i="19" s="1"/>
  <c r="U70" i="19"/>
  <c r="V70" i="19" s="1"/>
  <c r="S70" i="19"/>
  <c r="T70" i="19" s="1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A70" i="19"/>
  <c r="Y69" i="19"/>
  <c r="Z69" i="19" s="1"/>
  <c r="W69" i="19"/>
  <c r="X69" i="19" s="1"/>
  <c r="V69" i="19"/>
  <c r="U69" i="19"/>
  <c r="S69" i="19"/>
  <c r="T69" i="19" s="1"/>
  <c r="Q69" i="19"/>
  <c r="R69" i="19" s="1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A69" i="19"/>
  <c r="Y68" i="19"/>
  <c r="Z68" i="19" s="1"/>
  <c r="X68" i="19"/>
  <c r="W68" i="19"/>
  <c r="U68" i="19"/>
  <c r="V68" i="19" s="1"/>
  <c r="S68" i="19"/>
  <c r="T68" i="19" s="1"/>
  <c r="Q68" i="19"/>
  <c r="R68" i="19" s="1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A68" i="19"/>
  <c r="Z67" i="19"/>
  <c r="Y67" i="19"/>
  <c r="W67" i="19"/>
  <c r="X67" i="19" s="1"/>
  <c r="V67" i="19"/>
  <c r="U67" i="19"/>
  <c r="S67" i="19"/>
  <c r="T67" i="19" s="1"/>
  <c r="Q67" i="19"/>
  <c r="R67" i="19" s="1"/>
  <c r="P67" i="19"/>
  <c r="N67" i="19"/>
  <c r="O67" i="19" s="1"/>
  <c r="M67" i="19"/>
  <c r="L67" i="19"/>
  <c r="J67" i="19"/>
  <c r="K67" i="19" s="1"/>
  <c r="I67" i="19"/>
  <c r="H67" i="19"/>
  <c r="F67" i="19"/>
  <c r="G67" i="19" s="1"/>
  <c r="E67" i="19"/>
  <c r="D67" i="19"/>
  <c r="B67" i="19"/>
  <c r="C67" i="19" s="1"/>
  <c r="A67" i="19"/>
  <c r="Y66" i="19"/>
  <c r="Z66" i="19" s="1"/>
  <c r="W66" i="19"/>
  <c r="X66" i="19" s="1"/>
  <c r="U66" i="19"/>
  <c r="V66" i="19" s="1"/>
  <c r="T66" i="19"/>
  <c r="S66" i="19"/>
  <c r="Q66" i="19"/>
  <c r="R66" i="19" s="1"/>
  <c r="P66" i="19"/>
  <c r="O66" i="19"/>
  <c r="O102" i="19" s="1"/>
  <c r="N66" i="19"/>
  <c r="L66" i="19"/>
  <c r="M66" i="19" s="1"/>
  <c r="K66" i="19"/>
  <c r="J66" i="19"/>
  <c r="H66" i="19"/>
  <c r="I66" i="19" s="1"/>
  <c r="G66" i="19"/>
  <c r="F66" i="19"/>
  <c r="D66" i="19"/>
  <c r="E66" i="19" s="1"/>
  <c r="C66" i="19"/>
  <c r="B66" i="19"/>
  <c r="A66" i="19"/>
  <c r="Y65" i="19"/>
  <c r="Y107" i="19" s="1"/>
  <c r="W65" i="19"/>
  <c r="U65" i="19"/>
  <c r="U107" i="19" s="1"/>
  <c r="T65" i="19"/>
  <c r="S65" i="19"/>
  <c r="Q65" i="19"/>
  <c r="P65" i="19"/>
  <c r="N65" i="19"/>
  <c r="O65" i="19" s="1"/>
  <c r="L65" i="19"/>
  <c r="M65" i="19" s="1"/>
  <c r="M102" i="19" s="1"/>
  <c r="J65" i="19"/>
  <c r="K65" i="19" s="1"/>
  <c r="H65" i="19"/>
  <c r="I65" i="19" s="1"/>
  <c r="F65" i="19"/>
  <c r="E65" i="19"/>
  <c r="D65" i="19"/>
  <c r="B65" i="19"/>
  <c r="A65" i="19"/>
  <c r="AB60" i="19"/>
  <c r="Z60" i="19"/>
  <c r="Y60" i="19"/>
  <c r="B14" i="19" s="1"/>
  <c r="D14" i="19" s="1"/>
  <c r="X60" i="19"/>
  <c r="C13" i="19" s="1"/>
  <c r="W60" i="19"/>
  <c r="V60" i="19"/>
  <c r="U60" i="19"/>
  <c r="B12" i="19" s="1"/>
  <c r="T60" i="19"/>
  <c r="S60" i="19"/>
  <c r="R60" i="19"/>
  <c r="Q60" i="19"/>
  <c r="AB59" i="19"/>
  <c r="AA59" i="19"/>
  <c r="AA57" i="19"/>
  <c r="O55" i="19"/>
  <c r="N55" i="19"/>
  <c r="B8" i="19" s="1"/>
  <c r="D8" i="19" s="1"/>
  <c r="M55" i="19"/>
  <c r="L55" i="19"/>
  <c r="K55" i="19"/>
  <c r="J55" i="19"/>
  <c r="I55" i="19"/>
  <c r="H55" i="19"/>
  <c r="G55" i="19"/>
  <c r="C9" i="19" s="1"/>
  <c r="F55" i="19"/>
  <c r="E55" i="19"/>
  <c r="D55" i="19"/>
  <c r="B4" i="19" s="1"/>
  <c r="C55" i="19"/>
  <c r="B55" i="19"/>
  <c r="AB52" i="19"/>
  <c r="AA52" i="19"/>
  <c r="AB47" i="19"/>
  <c r="AA47" i="19"/>
  <c r="AB43" i="19"/>
  <c r="AA43" i="19"/>
  <c r="AB39" i="19"/>
  <c r="AA39" i="19"/>
  <c r="AB33" i="19"/>
  <c r="AA33" i="19"/>
  <c r="AB25" i="19"/>
  <c r="AA25" i="19"/>
  <c r="AA60" i="19" s="1"/>
  <c r="Z17" i="19"/>
  <c r="Y17" i="19"/>
  <c r="X17" i="19"/>
  <c r="W17" i="19"/>
  <c r="V17" i="19"/>
  <c r="U17" i="19"/>
  <c r="T17" i="19"/>
  <c r="S17" i="19"/>
  <c r="R17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C14" i="19"/>
  <c r="B13" i="19"/>
  <c r="D13" i="19" s="1"/>
  <c r="D12" i="19"/>
  <c r="C12" i="19"/>
  <c r="C11" i="19"/>
  <c r="B11" i="19"/>
  <c r="D11" i="19" s="1"/>
  <c r="C10" i="19"/>
  <c r="B10" i="19"/>
  <c r="D10" i="19" s="1"/>
  <c r="B9" i="19"/>
  <c r="D9" i="19" s="1"/>
  <c r="C8" i="19"/>
  <c r="C7" i="19"/>
  <c r="D7" i="19" s="1"/>
  <c r="B7" i="19"/>
  <c r="C6" i="19"/>
  <c r="B6" i="19"/>
  <c r="D6" i="19" s="1"/>
  <c r="D5" i="19"/>
  <c r="C5" i="19"/>
  <c r="B5" i="19"/>
  <c r="C4" i="19"/>
  <c r="D4" i="19" s="1"/>
  <c r="C3" i="19"/>
  <c r="B3" i="19"/>
  <c r="D3" i="19" s="1"/>
  <c r="E34" i="7"/>
  <c r="Y11" i="8"/>
  <c r="Y13" i="8"/>
  <c r="BE7" i="8"/>
  <c r="E31" i="20"/>
  <c r="D36" i="9"/>
  <c r="H28" i="20"/>
  <c r="I102" i="19" l="1"/>
  <c r="E102" i="19"/>
  <c r="T107" i="19"/>
  <c r="G65" i="19"/>
  <c r="G102" i="19" s="1"/>
  <c r="F102" i="19"/>
  <c r="Q107" i="19"/>
  <c r="H102" i="19"/>
  <c r="B102" i="19"/>
  <c r="C65" i="19"/>
  <c r="C102" i="19" s="1"/>
  <c r="R65" i="19"/>
  <c r="R107" i="19" s="1"/>
  <c r="V65" i="19"/>
  <c r="V107" i="19" s="1"/>
  <c r="J102" i="19"/>
  <c r="S107" i="19"/>
  <c r="K102" i="19"/>
  <c r="L102" i="19"/>
  <c r="Z65" i="19"/>
  <c r="Z107" i="19" s="1"/>
  <c r="N102" i="19"/>
  <c r="X65" i="19"/>
  <c r="X107" i="19" s="1"/>
  <c r="W107" i="19"/>
  <c r="D33" i="7"/>
  <c r="H33" i="7" s="1"/>
  <c r="D32" i="7"/>
  <c r="I32" i="7" s="1"/>
  <c r="G33" i="7"/>
  <c r="G32" i="7"/>
  <c r="I33" i="7" l="1"/>
  <c r="H32" i="7"/>
  <c r="D5" i="15"/>
  <c r="D10" i="13" l="1"/>
  <c r="J10" i="13" s="1"/>
  <c r="D5" i="13"/>
  <c r="H10" i="13"/>
  <c r="G10" i="13"/>
  <c r="I10" i="13" l="1"/>
  <c r="D5" i="21" l="1"/>
  <c r="H9" i="20" l="1"/>
  <c r="H8" i="20"/>
  <c r="H7" i="20"/>
  <c r="H6" i="20"/>
  <c r="H5" i="20"/>
  <c r="H6" i="21"/>
  <c r="H5" i="21"/>
  <c r="H7" i="21"/>
  <c r="H12" i="21" l="1"/>
  <c r="K19" i="21"/>
  <c r="M12" i="21"/>
  <c r="F12" i="21"/>
  <c r="E12" i="21"/>
  <c r="G7" i="21"/>
  <c r="D7" i="21"/>
  <c r="J7" i="21" s="1"/>
  <c r="G6" i="21"/>
  <c r="D6" i="21"/>
  <c r="I6" i="21" s="1"/>
  <c r="G5" i="21"/>
  <c r="J5" i="21"/>
  <c r="E12" i="20"/>
  <c r="I7" i="21" l="1"/>
  <c r="G12" i="21"/>
  <c r="D12" i="21"/>
  <c r="I12" i="21" s="1"/>
  <c r="I5" i="21"/>
  <c r="J6" i="21"/>
  <c r="J12" i="21" l="1"/>
  <c r="M12" i="20" l="1"/>
  <c r="K19" i="20"/>
  <c r="F12" i="20"/>
  <c r="G12" i="20" s="1"/>
  <c r="I11" i="20"/>
  <c r="H11" i="20"/>
  <c r="G11" i="20"/>
  <c r="J11" i="20"/>
  <c r="I10" i="20"/>
  <c r="H10" i="20"/>
  <c r="G10" i="20"/>
  <c r="J10" i="20"/>
  <c r="G9" i="20"/>
  <c r="D9" i="20"/>
  <c r="J9" i="20" s="1"/>
  <c r="G8" i="20"/>
  <c r="D8" i="20"/>
  <c r="I8" i="20" s="1"/>
  <c r="G7" i="20"/>
  <c r="D7" i="20"/>
  <c r="J7" i="20" s="1"/>
  <c r="G6" i="20"/>
  <c r="D6" i="20"/>
  <c r="J6" i="20" s="1"/>
  <c r="G5" i="20"/>
  <c r="D5" i="20"/>
  <c r="J5" i="20" s="1"/>
  <c r="I9" i="20" l="1"/>
  <c r="I7" i="20"/>
  <c r="I6" i="20"/>
  <c r="I5" i="20"/>
  <c r="J8" i="20"/>
  <c r="D12" i="20"/>
  <c r="J12" i="20" l="1"/>
  <c r="I12" i="20"/>
  <c r="D9" i="8"/>
  <c r="F8" i="14"/>
  <c r="E8" i="14"/>
  <c r="E35" i="9"/>
  <c r="F29" i="8"/>
  <c r="E29" i="8"/>
  <c r="F7" i="15"/>
  <c r="F12" i="12"/>
  <c r="F13" i="13"/>
  <c r="D30" i="7"/>
  <c r="I30" i="7" s="1"/>
  <c r="G34" i="7"/>
  <c r="D31" i="7"/>
  <c r="I31" i="7" s="1"/>
  <c r="D29" i="7"/>
  <c r="G31" i="7"/>
  <c r="G30" i="7"/>
  <c r="G5" i="15"/>
  <c r="H30" i="7" l="1"/>
  <c r="H3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5" i="7"/>
  <c r="G6" i="13"/>
  <c r="G7" i="13"/>
  <c r="G8" i="13"/>
  <c r="G9" i="13"/>
  <c r="G11" i="13"/>
  <c r="G12" i="13"/>
  <c r="G5" i="13"/>
  <c r="J9" i="12"/>
  <c r="J10" i="12"/>
  <c r="J11" i="12"/>
  <c r="G6" i="12"/>
  <c r="G7" i="12"/>
  <c r="G8" i="12"/>
  <c r="G9" i="12"/>
  <c r="G10" i="12"/>
  <c r="G11" i="12"/>
  <c r="G5" i="12"/>
  <c r="G6" i="15"/>
  <c r="G7" i="15"/>
  <c r="H3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5" i="9"/>
  <c r="G7" i="14"/>
  <c r="G6" i="14"/>
  <c r="I20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5" i="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5" i="17"/>
  <c r="G29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5" i="17"/>
  <c r="E29" i="17"/>
  <c r="D28" i="17"/>
  <c r="H28" i="17" s="1"/>
  <c r="H27" i="17"/>
  <c r="D27" i="17"/>
  <c r="AO26" i="17"/>
  <c r="Q26" i="17"/>
  <c r="D26" i="17"/>
  <c r="H26" i="17" s="1"/>
  <c r="AO25" i="17"/>
  <c r="Q25" i="17"/>
  <c r="H25" i="17"/>
  <c r="D25" i="17"/>
  <c r="AO24" i="17"/>
  <c r="Q24" i="17"/>
  <c r="N37" i="17" s="1"/>
  <c r="P37" i="17" s="1"/>
  <c r="D24" i="17"/>
  <c r="H24" i="17" s="1"/>
  <c r="AO23" i="17"/>
  <c r="Q23" i="17"/>
  <c r="N10" i="17" s="1"/>
  <c r="H23" i="17"/>
  <c r="D23" i="17"/>
  <c r="AO22" i="17"/>
  <c r="Q22" i="17"/>
  <c r="D22" i="17"/>
  <c r="H22" i="17" s="1"/>
  <c r="BE21" i="17"/>
  <c r="AO21" i="17"/>
  <c r="Q21" i="17"/>
  <c r="N8" i="17" s="1"/>
  <c r="P8" i="17" s="1"/>
  <c r="H21" i="17"/>
  <c r="D21" i="17"/>
  <c r="BU20" i="17"/>
  <c r="BE20" i="17"/>
  <c r="AO20" i="17"/>
  <c r="Q20" i="17"/>
  <c r="D20" i="17"/>
  <c r="H20" i="17" s="1"/>
  <c r="BU19" i="17"/>
  <c r="BE19" i="17"/>
  <c r="AO19" i="17"/>
  <c r="D19" i="17"/>
  <c r="H19" i="17" s="1"/>
  <c r="BT18" i="17"/>
  <c r="BS18" i="17"/>
  <c r="D11" i="17" s="1"/>
  <c r="BR18" i="17"/>
  <c r="BE18" i="17"/>
  <c r="AO18" i="17"/>
  <c r="H18" i="17"/>
  <c r="D18" i="17"/>
  <c r="BU17" i="17"/>
  <c r="BE17" i="17"/>
  <c r="AO17" i="17"/>
  <c r="H17" i="17"/>
  <c r="D17" i="17"/>
  <c r="BU16" i="17"/>
  <c r="BE16" i="17"/>
  <c r="AO16" i="17"/>
  <c r="Y16" i="17"/>
  <c r="D16" i="17"/>
  <c r="H16" i="17" s="1"/>
  <c r="BU15" i="17"/>
  <c r="BE15" i="17"/>
  <c r="AO15" i="17"/>
  <c r="Y15" i="17"/>
  <c r="D15" i="17"/>
  <c r="H15" i="17" s="1"/>
  <c r="BU14" i="17"/>
  <c r="BE14" i="17"/>
  <c r="AO14" i="17"/>
  <c r="Y14" i="17"/>
  <c r="D14" i="17"/>
  <c r="H14" i="17" s="1"/>
  <c r="BU13" i="17"/>
  <c r="BE13" i="17"/>
  <c r="AO13" i="17"/>
  <c r="Y13" i="17"/>
  <c r="O13" i="17"/>
  <c r="O5" i="17" s="1"/>
  <c r="H13" i="17"/>
  <c r="D13" i="17"/>
  <c r="BU12" i="17"/>
  <c r="BE12" i="17"/>
  <c r="AO12" i="17"/>
  <c r="Y12" i="17"/>
  <c r="BT11" i="17"/>
  <c r="BS11" i="17"/>
  <c r="D12" i="17" s="1"/>
  <c r="H12" i="17" s="1"/>
  <c r="BR11" i="17"/>
  <c r="BE11" i="17"/>
  <c r="AO11" i="17"/>
  <c r="Y11" i="17"/>
  <c r="O11" i="17"/>
  <c r="P11" i="17" s="1"/>
  <c r="N11" i="17"/>
  <c r="BU10" i="17"/>
  <c r="BE10" i="17"/>
  <c r="AW10" i="17"/>
  <c r="AO10" i="17"/>
  <c r="Y10" i="17"/>
  <c r="O10" i="17"/>
  <c r="D10" i="17"/>
  <c r="H10" i="17" s="1"/>
  <c r="BU9" i="17"/>
  <c r="BE9" i="17"/>
  <c r="AW9" i="17"/>
  <c r="AO9" i="17"/>
  <c r="Y9" i="17"/>
  <c r="N9" i="17"/>
  <c r="P9" i="17" s="1"/>
  <c r="H9" i="17"/>
  <c r="D9" i="17"/>
  <c r="BU8" i="17"/>
  <c r="BM8" i="17"/>
  <c r="BE8" i="17"/>
  <c r="AW8" i="17"/>
  <c r="AO8" i="17"/>
  <c r="AG8" i="17"/>
  <c r="Y8" i="17"/>
  <c r="O8" i="17"/>
  <c r="D8" i="17"/>
  <c r="H8" i="17" s="1"/>
  <c r="BU7" i="17"/>
  <c r="BM7" i="17"/>
  <c r="BE7" i="17"/>
  <c r="AW7" i="17"/>
  <c r="AO7" i="17"/>
  <c r="AG7" i="17"/>
  <c r="Y7" i="17"/>
  <c r="O7" i="17"/>
  <c r="N7" i="17"/>
  <c r="H7" i="17"/>
  <c r="D7" i="17"/>
  <c r="BU6" i="17"/>
  <c r="BM6" i="17"/>
  <c r="BE6" i="17"/>
  <c r="AW6" i="17"/>
  <c r="AO6" i="17"/>
  <c r="AG6" i="17"/>
  <c r="H6" i="17"/>
  <c r="D6" i="17"/>
  <c r="BU5" i="17"/>
  <c r="BM5" i="17"/>
  <c r="BE5" i="17"/>
  <c r="AW5" i="17"/>
  <c r="AO5" i="17"/>
  <c r="AG5" i="17"/>
  <c r="Y5" i="17"/>
  <c r="D5" i="17"/>
  <c r="H5" i="17" s="1"/>
  <c r="D28" i="8"/>
  <c r="H28" i="8" s="1"/>
  <c r="D27" i="8"/>
  <c r="H27" i="8" s="1"/>
  <c r="D26" i="8"/>
  <c r="I26" i="8" s="1"/>
  <c r="BE14" i="8"/>
  <c r="BE13" i="8"/>
  <c r="D25" i="8"/>
  <c r="I25" i="8" s="1"/>
  <c r="D24" i="8"/>
  <c r="I24" i="8" s="1"/>
  <c r="D22" i="8"/>
  <c r="I22" i="8" s="1"/>
  <c r="BE10" i="8"/>
  <c r="BE9" i="8"/>
  <c r="D21" i="8"/>
  <c r="I21" i="8" s="1"/>
  <c r="D20" i="8"/>
  <c r="D19" i="8"/>
  <c r="I19" i="8" s="1"/>
  <c r="D18" i="8"/>
  <c r="I18" i="8" s="1"/>
  <c r="D17" i="8"/>
  <c r="I17" i="8" s="1"/>
  <c r="I9" i="8"/>
  <c r="D8" i="8"/>
  <c r="I8" i="8" s="1"/>
  <c r="BU16" i="8"/>
  <c r="BU17" i="8"/>
  <c r="D16" i="8"/>
  <c r="H16" i="8" s="1"/>
  <c r="AO16" i="8"/>
  <c r="BE20" i="8"/>
  <c r="D13" i="8"/>
  <c r="H13" i="8" s="1"/>
  <c r="D6" i="8"/>
  <c r="H6" i="8" s="1"/>
  <c r="G29" i="8"/>
  <c r="BE21" i="8"/>
  <c r="BE19" i="8"/>
  <c r="BE18" i="8"/>
  <c r="BU20" i="8"/>
  <c r="BU19" i="8"/>
  <c r="D7" i="14"/>
  <c r="I7" i="14" s="1"/>
  <c r="D5" i="14"/>
  <c r="D6" i="14"/>
  <c r="I6" i="14" s="1"/>
  <c r="I16" i="8" l="1"/>
  <c r="I13" i="8"/>
  <c r="I28" i="8"/>
  <c r="I27" i="8"/>
  <c r="I6" i="8"/>
  <c r="P10" i="17"/>
  <c r="N3" i="17"/>
  <c r="H11" i="17"/>
  <c r="P5" i="17"/>
  <c r="O12" i="17"/>
  <c r="P12" i="17" s="1"/>
  <c r="N12" i="17"/>
  <c r="P7" i="17"/>
  <c r="D29" i="17"/>
  <c r="H29" i="17" s="1"/>
  <c r="D5" i="7"/>
  <c r="AO5" i="8"/>
  <c r="AO6" i="8"/>
  <c r="AO7" i="8"/>
  <c r="AO8" i="8"/>
  <c r="AO9" i="8"/>
  <c r="AO10" i="8"/>
  <c r="AO11" i="8"/>
  <c r="AO12" i="8"/>
  <c r="AO13" i="8"/>
  <c r="AO14" i="8"/>
  <c r="AO15" i="8"/>
  <c r="AO17" i="8"/>
  <c r="AO18" i="8"/>
  <c r="AO19" i="8"/>
  <c r="AO20" i="8"/>
  <c r="AO21" i="8"/>
  <c r="AO22" i="8"/>
  <c r="AO23" i="8"/>
  <c r="AO24" i="8"/>
  <c r="AO25" i="8"/>
  <c r="AO26" i="8"/>
  <c r="AG6" i="8"/>
  <c r="AW6" i="8"/>
  <c r="BE6" i="8"/>
  <c r="BM6" i="8"/>
  <c r="BU6" i="8"/>
  <c r="D17" i="7"/>
  <c r="I17" i="7" s="1"/>
  <c r="D18" i="7"/>
  <c r="I18" i="7" s="1"/>
  <c r="D19" i="7"/>
  <c r="I19" i="7" s="1"/>
  <c r="D20" i="7"/>
  <c r="I20" i="7" s="1"/>
  <c r="I5" i="7" l="1"/>
  <c r="D5" i="8"/>
  <c r="D11" i="7"/>
  <c r="H5" i="8" l="1"/>
  <c r="I5" i="8"/>
  <c r="H11" i="7"/>
  <c r="I11" i="7"/>
  <c r="D9" i="7"/>
  <c r="I9" i="7" s="1"/>
  <c r="E38" i="7" l="1"/>
  <c r="D7" i="7"/>
  <c r="I7" i="7" s="1"/>
  <c r="I29" i="7" l="1"/>
  <c r="Y5" i="8"/>
  <c r="D6" i="7" l="1"/>
  <c r="D22" i="7"/>
  <c r="I22" i="7" s="1"/>
  <c r="D13" i="7"/>
  <c r="I13" i="7" s="1"/>
  <c r="D15" i="7"/>
  <c r="I15" i="7" s="1"/>
  <c r="D14" i="7"/>
  <c r="I14" i="7" s="1"/>
  <c r="D9" i="13"/>
  <c r="J9" i="13" s="1"/>
  <c r="H6" i="13"/>
  <c r="H7" i="13"/>
  <c r="H8" i="13"/>
  <c r="H9" i="13"/>
  <c r="H11" i="13"/>
  <c r="H12" i="13"/>
  <c r="H5" i="13"/>
  <c r="H6" i="12"/>
  <c r="H7" i="12"/>
  <c r="H8" i="12"/>
  <c r="H5" i="12"/>
  <c r="H5" i="15"/>
  <c r="I6" i="7" l="1"/>
  <c r="H5" i="7"/>
  <c r="I233" i="9"/>
  <c r="I236" i="9" l="1"/>
  <c r="I235" i="9"/>
  <c r="I234" i="9"/>
  <c r="I232" i="9"/>
  <c r="I209" i="9"/>
  <c r="I201" i="9"/>
  <c r="I202" i="9"/>
  <c r="I203" i="9"/>
  <c r="I204" i="9"/>
  <c r="I205" i="9"/>
  <c r="I193" i="9"/>
  <c r="I192" i="9"/>
  <c r="I191" i="9"/>
  <c r="J232" i="9" l="1"/>
  <c r="K232" i="9" s="1"/>
  <c r="L232" i="9" s="1"/>
  <c r="C31" i="9" s="1"/>
  <c r="J235" i="9"/>
  <c r="K235" i="9" s="1"/>
  <c r="L235" i="9" s="1"/>
  <c r="C32" i="9" s="1"/>
  <c r="H32" i="9" s="1"/>
  <c r="I230" i="9"/>
  <c r="I231" i="9"/>
  <c r="G31" i="9" l="1"/>
  <c r="H31" i="9"/>
  <c r="J230" i="9"/>
  <c r="K230" i="9" s="1"/>
  <c r="L230" i="9" s="1"/>
  <c r="G32" i="9" l="1"/>
  <c r="C30" i="9"/>
  <c r="G30" i="9" l="1"/>
  <c r="H30" i="9"/>
  <c r="H7" i="14"/>
  <c r="D8" i="13"/>
  <c r="J8" i="13" s="1"/>
  <c r="G8" i="14" l="1"/>
  <c r="D6" i="15" l="1"/>
  <c r="J6" i="15" s="1"/>
  <c r="J5" i="15" l="1"/>
  <c r="I5" i="15"/>
  <c r="I223" i="9"/>
  <c r="I226" i="9"/>
  <c r="I225" i="9"/>
  <c r="I224" i="9"/>
  <c r="I229" i="9"/>
  <c r="I228" i="9"/>
  <c r="I227" i="9"/>
  <c r="J227" i="9" l="1"/>
  <c r="J223" i="9"/>
  <c r="K223" i="9" l="1"/>
  <c r="L223" i="9" s="1"/>
  <c r="C28" i="9" s="1"/>
  <c r="K227" i="9"/>
  <c r="L227" i="9" s="1"/>
  <c r="C29" i="9" s="1"/>
  <c r="G29" i="9" l="1"/>
  <c r="H29" i="9"/>
  <c r="G28" i="9"/>
  <c r="H28" i="9"/>
  <c r="H8" i="8"/>
  <c r="O11" i="8" l="1"/>
  <c r="O10" i="8"/>
  <c r="O8" i="8"/>
  <c r="O7" i="8"/>
  <c r="K20" i="13" l="1"/>
  <c r="E13" i="13"/>
  <c r="G13" i="13" s="1"/>
  <c r="Q20" i="8" l="1"/>
  <c r="Q21" i="8"/>
  <c r="Q22" i="8"/>
  <c r="Q23" i="8"/>
  <c r="M13" i="13" l="1"/>
  <c r="I6" i="15" l="1"/>
  <c r="D7" i="15"/>
  <c r="I7" i="15" l="1"/>
  <c r="J7" i="15"/>
  <c r="O13" i="8"/>
  <c r="O5" i="8" s="1"/>
  <c r="P5" i="8" s="1"/>
  <c r="H5" i="14" l="1"/>
  <c r="D8" i="14" l="1"/>
  <c r="I8" i="14" s="1"/>
  <c r="H6" i="14"/>
  <c r="H8" i="14" l="1"/>
  <c r="D23" i="8" l="1"/>
  <c r="I23" i="8" s="1"/>
  <c r="D14" i="8"/>
  <c r="I14" i="8" s="1"/>
  <c r="D10" i="8"/>
  <c r="I10" i="8" s="1"/>
  <c r="H9" i="8"/>
  <c r="D11" i="13" l="1"/>
  <c r="J11" i="13" s="1"/>
  <c r="I11" i="13" l="1"/>
  <c r="D12" i="13"/>
  <c r="I12" i="13" l="1"/>
  <c r="J12" i="13"/>
  <c r="D28" i="7"/>
  <c r="I28" i="7" s="1"/>
  <c r="BE17" i="8" l="1"/>
  <c r="D7" i="8" l="1"/>
  <c r="H7" i="8" l="1"/>
  <c r="I7" i="8"/>
  <c r="N10" i="8"/>
  <c r="N9" i="8"/>
  <c r="N8" i="8"/>
  <c r="N7" i="8"/>
  <c r="Q26" i="8"/>
  <c r="N11" i="8" s="1"/>
  <c r="D15" i="8" l="1"/>
  <c r="I15" i="8" s="1"/>
  <c r="BE8" i="8" l="1"/>
  <c r="BT18" i="8" l="1"/>
  <c r="BS18" i="8"/>
  <c r="BR18" i="8"/>
  <c r="BS11" i="8"/>
  <c r="BT11" i="8"/>
  <c r="BR11" i="8"/>
  <c r="D12" i="7"/>
  <c r="I12" i="7" s="1"/>
  <c r="D12" i="8" l="1"/>
  <c r="I12" i="8" s="1"/>
  <c r="D11" i="8"/>
  <c r="BE16" i="8"/>
  <c r="BE15" i="8"/>
  <c r="BE12" i="8"/>
  <c r="BE11" i="8"/>
  <c r="BE5" i="8"/>
  <c r="AG8" i="8"/>
  <c r="AG7" i="8"/>
  <c r="AG5" i="8"/>
  <c r="BU15" i="8"/>
  <c r="BU14" i="8"/>
  <c r="BU13" i="8"/>
  <c r="BU12" i="8"/>
  <c r="BU10" i="8"/>
  <c r="BU9" i="8"/>
  <c r="BU8" i="8"/>
  <c r="BU7" i="8"/>
  <c r="BU5" i="8"/>
  <c r="BM8" i="8"/>
  <c r="BM7" i="8"/>
  <c r="BM5" i="8"/>
  <c r="AW10" i="8"/>
  <c r="AW9" i="8"/>
  <c r="AW8" i="8"/>
  <c r="AW7" i="8"/>
  <c r="AW5" i="8"/>
  <c r="I11" i="8" l="1"/>
  <c r="D29" i="8"/>
  <c r="Y7" i="8"/>
  <c r="O12" i="8" l="1"/>
  <c r="D10" i="7"/>
  <c r="I10" i="7" l="1"/>
  <c r="H10" i="7"/>
  <c r="Q24" i="8"/>
  <c r="Q25" i="8"/>
  <c r="N37" i="8" l="1"/>
  <c r="P37" i="8" s="1"/>
  <c r="E39" i="7" l="1"/>
  <c r="H26" i="8"/>
  <c r="D23" i="7"/>
  <c r="I23" i="7" s="1"/>
  <c r="D21" i="7"/>
  <c r="I21" i="7" s="1"/>
  <c r="D8" i="12" l="1"/>
  <c r="J8" i="12" s="1"/>
  <c r="H29" i="7" l="1"/>
  <c r="E15" i="12" l="1"/>
  <c r="E14" i="12"/>
  <c r="E12" i="12"/>
  <c r="G12" i="12" s="1"/>
  <c r="D7" i="12" l="1"/>
  <c r="D6" i="12"/>
  <c r="J6" i="12" s="1"/>
  <c r="D5" i="12"/>
  <c r="J5" i="12" s="1"/>
  <c r="D27" i="7"/>
  <c r="I27" i="7" s="1"/>
  <c r="D26" i="7"/>
  <c r="I26" i="7" s="1"/>
  <c r="D25" i="7"/>
  <c r="I25" i="7" s="1"/>
  <c r="D24" i="7"/>
  <c r="I24" i="7" s="1"/>
  <c r="D16" i="7"/>
  <c r="D8" i="7"/>
  <c r="D7" i="13"/>
  <c r="J7" i="13" s="1"/>
  <c r="D6" i="13"/>
  <c r="J6" i="13" s="1"/>
  <c r="J5" i="13"/>
  <c r="D37" i="7" l="1"/>
  <c r="D15" i="12"/>
  <c r="J7" i="12"/>
  <c r="I8" i="7"/>
  <c r="D34" i="7"/>
  <c r="I34" i="7" s="1"/>
  <c r="I16" i="7"/>
  <c r="D39" i="7"/>
  <c r="D38" i="7"/>
  <c r="D13" i="13"/>
  <c r="D12" i="12"/>
  <c r="D14" i="12"/>
  <c r="I14" i="12" s="1"/>
  <c r="I9" i="13"/>
  <c r="I8" i="13"/>
  <c r="I7" i="13"/>
  <c r="I6" i="13"/>
  <c r="I13" i="13" l="1"/>
  <c r="J13" i="13"/>
  <c r="I12" i="12"/>
  <c r="J12" i="12"/>
  <c r="I5" i="13"/>
  <c r="I11" i="12" l="1"/>
  <c r="I9" i="12"/>
  <c r="I8" i="12"/>
  <c r="I7" i="12"/>
  <c r="I15" i="12" l="1"/>
  <c r="I5" i="12"/>
  <c r="I6" i="12"/>
  <c r="I10" i="12"/>
  <c r="H25" i="8" l="1"/>
  <c r="H24" i="8"/>
  <c r="I222" i="9" l="1"/>
  <c r="I221" i="9"/>
  <c r="I220" i="9"/>
  <c r="I219" i="9"/>
  <c r="I218" i="9"/>
  <c r="I217" i="9"/>
  <c r="I216" i="9"/>
  <c r="I215" i="9"/>
  <c r="I214" i="9"/>
  <c r="I213" i="9"/>
  <c r="I212" i="9"/>
  <c r="I211" i="9"/>
  <c r="I210" i="9"/>
  <c r="I208" i="9"/>
  <c r="I207" i="9"/>
  <c r="I206" i="9"/>
  <c r="I200" i="9"/>
  <c r="I199" i="9"/>
  <c r="I198" i="9"/>
  <c r="I197" i="9"/>
  <c r="I196" i="9"/>
  <c r="J196" i="9" s="1"/>
  <c r="K196" i="9" s="1"/>
  <c r="L196" i="9" s="1"/>
  <c r="C23" i="9" s="1"/>
  <c r="I195" i="9"/>
  <c r="I194" i="9"/>
  <c r="I190" i="9"/>
  <c r="I189" i="9"/>
  <c r="I188" i="9"/>
  <c r="I187" i="9"/>
  <c r="I186" i="9"/>
  <c r="I185" i="9"/>
  <c r="I39" i="9"/>
  <c r="H23" i="8"/>
  <c r="H22" i="8"/>
  <c r="H28" i="7"/>
  <c r="H27" i="7"/>
  <c r="G23" i="9" l="1"/>
  <c r="H23" i="9"/>
  <c r="J210" i="9"/>
  <c r="K210" i="9" s="1"/>
  <c r="L210" i="9" s="1"/>
  <c r="C26" i="9" s="1"/>
  <c r="J216" i="9"/>
  <c r="K216" i="9" s="1"/>
  <c r="L216" i="9" s="1"/>
  <c r="C27" i="9" s="1"/>
  <c r="M185" i="9"/>
  <c r="N185" i="9" s="1"/>
  <c r="O185" i="9" s="1"/>
  <c r="J190" i="9"/>
  <c r="K190" i="9" s="1"/>
  <c r="L190" i="9" s="1"/>
  <c r="C22" i="9" s="1"/>
  <c r="J208" i="9"/>
  <c r="K208" i="9" s="1"/>
  <c r="L208" i="9" s="1"/>
  <c r="C25" i="9" s="1"/>
  <c r="H25" i="9" s="1"/>
  <c r="J200" i="9"/>
  <c r="K200" i="9" s="1"/>
  <c r="L200" i="9" s="1"/>
  <c r="J185" i="9"/>
  <c r="P11" i="8"/>
  <c r="G27" i="9" l="1"/>
  <c r="H27" i="9"/>
  <c r="G26" i="9"/>
  <c r="H26" i="9"/>
  <c r="G22" i="9"/>
  <c r="H22" i="9"/>
  <c r="C24" i="9"/>
  <c r="K185" i="9"/>
  <c r="L185" i="9" s="1"/>
  <c r="C21" i="9" s="1"/>
  <c r="H6" i="7"/>
  <c r="G21" i="9" l="1"/>
  <c r="H21" i="9"/>
  <c r="G24" i="9"/>
  <c r="H24" i="9"/>
  <c r="E37" i="7"/>
  <c r="I171" i="9" l="1"/>
  <c r="I172" i="9"/>
  <c r="M171" i="9" l="1"/>
  <c r="N171" i="9" s="1"/>
  <c r="N12" i="8"/>
  <c r="P12" i="8" s="1"/>
  <c r="J165" i="9"/>
  <c r="P10" i="8"/>
  <c r="P8" i="8"/>
  <c r="P7" i="8"/>
  <c r="N3" i="8" l="1"/>
  <c r="I29" i="8"/>
  <c r="P9" i="8"/>
  <c r="Y16" i="8"/>
  <c r="Y15" i="8"/>
  <c r="Y14" i="8"/>
  <c r="Y12" i="8"/>
  <c r="Y10" i="8"/>
  <c r="Y9" i="8"/>
  <c r="Y8" i="8"/>
  <c r="H25" i="7"/>
  <c r="H26" i="7"/>
  <c r="I144" i="9"/>
  <c r="I178" i="9" l="1"/>
  <c r="I177" i="9"/>
  <c r="I176" i="9"/>
  <c r="I175" i="9"/>
  <c r="I174" i="9"/>
  <c r="I173" i="9"/>
  <c r="I161" i="9"/>
  <c r="I158" i="9"/>
  <c r="J146" i="9" s="1"/>
  <c r="K146" i="9" s="1"/>
  <c r="L146" i="9" s="1"/>
  <c r="O171" i="9"/>
  <c r="H19" i="9" s="1"/>
  <c r="I118" i="9"/>
  <c r="I117" i="9"/>
  <c r="I116" i="9"/>
  <c r="I115" i="9"/>
  <c r="I114" i="9"/>
  <c r="I113" i="9"/>
  <c r="K165" i="9"/>
  <c r="L165" i="9" s="1"/>
  <c r="I143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J99" i="9" s="1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5" i="9"/>
  <c r="I44" i="9"/>
  <c r="I43" i="9"/>
  <c r="I42" i="9"/>
  <c r="I41" i="9"/>
  <c r="I40" i="9"/>
  <c r="J173" i="9" l="1"/>
  <c r="K173" i="9" s="1"/>
  <c r="L173" i="9" s="1"/>
  <c r="C20" i="9" s="1"/>
  <c r="H20" i="9" s="1"/>
  <c r="J94" i="9"/>
  <c r="K94" i="9" s="1"/>
  <c r="L94" i="9" s="1"/>
  <c r="H12" i="9" s="1"/>
  <c r="J113" i="9"/>
  <c r="K113" i="9" s="1"/>
  <c r="L113" i="9" s="1"/>
  <c r="M132" i="9"/>
  <c r="N132" i="9" s="1"/>
  <c r="O132" i="9" s="1"/>
  <c r="C15" i="9" s="1"/>
  <c r="H15" i="9" s="1"/>
  <c r="J126" i="9"/>
  <c r="K126" i="9" s="1"/>
  <c r="L126" i="9" s="1"/>
  <c r="J142" i="9"/>
  <c r="K142" i="9" s="1"/>
  <c r="L142" i="9" s="1"/>
  <c r="C17" i="9" s="1"/>
  <c r="H17" i="9" s="1"/>
  <c r="J45" i="9"/>
  <c r="K45" i="9" s="1"/>
  <c r="L45" i="9" s="1"/>
  <c r="M45" i="9"/>
  <c r="N45" i="9" s="1"/>
  <c r="O45" i="9" s="1"/>
  <c r="C6" i="9" s="1"/>
  <c r="H6" i="9" s="1"/>
  <c r="M105" i="9"/>
  <c r="N105" i="9" s="1"/>
  <c r="O105" i="9" s="1"/>
  <c r="J39" i="9"/>
  <c r="M119" i="9"/>
  <c r="N119" i="9" s="1"/>
  <c r="O119" i="9" s="1"/>
  <c r="J59" i="9"/>
  <c r="K59" i="9" s="1"/>
  <c r="L59" i="9" s="1"/>
  <c r="J65" i="9"/>
  <c r="K65" i="9" s="1"/>
  <c r="L65" i="9" s="1"/>
  <c r="H8" i="9" s="1"/>
  <c r="J77" i="9"/>
  <c r="K77" i="9" s="1"/>
  <c r="K99" i="9"/>
  <c r="L99" i="9" s="1"/>
  <c r="J111" i="9"/>
  <c r="K111" i="9" s="1"/>
  <c r="L111" i="9" s="1"/>
  <c r="J80" i="9"/>
  <c r="K80" i="9" s="1"/>
  <c r="L80" i="9" s="1"/>
  <c r="C18" i="9"/>
  <c r="H18" i="9" s="1"/>
  <c r="J86" i="9"/>
  <c r="K86" i="9" s="1"/>
  <c r="J105" i="9"/>
  <c r="K105" i="9" s="1"/>
  <c r="L105" i="9" s="1"/>
  <c r="H16" i="9" s="1"/>
  <c r="G14" i="9" l="1"/>
  <c r="H14" i="9"/>
  <c r="G13" i="9"/>
  <c r="H13" i="9"/>
  <c r="L86" i="9"/>
  <c r="L77" i="9"/>
  <c r="G25" i="9"/>
  <c r="K39" i="9"/>
  <c r="L39" i="9" s="1"/>
  <c r="C5" i="9" s="1"/>
  <c r="H5" i="9" s="1"/>
  <c r="C10" i="9"/>
  <c r="H10" i="9" s="1"/>
  <c r="C7" i="9"/>
  <c r="H7" i="9" s="1"/>
  <c r="C11" i="9"/>
  <c r="H11" i="9" s="1"/>
  <c r="C9" i="9"/>
  <c r="H9" i="9" s="1"/>
  <c r="G20" i="9"/>
  <c r="H23" i="7"/>
  <c r="H24" i="7"/>
  <c r="G19" i="9"/>
  <c r="H21" i="8"/>
  <c r="G18" i="9"/>
  <c r="H39" i="7" l="1"/>
  <c r="H37" i="7"/>
  <c r="H34" i="7"/>
  <c r="H38" i="7"/>
  <c r="H20" i="8"/>
  <c r="H19" i="7" l="1"/>
  <c r="H22" i="7" l="1"/>
  <c r="G16" i="9" l="1"/>
  <c r="G12" i="9"/>
  <c r="G17" i="9"/>
  <c r="G11" i="9"/>
  <c r="G6" i="9"/>
  <c r="G8" i="9"/>
  <c r="G10" i="9"/>
  <c r="G9" i="9"/>
  <c r="G7" i="9"/>
  <c r="G5" i="9"/>
  <c r="G15" i="9"/>
  <c r="H12" i="8"/>
  <c r="H18" i="8"/>
  <c r="H14" i="8"/>
  <c r="H10" i="8"/>
  <c r="H21" i="7"/>
  <c r="H20" i="7"/>
  <c r="H18" i="7"/>
  <c r="H17" i="7"/>
  <c r="H16" i="7"/>
  <c r="H15" i="7"/>
  <c r="H14" i="7"/>
  <c r="H13" i="7"/>
  <c r="H12" i="7"/>
  <c r="H9" i="7"/>
  <c r="H8" i="7"/>
  <c r="H7" i="7"/>
  <c r="G35" i="9" l="1"/>
  <c r="H15" i="8"/>
  <c r="H17" i="8"/>
  <c r="H19" i="8"/>
  <c r="H11" i="8"/>
  <c r="H29" i="8"/>
  <c r="F35" i="9"/>
</calcChain>
</file>

<file path=xl/sharedStrings.xml><?xml version="1.0" encoding="utf-8"?>
<sst xmlns="http://schemas.openxmlformats.org/spreadsheetml/2006/main" count="2116" uniqueCount="606">
  <si>
    <t>July 2023 Plan</t>
  </si>
  <si>
    <t>Working</t>
  </si>
  <si>
    <t>Days</t>
  </si>
  <si>
    <t>Machine#</t>
  </si>
  <si>
    <t>Item Type</t>
  </si>
  <si>
    <t>Capacity/
month
(pcs)</t>
    <phoneticPr fontId="47"/>
  </si>
  <si>
    <t>Monthly
Target
(pcs)</t>
    <phoneticPr fontId="47"/>
  </si>
  <si>
    <t>Actual</t>
  </si>
  <si>
    <t>%Of Target Complete</t>
  </si>
  <si>
    <t>Rate of machine operation</t>
  </si>
  <si>
    <t xml:space="preserve">Actual Rate of Machine Operation </t>
  </si>
  <si>
    <t>Machine
Type</t>
  </si>
  <si>
    <t>MWH001</t>
    <phoneticPr fontId="47"/>
  </si>
  <si>
    <t>HSR15.20,25</t>
  </si>
  <si>
    <t>ZM-80</t>
    <phoneticPr fontId="47"/>
  </si>
  <si>
    <t>MWH002</t>
    <phoneticPr fontId="47"/>
  </si>
  <si>
    <r>
      <rPr>
        <sz val="10"/>
        <rFont val="Arial"/>
        <family val="2"/>
      </rPr>
      <t>HSR30,35</t>
    </r>
    <r>
      <rPr>
        <sz val="10"/>
        <color rgb="FF0000FF"/>
        <rFont val="Arial"/>
        <family val="2"/>
      </rPr>
      <t>,SHS30,35</t>
    </r>
    <phoneticPr fontId="47"/>
  </si>
  <si>
    <t>ZM-100</t>
    <phoneticPr fontId="47"/>
  </si>
  <si>
    <t>MWH004</t>
  </si>
  <si>
    <t>SHS15.20,HSR15.20,25</t>
  </si>
  <si>
    <t>ZM-100CT</t>
  </si>
  <si>
    <t>Total</t>
  </si>
  <si>
    <t>MCT</t>
  </si>
  <si>
    <t>pcs</t>
    <phoneticPr fontId="47"/>
  </si>
  <si>
    <t>HSR20,25</t>
    <phoneticPr fontId="47"/>
  </si>
  <si>
    <t>MWH002</t>
  </si>
  <si>
    <t>HSR30,35,SHS30,35</t>
  </si>
  <si>
    <t>SHS15.20,</t>
  </si>
  <si>
    <t>ROBO</t>
  </si>
  <si>
    <t>Capacity/
month
(pc)</t>
    <phoneticPr fontId="1"/>
  </si>
  <si>
    <t>Monthly
Target
(pc)</t>
  </si>
  <si>
    <t xml:space="preserve">Actual </t>
  </si>
  <si>
    <t>Actual Rate Of Machine Operation</t>
  </si>
  <si>
    <t>MAH001</t>
  </si>
  <si>
    <t>HSR20</t>
  </si>
  <si>
    <t>Mori</t>
  </si>
  <si>
    <t>MAH002</t>
  </si>
  <si>
    <t>HSR35</t>
  </si>
  <si>
    <t>MAH003</t>
  </si>
  <si>
    <t>HSR25</t>
  </si>
  <si>
    <t>MAH004</t>
  </si>
  <si>
    <r>
      <t>SHS30,</t>
    </r>
    <r>
      <rPr>
        <sz val="10"/>
        <rFont val="Arial"/>
        <family val="2"/>
      </rPr>
      <t>HSR30</t>
    </r>
  </si>
  <si>
    <t>MAH005</t>
  </si>
  <si>
    <r>
      <t>SHS35</t>
    </r>
    <r>
      <rPr>
        <sz val="10"/>
        <color theme="1"/>
        <rFont val="Arial"/>
        <family val="2"/>
      </rPr>
      <t>,HSR35</t>
    </r>
  </si>
  <si>
    <t>MAH006</t>
  </si>
  <si>
    <t>MAH007</t>
  </si>
  <si>
    <r>
      <t>SHS35,</t>
    </r>
    <r>
      <rPr>
        <sz val="10"/>
        <color theme="1"/>
        <rFont val="Arial"/>
        <family val="2"/>
      </rPr>
      <t>HSR35</t>
    </r>
  </si>
  <si>
    <t>MAH015</t>
  </si>
  <si>
    <r>
      <rPr>
        <sz val="10"/>
        <color rgb="FFFF0000"/>
        <rFont val="Arial"/>
        <family val="2"/>
      </rPr>
      <t>SSR25</t>
    </r>
    <r>
      <rPr>
        <sz val="10"/>
        <color indexed="12"/>
        <rFont val="Arial"/>
        <family val="2"/>
      </rPr>
      <t>,SHS15</t>
    </r>
  </si>
  <si>
    <t>Fanuc</t>
  </si>
  <si>
    <t>MAH016</t>
  </si>
  <si>
    <r>
      <t>SHS20,</t>
    </r>
    <r>
      <rPr>
        <sz val="10"/>
        <color indexed="10"/>
        <rFont val="Arial"/>
        <family val="2"/>
      </rPr>
      <t>SSR20</t>
    </r>
  </si>
  <si>
    <t>MAH017</t>
  </si>
  <si>
    <r>
      <t>SSR15,</t>
    </r>
    <r>
      <rPr>
        <sz val="10"/>
        <color indexed="12"/>
        <rFont val="Arial"/>
        <family val="2"/>
      </rPr>
      <t>SHS25</t>
    </r>
  </si>
  <si>
    <t>MAH019</t>
  </si>
  <si>
    <t>SHS45,55,65</t>
  </si>
  <si>
    <t>Okuma</t>
  </si>
  <si>
    <t>MAH022</t>
  </si>
  <si>
    <t>SHS25</t>
  </si>
  <si>
    <t>Kira</t>
  </si>
  <si>
    <t>MAH023</t>
  </si>
  <si>
    <t>SHS45</t>
  </si>
  <si>
    <t>MAH027</t>
  </si>
  <si>
    <r>
      <t>HSR55,65,</t>
    </r>
    <r>
      <rPr>
        <sz val="10"/>
        <color rgb="FF0000FF"/>
        <rFont val="Arial"/>
        <family val="2"/>
      </rPr>
      <t>SHS55,65</t>
    </r>
    <phoneticPr fontId="40"/>
  </si>
  <si>
    <t>※HSR45を削除</t>
    <rPh sb="7" eb="9">
      <t>サクジョ</t>
    </rPh>
    <phoneticPr fontId="40"/>
  </si>
  <si>
    <t>MAH028</t>
  </si>
  <si>
    <t>SHW27</t>
    <phoneticPr fontId="40"/>
  </si>
  <si>
    <t>※HSR20を削除</t>
    <rPh sb="7" eb="9">
      <t>サクジョ</t>
    </rPh>
    <phoneticPr fontId="40"/>
  </si>
  <si>
    <t>MAH029</t>
  </si>
  <si>
    <t>MAH030</t>
  </si>
  <si>
    <t>SHS15,HSR15R</t>
  </si>
  <si>
    <t>MAH031</t>
  </si>
  <si>
    <t>HSR15</t>
  </si>
  <si>
    <t>MAH032</t>
  </si>
  <si>
    <t>MAH033</t>
  </si>
  <si>
    <t>MAH034</t>
  </si>
  <si>
    <t>MAH035</t>
  </si>
  <si>
    <r>
      <t>HSR35,</t>
    </r>
    <r>
      <rPr>
        <sz val="10"/>
        <color rgb="FF0000FF"/>
        <rFont val="Arial"/>
        <family val="2"/>
      </rPr>
      <t>SHS35</t>
    </r>
  </si>
  <si>
    <t>MAH036</t>
  </si>
  <si>
    <t>HSR45,SHS45</t>
  </si>
  <si>
    <t>MAH038</t>
  </si>
  <si>
    <t>SHS20</t>
  </si>
  <si>
    <t>MAH039</t>
  </si>
  <si>
    <t>SHS15</t>
  </si>
  <si>
    <t>MAH040</t>
  </si>
  <si>
    <t>MAH041</t>
  </si>
  <si>
    <t>SHS30V</t>
  </si>
  <si>
    <t>MAH042</t>
  </si>
  <si>
    <t>MAH046</t>
  </si>
  <si>
    <t>SSR15,20,25</t>
  </si>
  <si>
    <t>MAH047</t>
  </si>
  <si>
    <t>Type</t>
  </si>
  <si>
    <t>1パレット</t>
  </si>
  <si>
    <t>Cycle Time
（1パレット）</t>
  </si>
  <si>
    <t>Cycle Time
（min/1piece）</t>
  </si>
  <si>
    <t>Cycle Time
（min/1piece) AVG</t>
  </si>
  <si>
    <t>1day (21hour)
piece</t>
  </si>
  <si>
    <t>Machine 
Capacitｙ
（×0.80）</t>
  </si>
  <si>
    <t>A</t>
  </si>
  <si>
    <t>B</t>
  </si>
  <si>
    <t>R</t>
  </si>
  <si>
    <t>LA</t>
  </si>
  <si>
    <t>LB</t>
  </si>
  <si>
    <t>Cycle Time</t>
  </si>
  <si>
    <t>1day</t>
  </si>
  <si>
    <t>LR</t>
  </si>
  <si>
    <t>AVG</t>
  </si>
  <si>
    <t>(21hour)</t>
  </si>
  <si>
    <t>Capacity</t>
  </si>
  <si>
    <r>
      <t xml:space="preserve">MAH002 </t>
    </r>
    <r>
      <rPr>
        <sz val="10"/>
        <color theme="0"/>
        <rFont val="Arial"/>
        <family val="2"/>
      </rPr>
      <t xml:space="preserve"> </t>
    </r>
    <r>
      <rPr>
        <sz val="10"/>
        <color theme="0" tint="-0.249977111117893"/>
        <rFont val="Arial"/>
        <family val="2"/>
      </rPr>
      <t>MAH005  MAH007</t>
    </r>
  </si>
  <si>
    <t>A S</t>
  </si>
  <si>
    <t>CAS</t>
  </si>
  <si>
    <t>MAH005  MAH007</t>
  </si>
  <si>
    <t>SHS35</t>
  </si>
  <si>
    <t>C</t>
  </si>
  <si>
    <t>LC</t>
  </si>
  <si>
    <t>V</t>
  </si>
  <si>
    <t>LV</t>
  </si>
  <si>
    <t>MAH003 MAH006</t>
  </si>
  <si>
    <t>HSR30</t>
  </si>
  <si>
    <t>6Pcs→4Pcsへ変更</t>
  </si>
  <si>
    <t>SHS30</t>
  </si>
  <si>
    <t>MAH009</t>
  </si>
  <si>
    <t>MAH010</t>
  </si>
  <si>
    <t>HRW17</t>
    <phoneticPr fontId="3" type="noConversion"/>
  </si>
  <si>
    <t>CA</t>
    <phoneticPr fontId="3" type="noConversion"/>
  </si>
  <si>
    <t>CR</t>
    <phoneticPr fontId="3" type="noConversion"/>
  </si>
  <si>
    <t>HRW21</t>
    <phoneticPr fontId="3" type="noConversion"/>
  </si>
  <si>
    <t>SHW21</t>
  </si>
  <si>
    <t>MAH012</t>
  </si>
  <si>
    <t>HRW27</t>
    <phoneticPr fontId="3" type="noConversion"/>
  </si>
  <si>
    <t>HRW35</t>
    <phoneticPr fontId="3" type="noConversion"/>
  </si>
  <si>
    <t>SHW27</t>
  </si>
  <si>
    <t>SHW35</t>
  </si>
  <si>
    <t>SSR25</t>
  </si>
  <si>
    <t>W</t>
  </si>
  <si>
    <t>SSR20</t>
  </si>
  <si>
    <r>
      <rPr>
        <sz val="11"/>
        <color theme="0" tint="-0.34998626667073579"/>
        <rFont val="ＭＳ Ｐゴシック"/>
        <family val="3"/>
        <charset val="128"/>
      </rPr>
      <t xml:space="preserve">MAH017 </t>
    </r>
    <r>
      <rPr>
        <sz val="10"/>
        <rFont val="Arial"/>
        <family val="2"/>
      </rPr>
      <t xml:space="preserve"> MAH022</t>
    </r>
  </si>
  <si>
    <r>
      <rPr>
        <sz val="11"/>
        <color theme="0" tint="-0.34998626667073579"/>
        <rFont val="ＭＳ Ｐゴシック"/>
        <family val="3"/>
        <charset val="128"/>
      </rPr>
      <t>MAH017</t>
    </r>
    <r>
      <rPr>
        <sz val="10"/>
        <rFont val="Arial"/>
        <family val="2"/>
      </rPr>
      <t xml:space="preserve"> </t>
    </r>
  </si>
  <si>
    <t>SSR15</t>
  </si>
  <si>
    <r>
      <rPr>
        <sz val="11"/>
        <rFont val="ＭＳ Ｐゴシック"/>
        <family val="3"/>
        <charset val="128"/>
      </rPr>
      <t>MAH011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 </t>
    </r>
    <r>
      <rPr>
        <sz val="10"/>
        <color theme="0" tint="-0.249977111117893"/>
        <rFont val="Arial"/>
        <family val="2"/>
      </rPr>
      <t>MAH013</t>
    </r>
  </si>
  <si>
    <t>MAH013</t>
  </si>
  <si>
    <t>HSR45</t>
  </si>
  <si>
    <t>CA</t>
  </si>
  <si>
    <t xml:space="preserve"> MAH019</t>
  </si>
  <si>
    <t>SHS55</t>
  </si>
  <si>
    <t>SHS65</t>
  </si>
  <si>
    <t xml:space="preserve"> MAH023</t>
  </si>
  <si>
    <t xml:space="preserve"> MAH027</t>
  </si>
  <si>
    <t>HSR55</t>
  </si>
  <si>
    <t>HSR65</t>
  </si>
  <si>
    <t xml:space="preserve"> MAH028</t>
  </si>
  <si>
    <t xml:space="preserve"> MAH029</t>
  </si>
  <si>
    <t>SHS30V,VS</t>
  </si>
  <si>
    <t>SHS30LV,LVS</t>
  </si>
  <si>
    <t>MAH046  MAH047</t>
  </si>
  <si>
    <t>SSR15XV</t>
  </si>
  <si>
    <t>XV</t>
  </si>
  <si>
    <t>SSR15XW</t>
  </si>
  <si>
    <t>XW</t>
  </si>
  <si>
    <t>SSR20XV</t>
  </si>
  <si>
    <t>SSR20XW</t>
  </si>
  <si>
    <t>SSR25XV</t>
  </si>
  <si>
    <t>SSR25XW</t>
  </si>
  <si>
    <t xml:space="preserve">SSR15XVWith full length </t>
  </si>
  <si>
    <t xml:space="preserve">SSR15XWWith full length </t>
  </si>
  <si>
    <t xml:space="preserve">SSR20XVWith full length </t>
  </si>
  <si>
    <t xml:space="preserve">SSR20XWWith full length </t>
  </si>
  <si>
    <t xml:space="preserve">SSR25XVWith full length </t>
  </si>
  <si>
    <t xml:space="preserve">SSR25XWWith full length </t>
  </si>
  <si>
    <t>JUNE 2023 Plan</t>
  </si>
  <si>
    <t>AUTO</t>
  </si>
  <si>
    <t>※赤文字が更新済と３月時点での型番段取り</t>
  </si>
  <si>
    <t>※青文字設備はほぼ固定型番</t>
  </si>
  <si>
    <t>Need Surface Grinding capacity</t>
  </si>
  <si>
    <t>pcs</t>
  </si>
  <si>
    <t>SRG200BH</t>
  </si>
  <si>
    <t>SRG200BA</t>
  </si>
  <si>
    <t>SRG100LB</t>
  </si>
  <si>
    <t>SRG100LD</t>
  </si>
  <si>
    <t>SLG1150</t>
  </si>
  <si>
    <t>SRG100HX</t>
  </si>
  <si>
    <t>SRG100J</t>
  </si>
  <si>
    <t>Monthly
Target
(pc)</t>
    <phoneticPr fontId="1"/>
  </si>
  <si>
    <t xml:space="preserve">%Of Target Complete </t>
  </si>
  <si>
    <t>1bed</t>
  </si>
  <si>
    <t>Machine
Cycle Time</t>
  </si>
  <si>
    <t>着脱時間</t>
  </si>
  <si>
    <t>合計時間</t>
  </si>
  <si>
    <t>GPH005</t>
  </si>
  <si>
    <t xml:space="preserve">HSR25   </t>
  </si>
  <si>
    <t>200BH</t>
  </si>
  <si>
    <t>GSH002</t>
  </si>
  <si>
    <r>
      <rPr>
        <sz val="10"/>
        <color rgb="FFFF00FF"/>
        <rFont val="Arial"/>
        <family val="2"/>
      </rPr>
      <t>HRW17,27,35,SHW17,21,27,35,</t>
    </r>
    <r>
      <rPr>
        <sz val="10"/>
        <color rgb="FF00B050"/>
        <rFont val="Arial"/>
        <family val="2"/>
      </rPr>
      <t>SRG35,45</t>
    </r>
  </si>
  <si>
    <t>HITACHI-M(2M)</t>
  </si>
  <si>
    <t>GPH017</t>
  </si>
  <si>
    <t>HSR30</t>
    <phoneticPr fontId="40"/>
  </si>
  <si>
    <t>GPH050</t>
  </si>
  <si>
    <t>GPH030</t>
  </si>
  <si>
    <t>GPH041</t>
  </si>
  <si>
    <t>GPH047</t>
  </si>
  <si>
    <t>HRW17
SHW17</t>
    <phoneticPr fontId="40"/>
  </si>
  <si>
    <t>GPH027</t>
  </si>
  <si>
    <t>GPH029</t>
  </si>
  <si>
    <t>GPH006</t>
  </si>
  <si>
    <t>GSH003</t>
  </si>
  <si>
    <r>
      <rPr>
        <sz val="10"/>
        <color rgb="FFFF00FF"/>
        <rFont val="Arial"/>
        <family val="2"/>
      </rPr>
      <t>HRW17,27,35,SHW17,21,27,35</t>
    </r>
    <r>
      <rPr>
        <sz val="10"/>
        <color rgb="FF00B050"/>
        <rFont val="Arial"/>
        <family val="2"/>
      </rPr>
      <t>,SRG35,45</t>
    </r>
  </si>
  <si>
    <t>"</t>
  </si>
  <si>
    <t>HITACHI-W2(2M)</t>
  </si>
  <si>
    <t>GPH007</t>
  </si>
  <si>
    <t>GSH013</t>
  </si>
  <si>
    <t>SHS20,SHS25</t>
  </si>
  <si>
    <t>200FR</t>
  </si>
  <si>
    <t>GPH051</t>
  </si>
  <si>
    <t>GPH031</t>
  </si>
  <si>
    <t>GPH042</t>
  </si>
  <si>
    <t>HRW21
SHW21</t>
    <phoneticPr fontId="40"/>
  </si>
  <si>
    <t>GPH026</t>
  </si>
  <si>
    <t>GPH008</t>
  </si>
  <si>
    <t xml:space="preserve">HSR35 </t>
  </si>
  <si>
    <t>GSH014</t>
  </si>
  <si>
    <t>SHS30,SHS35</t>
  </si>
  <si>
    <t>50A</t>
  </si>
  <si>
    <t>GSH016</t>
  </si>
  <si>
    <t>HSR35</t>
    <phoneticPr fontId="40"/>
  </si>
  <si>
    <t>GPH032</t>
  </si>
  <si>
    <t>SR15</t>
  </si>
  <si>
    <t>GPH018</t>
  </si>
  <si>
    <t>GSH017</t>
  </si>
  <si>
    <t>SHS45,SHS55,SHS65</t>
  </si>
  <si>
    <t>GPH028</t>
  </si>
  <si>
    <t>100J</t>
  </si>
  <si>
    <t>GSH019</t>
  </si>
  <si>
    <t>SR15,20,25,SSR15,20,25</t>
  </si>
  <si>
    <t>IGS180</t>
  </si>
  <si>
    <t>4個ダミー</t>
    <rPh sb="1" eb="2">
      <t>コ</t>
    </rPh>
    <phoneticPr fontId="40"/>
  </si>
  <si>
    <t>GPH033</t>
  </si>
  <si>
    <t>HRW27</t>
  </si>
  <si>
    <t>GPH048</t>
  </si>
  <si>
    <t>SR20</t>
  </si>
  <si>
    <t>GPH056</t>
  </si>
  <si>
    <t>GPH053</t>
  </si>
  <si>
    <t>100LB</t>
  </si>
  <si>
    <t>SR25</t>
  </si>
  <si>
    <t>HSR55,HSR65</t>
  </si>
  <si>
    <t>GPH036</t>
  </si>
  <si>
    <t>SHS15</t>
    <phoneticPr fontId="40"/>
  </si>
  <si>
    <t>C</t>
    <phoneticPr fontId="40"/>
  </si>
  <si>
    <t>GPH054</t>
  </si>
  <si>
    <t>GPH037</t>
  </si>
  <si>
    <t>100LD</t>
  </si>
  <si>
    <t>GPH055</t>
  </si>
  <si>
    <r>
      <rPr>
        <sz val="10"/>
        <rFont val="Arial"/>
        <family val="2"/>
      </rPr>
      <t>HSR45</t>
    </r>
    <r>
      <rPr>
        <sz val="10"/>
        <color rgb="FF0000FF"/>
        <rFont val="Arial"/>
        <family val="2"/>
      </rPr>
      <t>,SHS45,SHS55,SHS65</t>
    </r>
  </si>
  <si>
    <t>200BA</t>
  </si>
  <si>
    <t>GSH018</t>
  </si>
  <si>
    <t>HSR35 GP</t>
  </si>
  <si>
    <t>6h</t>
  </si>
  <si>
    <t>HSR45 GP</t>
  </si>
  <si>
    <t>8h</t>
  </si>
  <si>
    <t xml:space="preserve">nishii to provide update- tomorrow. </t>
  </si>
  <si>
    <t>GSH004</t>
  </si>
  <si>
    <t>BC Grinding</t>
  </si>
  <si>
    <t>HITACHI(1M)</t>
    <phoneticPr fontId="40"/>
  </si>
  <si>
    <t>GSH007</t>
    <phoneticPr fontId="40"/>
  </si>
  <si>
    <t>aba(1M)</t>
    <phoneticPr fontId="40"/>
  </si>
  <si>
    <t>GSH010</t>
    <phoneticPr fontId="40"/>
  </si>
  <si>
    <t>aba(2M)</t>
    <phoneticPr fontId="40"/>
  </si>
  <si>
    <t>GSH015</t>
  </si>
  <si>
    <t>HITACHI(2M)</t>
  </si>
  <si>
    <t>BC Grinding HSR35,45</t>
  </si>
  <si>
    <t>GSH020</t>
    <phoneticPr fontId="40"/>
  </si>
  <si>
    <t>OKAMOTO(1M)</t>
    <phoneticPr fontId="40"/>
  </si>
  <si>
    <t>Jul 2023 Plan</t>
    <phoneticPr fontId="47"/>
  </si>
  <si>
    <t>Capacity/
month
(m)</t>
  </si>
  <si>
    <t>Monthly
Target
(m)</t>
  </si>
  <si>
    <t>% Of Target Complete</t>
  </si>
  <si>
    <t>Daily Targetn (m)</t>
  </si>
  <si>
    <t>HEH01</t>
    <phoneticPr fontId="47"/>
  </si>
  <si>
    <t>SHS30-1216LTS, HRW17,21,27,35,SHW21,27,35</t>
  </si>
  <si>
    <t>InductionA</t>
    <phoneticPr fontId="47"/>
  </si>
  <si>
    <t>HEH10</t>
    <phoneticPr fontId="47"/>
  </si>
  <si>
    <r>
      <t>SHS15,20,25,30,35,45,55,65</t>
    </r>
    <r>
      <rPr>
        <sz val="10"/>
        <rFont val="Arial"/>
        <family val="2"/>
      </rPr>
      <t>HSR15,20,25,30,35,45,55,65,</t>
    </r>
    <r>
      <rPr>
        <sz val="10"/>
        <color rgb="FFFF0000"/>
        <rFont val="Arial"/>
        <family val="2"/>
      </rPr>
      <t>SR15,20,25,30,35</t>
    </r>
    <phoneticPr fontId="47"/>
  </si>
  <si>
    <t>InductionB</t>
    <phoneticPr fontId="47"/>
  </si>
  <si>
    <t>m</t>
  </si>
  <si>
    <r>
      <t>SHS30,</t>
    </r>
    <r>
      <rPr>
        <sz val="10"/>
        <color rgb="FFFF00FF"/>
        <rFont val="Arial"/>
        <family val="2"/>
      </rPr>
      <t>HRW17,21,27,35,SHW21,27,35</t>
    </r>
  </si>
  <si>
    <t>May Plan</t>
  </si>
  <si>
    <t>Heat treat</t>
  </si>
  <si>
    <t>Straightening</t>
  </si>
  <si>
    <t>Wheel Cutting 3</t>
  </si>
  <si>
    <t>Wheel Cutting 4</t>
  </si>
  <si>
    <t>Rail Grinding</t>
  </si>
  <si>
    <t>MONTH  June  2023</t>
  </si>
  <si>
    <t xml:space="preserve">Working Days 21   =  241 per day    </t>
  </si>
  <si>
    <t>(Amount per pack of rails=Meters per pack)</t>
  </si>
  <si>
    <t>INDUCTION B COILS AND SPEED</t>
  </si>
  <si>
    <t>INDUCTION A COILS AND SPEED</t>
  </si>
  <si>
    <t>Process</t>
  </si>
  <si>
    <t xml:space="preserve">PLAN </t>
  </si>
  <si>
    <t>RUN TIME  IN HOURS</t>
  </si>
  <si>
    <t># OF C/O 2 HRS PER</t>
  </si>
  <si>
    <t xml:space="preserve">Type </t>
  </si>
  <si>
    <t>COIL #</t>
  </si>
  <si>
    <t>SPEED</t>
  </si>
  <si>
    <t>TIME 1 RAIL</t>
  </si>
  <si>
    <t>HSR15-3240  (200=648M)</t>
  </si>
  <si>
    <t>HRW17</t>
  </si>
  <si>
    <t>40</t>
  </si>
  <si>
    <t>14</t>
  </si>
  <si>
    <t xml:space="preserve">HSR20-3020  (130=393M) </t>
  </si>
  <si>
    <t>A35</t>
  </si>
  <si>
    <t>2.01</t>
  </si>
  <si>
    <t>A19</t>
  </si>
  <si>
    <t>HRW21</t>
  </si>
  <si>
    <t>42</t>
  </si>
  <si>
    <t>16</t>
  </si>
  <si>
    <t>41</t>
  </si>
  <si>
    <t xml:space="preserve">HSR25-3001  (90=270M) </t>
  </si>
  <si>
    <t>A38</t>
  </si>
  <si>
    <t>2</t>
  </si>
  <si>
    <t>A25</t>
  </si>
  <si>
    <t>2.5</t>
  </si>
  <si>
    <t>A31</t>
  </si>
  <si>
    <t>2.0</t>
  </si>
  <si>
    <t>07</t>
  </si>
  <si>
    <t>12</t>
  </si>
  <si>
    <t>47</t>
  </si>
  <si>
    <t>48</t>
  </si>
  <si>
    <t>HSR30-3020  (56=169M)</t>
  </si>
  <si>
    <t>51</t>
  </si>
  <si>
    <t>18</t>
  </si>
  <si>
    <t>2.79</t>
  </si>
  <si>
    <t>HRW35</t>
  </si>
  <si>
    <t>A34</t>
  </si>
  <si>
    <t>46</t>
  </si>
  <si>
    <t>HSR35-3020  (49=148M)</t>
  </si>
  <si>
    <t>A32</t>
  </si>
  <si>
    <t>56</t>
  </si>
  <si>
    <t>SHW17</t>
  </si>
  <si>
    <t>HSR45-3020  (30=91M)</t>
  </si>
  <si>
    <t>A26</t>
  </si>
  <si>
    <t>A33</t>
  </si>
  <si>
    <t>N/G</t>
  </si>
  <si>
    <t xml:space="preserve">HSR55  (3M) FOR TIMES </t>
  </si>
  <si>
    <t>A27</t>
  </si>
  <si>
    <t>82</t>
  </si>
  <si>
    <t>11</t>
  </si>
  <si>
    <t>HSR65  (3M) FOR TIMES</t>
  </si>
  <si>
    <t>A40</t>
  </si>
  <si>
    <t>88</t>
  </si>
  <si>
    <t>9</t>
  </si>
  <si>
    <t>SHS15-3040  (240=730M)</t>
  </si>
  <si>
    <t>A01</t>
  </si>
  <si>
    <t>20</t>
  </si>
  <si>
    <t>A37</t>
  </si>
  <si>
    <t>2.53</t>
  </si>
  <si>
    <t>SHS20-3001   (150=450M)</t>
  </si>
  <si>
    <t>A36</t>
  </si>
  <si>
    <t>25</t>
  </si>
  <si>
    <t>2.77</t>
  </si>
  <si>
    <t>67</t>
  </si>
  <si>
    <t>N/A</t>
  </si>
  <si>
    <t>SHS25-3001   (96=288M)</t>
  </si>
  <si>
    <t>2.50</t>
  </si>
  <si>
    <t>SHS30-3020   (72=217M)</t>
  </si>
  <si>
    <t>65</t>
  </si>
  <si>
    <t>SHS35-3020   (36=109M)</t>
  </si>
  <si>
    <t>2.96</t>
  </si>
  <si>
    <t>SHS45-3020   (20=60M)</t>
  </si>
  <si>
    <t>027</t>
  </si>
  <si>
    <t>4.19</t>
  </si>
  <si>
    <t>5.59</t>
  </si>
  <si>
    <t>68</t>
  </si>
  <si>
    <t>SHS55  (3M)  FOR TIMES</t>
  </si>
  <si>
    <t>71</t>
  </si>
  <si>
    <t>A07</t>
  </si>
  <si>
    <t>13</t>
  </si>
  <si>
    <t>A28</t>
  </si>
  <si>
    <t>SHS65   (3M)  FOR TIMES</t>
  </si>
  <si>
    <t>72</t>
  </si>
  <si>
    <t>10</t>
  </si>
  <si>
    <t>73</t>
  </si>
  <si>
    <t>8.5</t>
  </si>
  <si>
    <t>SR15-3240  (240=778M)</t>
  </si>
  <si>
    <t>2.16</t>
  </si>
  <si>
    <t>A10</t>
  </si>
  <si>
    <t>SR20-3000  (150=450M)</t>
  </si>
  <si>
    <t>A12</t>
  </si>
  <si>
    <t>A11</t>
  </si>
  <si>
    <t>SR25-3000  (96=288M)</t>
  </si>
  <si>
    <t>A15</t>
  </si>
  <si>
    <t>SR30-3040  (56=170M)</t>
  </si>
  <si>
    <t>60</t>
  </si>
  <si>
    <t>61</t>
  </si>
  <si>
    <t>17</t>
  </si>
  <si>
    <t>2.98</t>
  </si>
  <si>
    <t>SR35-3040  (36=109M)</t>
  </si>
  <si>
    <t>A22</t>
  </si>
  <si>
    <t>2.81</t>
  </si>
  <si>
    <t>62</t>
  </si>
  <si>
    <t xml:space="preserve">TOTAL FOR MONTH </t>
  </si>
  <si>
    <t>246 hrs</t>
  </si>
  <si>
    <t xml:space="preserve">18 X 2=36hrs </t>
  </si>
  <si>
    <t xml:space="preserve">TOTAL DAY'S OF RUNNING </t>
  </si>
  <si>
    <t>14 days</t>
  </si>
  <si>
    <t>2 days</t>
  </si>
  <si>
    <t xml:space="preserve">Time of 1 rail (*) total meters (/) 60 = total run time </t>
  </si>
  <si>
    <t>Daily Target (m)</t>
  </si>
  <si>
    <t>RSH001</t>
  </si>
  <si>
    <r>
      <t>SHS15,20,25,</t>
    </r>
    <r>
      <rPr>
        <sz val="10"/>
        <rFont val="Arial"/>
        <family val="2"/>
      </rPr>
      <t>HSR15,20,25,</t>
    </r>
    <r>
      <rPr>
        <sz val="10"/>
        <color rgb="FFFF0000"/>
        <rFont val="Arial"/>
        <family val="2"/>
      </rPr>
      <t>SR15,20,25</t>
    </r>
    <r>
      <rPr>
        <sz val="10"/>
        <color rgb="FFFF00FF"/>
        <rFont val="Arial"/>
        <family val="2"/>
      </rPr>
      <t>,</t>
    </r>
  </si>
  <si>
    <t>RSH002</t>
  </si>
  <si>
    <r>
      <t>SHS30,35,45,</t>
    </r>
    <r>
      <rPr>
        <sz val="10"/>
        <rFont val="Arial"/>
        <family val="2"/>
      </rPr>
      <t>HSR30,35,45,</t>
    </r>
    <r>
      <rPr>
        <sz val="10"/>
        <color rgb="FFFF0000"/>
        <rFont val="Arial"/>
        <family val="2"/>
      </rPr>
      <t>SR30,35</t>
    </r>
  </si>
  <si>
    <t>PRH004</t>
  </si>
  <si>
    <t>HRW27,35,SHW27,35</t>
  </si>
  <si>
    <t>PRH005</t>
  </si>
  <si>
    <r>
      <t>SHS55,65</t>
    </r>
    <r>
      <rPr>
        <sz val="10"/>
        <rFont val="Arial"/>
        <family val="2"/>
      </rPr>
      <t>,HSR55,65</t>
    </r>
  </si>
  <si>
    <t>PRH006</t>
  </si>
  <si>
    <t>PRH007</t>
  </si>
  <si>
    <t>PRH008</t>
  </si>
  <si>
    <t>RSH001,002</t>
  </si>
  <si>
    <t>PRH004,005,006,007,008</t>
  </si>
  <si>
    <t>m数</t>
  </si>
  <si>
    <r>
      <t>SHS15,20,25,</t>
    </r>
    <r>
      <rPr>
        <sz val="10"/>
        <rFont val="Arial"/>
        <family val="2"/>
      </rPr>
      <t>HSR15,20,25,</t>
    </r>
    <r>
      <rPr>
        <sz val="10"/>
        <color rgb="FFFF0000"/>
        <rFont val="Arial"/>
        <family val="2"/>
      </rPr>
      <t>SR15,20,25</t>
    </r>
    <r>
      <rPr>
        <sz val="10"/>
        <color rgb="FFFF00FF"/>
        <rFont val="Arial"/>
        <family val="2"/>
      </rPr>
      <t>,HRW21,27,35,SHW21,27,35</t>
    </r>
  </si>
  <si>
    <t>HRW21,27,35,SHW21,27,35</t>
  </si>
  <si>
    <t>DWH001</t>
  </si>
  <si>
    <r>
      <t>SHS45,</t>
    </r>
    <r>
      <rPr>
        <sz val="10"/>
        <rFont val="Arial"/>
        <family val="2"/>
      </rPr>
      <t>HSR45</t>
    </r>
  </si>
  <si>
    <t>P80,P105</t>
  </si>
  <si>
    <t>DWH002</t>
  </si>
  <si>
    <r>
      <t>SHS15,20,25,30,35</t>
    </r>
    <r>
      <rPr>
        <sz val="10"/>
        <rFont val="Arial"/>
        <family val="2"/>
      </rPr>
      <t>HSR15,20,25,30,35</t>
    </r>
    <r>
      <rPr>
        <sz val="10"/>
        <color rgb="FFFF0000"/>
        <rFont val="Arial"/>
        <family val="2"/>
      </rPr>
      <t>SR15,20,25,30,35,</t>
    </r>
    <r>
      <rPr>
        <sz val="10"/>
        <color rgb="FFFF00FF"/>
        <rFont val="Arial"/>
        <family val="2"/>
      </rPr>
      <t>HRW21,27,35,SHW21,27,35</t>
    </r>
  </si>
  <si>
    <t>P60,P80</t>
  </si>
  <si>
    <t>DWH003</t>
  </si>
  <si>
    <t>DWH004</t>
  </si>
  <si>
    <t>DWH005</t>
  </si>
  <si>
    <r>
      <t>SHS15,20,25</t>
    </r>
    <r>
      <rPr>
        <sz val="10"/>
        <rFont val="Arial"/>
        <family val="2"/>
      </rPr>
      <t>HSR15,20,25</t>
    </r>
    <r>
      <rPr>
        <sz val="10"/>
        <color rgb="FFFF0000"/>
        <rFont val="Arial"/>
        <family val="2"/>
      </rPr>
      <t>SR15,20,25</t>
    </r>
  </si>
  <si>
    <t>P60</t>
  </si>
  <si>
    <t>DWH006</t>
  </si>
  <si>
    <r>
      <t>SHS45,55,65</t>
    </r>
    <r>
      <rPr>
        <sz val="10"/>
        <rFont val="Arial"/>
        <family val="2"/>
      </rPr>
      <t>,HSR45,55,65</t>
    </r>
  </si>
  <si>
    <t>P105,P120,P150</t>
  </si>
  <si>
    <t>MAH020</t>
    <phoneticPr fontId="40"/>
  </si>
  <si>
    <t>SRS9,12,15</t>
  </si>
  <si>
    <t>Funac</t>
    <phoneticPr fontId="40"/>
  </si>
  <si>
    <t>MAH025</t>
    <phoneticPr fontId="40"/>
  </si>
  <si>
    <t>Haas</t>
    <phoneticPr fontId="40"/>
  </si>
  <si>
    <r>
      <t>SHS45,55,65,</t>
    </r>
    <r>
      <rPr>
        <sz val="10"/>
        <rFont val="Arial"/>
        <family val="2"/>
      </rPr>
      <t>HSR45,55,65</t>
    </r>
  </si>
  <si>
    <t>SRS9,12,15</t>
    <phoneticPr fontId="40"/>
  </si>
  <si>
    <t>SGH002</t>
  </si>
  <si>
    <r>
      <t>SHS,HSR,SR15,20,25,30,35,45,65</t>
    </r>
    <r>
      <rPr>
        <sz val="10"/>
        <color rgb="FFFF0000"/>
        <rFont val="Arial"/>
        <family val="2"/>
      </rPr>
      <t>,</t>
    </r>
    <r>
      <rPr>
        <sz val="10"/>
        <color rgb="FFFF00FF"/>
        <rFont val="Arial"/>
        <family val="2"/>
      </rPr>
      <t>HRW,SHW17,21,27,35</t>
    </r>
  </si>
  <si>
    <t>SGH012</t>
  </si>
  <si>
    <t>SGH013</t>
  </si>
  <si>
    <t>SGH015</t>
  </si>
  <si>
    <t>SGH016</t>
  </si>
  <si>
    <r>
      <t>SHS,HSR,SR15,20,25,30,35,</t>
    </r>
    <r>
      <rPr>
        <sz val="10"/>
        <color rgb="FFFF00FF"/>
        <rFont val="Arial"/>
        <family val="2"/>
      </rPr>
      <t>HRW17,21,27,35,SHW21,27,35</t>
    </r>
  </si>
  <si>
    <t>Auto</t>
  </si>
  <si>
    <t>Capacity/
month
(pc)</t>
  </si>
  <si>
    <t>Daily Target (pc)</t>
  </si>
  <si>
    <t>SGH001</t>
  </si>
  <si>
    <r>
      <t>SHS,HSR,SR15,20,25,30,35,45,65</t>
    </r>
    <r>
      <rPr>
        <sz val="10"/>
        <color rgb="FFFF0000"/>
        <rFont val="Arial"/>
        <family val="2"/>
      </rPr>
      <t>,</t>
    </r>
    <r>
      <rPr>
        <sz val="10"/>
        <color rgb="FFFF00FF"/>
        <rFont val="Arial"/>
        <family val="2"/>
      </rPr>
      <t>HRW,SHW17,21,27,35,</t>
    </r>
    <r>
      <rPr>
        <sz val="10"/>
        <color theme="1"/>
        <rFont val="Arial"/>
        <family val="2"/>
      </rPr>
      <t>SRS9,9W,12,12W,15,15W</t>
    </r>
  </si>
  <si>
    <t>SGH010</t>
  </si>
  <si>
    <t>SGH017</t>
  </si>
  <si>
    <t>SRS9,9W,12,15(less than 500)</t>
  </si>
  <si>
    <t>pc</t>
  </si>
  <si>
    <t>Jul 2023 Plan</t>
  </si>
  <si>
    <t xml:space="preserve">Actual Rate Of Machine Operation </t>
  </si>
  <si>
    <t>GPH001</t>
  </si>
  <si>
    <t>500RC</t>
  </si>
  <si>
    <t>GPH002</t>
  </si>
  <si>
    <t>SHS55,HSR55</t>
    <phoneticPr fontId="40"/>
  </si>
  <si>
    <t>GPH003</t>
  </si>
  <si>
    <t>SR15</t>
    <phoneticPr fontId="40"/>
  </si>
  <si>
    <t>GPH004</t>
  </si>
  <si>
    <t>SR20</t>
    <phoneticPr fontId="40"/>
  </si>
  <si>
    <t>GPH009</t>
  </si>
  <si>
    <t>HSR20</t>
    <phoneticPr fontId="40"/>
  </si>
  <si>
    <t>GPH010</t>
  </si>
  <si>
    <t>GPH011</t>
  </si>
  <si>
    <t>GPH012</t>
  </si>
  <si>
    <t>SHS65,HSR65</t>
  </si>
  <si>
    <t>GPH013</t>
  </si>
  <si>
    <t>GPH014</t>
  </si>
  <si>
    <r>
      <t xml:space="preserve">SR25 </t>
    </r>
    <r>
      <rPr>
        <sz val="11"/>
        <color rgb="FFFF0000"/>
        <rFont val="ＭＳ Ｐゴシック"/>
        <charset val="128"/>
      </rPr>
      <t>scrap</t>
    </r>
  </si>
  <si>
    <t>GPH015</t>
  </si>
  <si>
    <r>
      <t xml:space="preserve">SHS15 </t>
    </r>
    <r>
      <rPr>
        <sz val="11"/>
        <color rgb="FFFF0000"/>
        <rFont val="ＭＳ Ｐゴシック"/>
        <charset val="128"/>
      </rPr>
      <t>scrap</t>
    </r>
  </si>
  <si>
    <t>GPH016</t>
  </si>
  <si>
    <t>SHW17,21</t>
  </si>
  <si>
    <t>GPH023</t>
  </si>
  <si>
    <t>SRS12,12W</t>
  </si>
  <si>
    <t>DST200</t>
  </si>
  <si>
    <t>GPH024</t>
  </si>
  <si>
    <t>SR15bolt</t>
  </si>
  <si>
    <t>GPH025</t>
  </si>
  <si>
    <t>SRS9X</t>
  </si>
  <si>
    <t>GPH034</t>
  </si>
  <si>
    <r>
      <t xml:space="preserve">SHS25 </t>
    </r>
    <r>
      <rPr>
        <sz val="11"/>
        <color rgb="FFFF0000"/>
        <rFont val="ＭＳ Ｐゴシック"/>
        <charset val="128"/>
      </rPr>
      <t>change over?</t>
    </r>
  </si>
  <si>
    <t>500RC-Ⅱ</t>
  </si>
  <si>
    <t>GPH035</t>
  </si>
  <si>
    <r>
      <t xml:space="preserve">SHS20 </t>
    </r>
    <r>
      <rPr>
        <sz val="11"/>
        <color rgb="FFFF0000"/>
        <rFont val="ＭＳ Ｐゴシック"/>
        <charset val="128"/>
      </rPr>
      <t>change over?</t>
    </r>
  </si>
  <si>
    <t>GPH038</t>
  </si>
  <si>
    <t>700A</t>
  </si>
  <si>
    <t>GPH039</t>
  </si>
  <si>
    <t>500A</t>
  </si>
  <si>
    <t>GPH040</t>
  </si>
  <si>
    <t>SHS30</t>
    <phoneticPr fontId="40"/>
  </si>
  <si>
    <t>GPH043</t>
  </si>
  <si>
    <r>
      <t>SHS45</t>
    </r>
    <r>
      <rPr>
        <sz val="11"/>
        <color rgb="FFFF0000"/>
        <rFont val="ＭＳ Ｐゴシック"/>
        <charset val="128"/>
      </rPr>
      <t xml:space="preserve"> maintenance</t>
    </r>
  </si>
  <si>
    <t>GPH044</t>
  </si>
  <si>
    <t>HSR45</t>
    <phoneticPr fontId="40"/>
  </si>
  <si>
    <t>GPH045</t>
  </si>
  <si>
    <r>
      <t>HDR35</t>
    </r>
    <r>
      <rPr>
        <sz val="11"/>
        <color rgb="FFFF0000"/>
        <rFont val="ＭＳ Ｐゴシック"/>
        <charset val="128"/>
      </rPr>
      <t>⇒SHS30</t>
    </r>
  </si>
  <si>
    <t>GPH046</t>
  </si>
  <si>
    <t>GPH052</t>
  </si>
  <si>
    <t>SHS35</t>
    <phoneticPr fontId="40"/>
  </si>
  <si>
    <t>GPH057</t>
  </si>
  <si>
    <t>IGS300</t>
  </si>
  <si>
    <t>GPH058</t>
  </si>
  <si>
    <t>GPH059</t>
  </si>
  <si>
    <t>GPH060</t>
  </si>
  <si>
    <t>SRG500RC</t>
  </si>
  <si>
    <t>SRG500A,700A</t>
  </si>
  <si>
    <t>MT</t>
    <phoneticPr fontId="40"/>
  </si>
  <si>
    <t>Attachment/
detachment time</t>
  </si>
  <si>
    <t>meters</t>
  </si>
  <si>
    <r>
      <t>SHS65,</t>
    </r>
    <r>
      <rPr>
        <sz val="11"/>
        <rFont val="ＭＳ Ｐゴシック"/>
        <family val="2"/>
      </rPr>
      <t>HSR65</t>
    </r>
  </si>
  <si>
    <r>
      <rPr>
        <sz val="11"/>
        <color rgb="FF0000FF"/>
        <rFont val="ＭＳ Ｐゴシック"/>
        <family val="2"/>
      </rPr>
      <t>SHS55</t>
    </r>
    <r>
      <rPr>
        <sz val="11"/>
        <rFont val="ＭＳ Ｐゴシック"/>
        <family val="2"/>
      </rPr>
      <t>,HSR55</t>
    </r>
    <phoneticPr fontId="40"/>
  </si>
  <si>
    <t>SR25,30,35</t>
    <phoneticPr fontId="40"/>
  </si>
  <si>
    <t>HSR25</t>
    <phoneticPr fontId="40"/>
  </si>
  <si>
    <t>HSR15</t>
    <phoneticPr fontId="40"/>
  </si>
  <si>
    <r>
      <t>SHS15</t>
    </r>
    <r>
      <rPr>
        <sz val="11"/>
        <color rgb="FFFF0000"/>
        <rFont val="ＭＳ Ｐゴシック"/>
        <family val="3"/>
        <charset val="128"/>
      </rPr>
      <t>,SR20,</t>
    </r>
    <r>
      <rPr>
        <sz val="11"/>
        <color theme="1"/>
        <rFont val="ＭＳ Ｐゴシック"/>
        <family val="3"/>
        <charset val="128"/>
      </rPr>
      <t>HSR20</t>
    </r>
  </si>
  <si>
    <r>
      <t>HRW27,SHW27</t>
    </r>
    <r>
      <rPr>
        <sz val="11"/>
        <color rgb="FFFF00FF"/>
        <rFont val="ＭＳ Ｐゴシック"/>
        <family val="2"/>
      </rPr>
      <t>,HRW35,SHW35</t>
    </r>
  </si>
  <si>
    <t>GPH021</t>
  </si>
  <si>
    <t>GPH022(auto loader)</t>
  </si>
  <si>
    <t>GPH023(auto loader)</t>
  </si>
  <si>
    <t>SRS12V</t>
  </si>
  <si>
    <t>GPH024(auto loader)</t>
  </si>
  <si>
    <r>
      <t>SRS15V</t>
    </r>
    <r>
      <rPr>
        <sz val="11"/>
        <color rgb="FFFF00FF"/>
        <rFont val="ＭＳ Ｐゴシック"/>
        <family val="3"/>
        <charset val="128"/>
      </rPr>
      <t>,HRW17,SHW17,SHW21</t>
    </r>
  </si>
  <si>
    <r>
      <t>HRW17,SHW17,HRW21,SHW21,</t>
    </r>
    <r>
      <rPr>
        <sz val="11"/>
        <color rgb="FF009242"/>
        <rFont val="ＭＳ Ｐゴシック"/>
        <family val="3"/>
        <charset val="128"/>
      </rPr>
      <t>SRS9W</t>
    </r>
  </si>
  <si>
    <t>SHS20</t>
    <phoneticPr fontId="40"/>
  </si>
  <si>
    <r>
      <t>HSR20,</t>
    </r>
    <r>
      <rPr>
        <sz val="11"/>
        <color rgb="FF0000FF"/>
        <rFont val="ＭＳ Ｐゴシック"/>
        <family val="3"/>
        <charset val="128"/>
      </rPr>
      <t>SHS20,SHS25</t>
    </r>
  </si>
  <si>
    <t>SHS25</t>
    <phoneticPr fontId="40"/>
  </si>
  <si>
    <t>HSR30,35</t>
  </si>
  <si>
    <r>
      <t>SRG35,45</t>
    </r>
    <r>
      <rPr>
        <sz val="11"/>
        <color rgb="FF0000FF"/>
        <rFont val="ＭＳ Ｐゴシック"/>
        <family val="2"/>
      </rPr>
      <t>,SHS30</t>
    </r>
    <phoneticPr fontId="40"/>
  </si>
  <si>
    <t>HSR30,HSR45</t>
  </si>
  <si>
    <t>HSR35,HSR45</t>
  </si>
  <si>
    <r>
      <t>SHS45,</t>
    </r>
    <r>
      <rPr>
        <sz val="11"/>
        <color theme="1"/>
        <rFont val="ＭＳ Ｐゴシック"/>
        <family val="3"/>
        <charset val="128"/>
      </rPr>
      <t>HSR35</t>
    </r>
  </si>
  <si>
    <t>Rotary
Machine#</t>
  </si>
  <si>
    <t>Maximum 
loading 
capacity</t>
  </si>
  <si>
    <t>GSH001
GSH005
GSH006</t>
  </si>
  <si>
    <t>HSR,SHS,SR15</t>
  </si>
  <si>
    <t>4240L*25pcs</t>
  </si>
  <si>
    <t>rotary grinding bed size</t>
  </si>
  <si>
    <t>HSR,SHS,SR20</t>
  </si>
  <si>
    <t>4240L*20pcs</t>
  </si>
  <si>
    <t>HSR,SHS,SR25</t>
  </si>
  <si>
    <t>4240L*16pcs</t>
  </si>
  <si>
    <t>HSR,SHS30</t>
  </si>
  <si>
    <t>4240L*12pcs</t>
  </si>
  <si>
    <t>HSR,SHS55</t>
  </si>
  <si>
    <t>4240L*7pcs</t>
  </si>
  <si>
    <t>HSR,SHS65</t>
  </si>
  <si>
    <t>4240L*6pcs</t>
  </si>
  <si>
    <t>FEBRUARY 2023 Plan</t>
  </si>
  <si>
    <t>※赤文字が更新済と３月時点での型番段取り</t>
    <rPh sb="1" eb="2">
      <t>アカ</t>
    </rPh>
    <rPh sb="2" eb="4">
      <t>モジ</t>
    </rPh>
    <rPh sb="5" eb="7">
      <t>コウシン</t>
    </rPh>
    <rPh sb="7" eb="8">
      <t>スミ</t>
    </rPh>
    <rPh sb="10" eb="11">
      <t>ガツ</t>
    </rPh>
    <rPh sb="11" eb="13">
      <t>ジテン</t>
    </rPh>
    <rPh sb="15" eb="17">
      <t>カタバン</t>
    </rPh>
    <rPh sb="17" eb="19">
      <t>ダンド</t>
    </rPh>
    <phoneticPr fontId="40"/>
  </si>
  <si>
    <t>※青文字設備はほぼ固定型番</t>
    <rPh sb="1" eb="2">
      <t>アオ</t>
    </rPh>
    <rPh sb="2" eb="4">
      <t>モジ</t>
    </rPh>
    <rPh sb="4" eb="6">
      <t>セツビ</t>
    </rPh>
    <rPh sb="9" eb="11">
      <t>コテイ</t>
    </rPh>
    <rPh sb="11" eb="13">
      <t>カタバン</t>
    </rPh>
    <phoneticPr fontId="40"/>
  </si>
  <si>
    <t>SLG</t>
  </si>
  <si>
    <t>July Plan</t>
    <phoneticPr fontId="1" type="noConversion"/>
  </si>
  <si>
    <t>July
Plan</t>
    <phoneticPr fontId="1" type="noConversion"/>
  </si>
  <si>
    <t>July
Results</t>
    <phoneticPr fontId="1" type="noConversion"/>
  </si>
  <si>
    <t>Final Inspection Rail</t>
  </si>
  <si>
    <t>Drilling(SRS,RSR)</t>
  </si>
  <si>
    <t>Duplex Milling</t>
  </si>
  <si>
    <t>MC Machining</t>
  </si>
  <si>
    <t>Block Grinding</t>
  </si>
  <si>
    <t>Assembling</t>
  </si>
  <si>
    <t>Final Inspection Block</t>
  </si>
  <si>
    <t>Drilling</t>
    <phoneticPr fontId="1" type="noConversion"/>
  </si>
  <si>
    <t>Wheel cutting3</t>
  </si>
  <si>
    <t>Wheel cutting4</t>
  </si>
  <si>
    <t>Rail grinding</t>
  </si>
  <si>
    <t>Duplex</t>
  </si>
  <si>
    <t>MC machining</t>
  </si>
  <si>
    <t>Block grinding</t>
  </si>
  <si>
    <t>HSR Total</t>
  </si>
  <si>
    <t>SHS Total</t>
  </si>
  <si>
    <t>SRS9W</t>
  </si>
  <si>
    <t>SRS12</t>
  </si>
  <si>
    <t>SRS12W</t>
  </si>
  <si>
    <t>SRS15</t>
  </si>
  <si>
    <t>SRS Total</t>
  </si>
  <si>
    <t>SRS15W</t>
  </si>
  <si>
    <t>HRW Total</t>
  </si>
  <si>
    <t>SHW Total</t>
  </si>
  <si>
    <t>SR/SSR15</t>
  </si>
  <si>
    <t>SR/SSR20</t>
  </si>
  <si>
    <t>SR/SSR25</t>
  </si>
  <si>
    <t>SR/SSR30</t>
  </si>
  <si>
    <t>SR30</t>
  </si>
  <si>
    <t>SR Total</t>
  </si>
  <si>
    <t>SR/SSR35</t>
  </si>
  <si>
    <t>SR35</t>
  </si>
  <si>
    <t>HDR35</t>
  </si>
  <si>
    <t>SRG45</t>
  </si>
  <si>
    <t>TOTAL</t>
  </si>
  <si>
    <t>SSR30</t>
  </si>
  <si>
    <t>SSR Total</t>
  </si>
  <si>
    <t>SSR35</t>
  </si>
  <si>
    <t>SRG/HDRTotal</t>
  </si>
  <si>
    <t>Monthly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</si>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</sst>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_ "/>
    <numFmt numFmtId="166" formatCode="#,##0.0_ "/>
    <numFmt numFmtId="167" formatCode="[$-409]mmmm\-yy;@"/>
    <numFmt numFmtId="168" formatCode="0&quot;pc&quot;"/>
    <numFmt numFmtId="169" formatCode="0&quot;m&quot;"/>
    <numFmt numFmtId="170" formatCode="0&quot;ｐｃs&quot;"/>
    <numFmt numFmtId="171" formatCode="0.0&quot;min&quot;"/>
    <numFmt numFmtId="172" formatCode="0.0"/>
    <numFmt numFmtId="173" formatCode="#,##0.0"/>
    <numFmt numFmtId="174" formatCode="0&quot;pcs&quot;"/>
  </numFmts>
  <fonts count="62">
    <font>
      <sz val="10"/>
      <name val="Arial"/>
      <family val="2"/>
    </font>
    <font>
      <sz val="14"/>
      <color indexed="17"/>
      <name val="Times New Roman"/>
      <family val="1"/>
    </font>
    <font>
      <b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u/>
      <sz val="10"/>
      <color rgb="FFFF0000"/>
      <name val="Arial"/>
      <family val="2"/>
    </font>
    <font>
      <sz val="14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Times New Roman"/>
      <family val="1"/>
    </font>
    <font>
      <sz val="11"/>
      <color rgb="FF00B050"/>
      <name val="ＭＳ Ｐゴシック"/>
      <family val="3"/>
      <charset val="128"/>
    </font>
    <font>
      <sz val="10"/>
      <color rgb="FF0000FF"/>
      <name val="Arial"/>
      <family val="2"/>
    </font>
    <font>
      <sz val="11"/>
      <color rgb="FF0000FF"/>
      <name val="ＭＳ Ｐゴシック"/>
      <family val="3"/>
      <charset val="128"/>
    </font>
    <font>
      <sz val="10"/>
      <color rgb="FFFF0000"/>
      <name val="Arial"/>
      <family val="2"/>
    </font>
    <font>
      <sz val="11"/>
      <color rgb="FFFF00FF"/>
      <name val="ＭＳ Ｐゴシック"/>
      <family val="3"/>
      <charset val="128"/>
    </font>
    <font>
      <sz val="10"/>
      <color rgb="FFFF00FF"/>
      <name val="Arial"/>
      <family val="2"/>
    </font>
    <font>
      <sz val="11"/>
      <color rgb="FF6600CC"/>
      <name val="ＭＳ Ｐゴシック"/>
      <family val="3"/>
      <charset val="128"/>
    </font>
    <font>
      <sz val="10"/>
      <name val="Arial"/>
      <family val="2"/>
    </font>
    <font>
      <vertAlign val="subscript"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name val="ＭＳ Ｐゴシック"/>
      <family val="2"/>
    </font>
    <font>
      <sz val="10"/>
      <color rgb="FF0066FF"/>
      <name val="Arial"/>
      <family val="2"/>
    </font>
    <font>
      <b/>
      <sz val="10"/>
      <name val="Arial"/>
      <family val="2"/>
    </font>
    <font>
      <sz val="11"/>
      <color theme="0"/>
      <name val="Times New Roman"/>
      <family val="1"/>
    </font>
    <font>
      <sz val="11"/>
      <color rgb="FF0000FF"/>
      <name val="ＭＳ Ｐゴシック"/>
      <family val="2"/>
    </font>
    <font>
      <b/>
      <i/>
      <sz val="14"/>
      <name val="Times New Roman"/>
      <family val="1"/>
    </font>
    <font>
      <sz val="6"/>
      <name val="MS Gothic"/>
      <family val="3"/>
      <charset val="128"/>
    </font>
    <font>
      <sz val="10"/>
      <name val="MS Gothic"/>
      <family val="3"/>
      <charset val="128"/>
    </font>
    <font>
      <sz val="10"/>
      <color rgb="FFFF0000"/>
      <name val="MS Gothic"/>
      <family val="3"/>
      <charset val="128"/>
    </font>
    <font>
      <sz val="10"/>
      <color rgb="FF0000FF"/>
      <name val="MS Gothic"/>
      <family val="3"/>
      <charset val="128"/>
    </font>
    <font>
      <sz val="11"/>
      <color rgb="FFFF00FF"/>
      <name val="ＭＳ Ｐゴシック"/>
      <family val="2"/>
    </font>
    <font>
      <sz val="11"/>
      <color rgb="FFFF0000"/>
      <name val="ＭＳ Ｐゴシック"/>
      <family val="2"/>
    </font>
    <font>
      <sz val="11"/>
      <color rgb="FF0000FF"/>
      <name val="Times New Roman"/>
      <family val="1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1"/>
      <color rgb="FF00924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theme="1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  <charset val="128"/>
    </font>
    <font>
      <b/>
      <sz val="16"/>
      <name val="ＭＳ Ｐゴシック"/>
      <family val="3"/>
      <charset val="128"/>
    </font>
    <font>
      <sz val="11"/>
      <color rgb="FFFF0000"/>
      <name val="ＭＳ Ｐゴシック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5" fillId="0" borderId="0"/>
    <xf numFmtId="9" fontId="25" fillId="0" borderId="0" applyFont="0" applyFill="0" applyBorder="0" applyAlignment="0" applyProtection="0"/>
  </cellStyleXfs>
  <cellXfs count="72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3" fontId="0" fillId="0" borderId="15" xfId="0" applyNumberFormat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164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3" borderId="1" xfId="0" applyFont="1" applyFill="1" applyBorder="1"/>
    <xf numFmtId="169" fontId="14" fillId="0" borderId="22" xfId="0" applyNumberFormat="1" applyFont="1" applyBorder="1"/>
    <xf numFmtId="9" fontId="14" fillId="0" borderId="1" xfId="0" applyNumberFormat="1" applyFont="1" applyBorder="1" applyAlignment="1">
      <alignment horizontal="center"/>
    </xf>
    <xf numFmtId="168" fontId="14" fillId="0" borderId="0" xfId="0" applyNumberFormat="1" applyFont="1"/>
    <xf numFmtId="168" fontId="14" fillId="0" borderId="22" xfId="0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4" fillId="3" borderId="22" xfId="0" applyFont="1" applyFill="1" applyBorder="1"/>
    <xf numFmtId="168" fontId="14" fillId="3" borderId="1" xfId="0" applyNumberFormat="1" applyFont="1" applyFill="1" applyBorder="1" applyAlignment="1">
      <alignment horizontal="center" vertical="center" wrapText="1"/>
    </xf>
    <xf numFmtId="168" fontId="14" fillId="3" borderId="22" xfId="0" applyNumberFormat="1" applyFont="1" applyFill="1" applyBorder="1" applyAlignment="1">
      <alignment horizontal="center" vertical="center" wrapText="1"/>
    </xf>
    <xf numFmtId="0" fontId="14" fillId="3" borderId="26" xfId="0" applyFont="1" applyFill="1" applyBorder="1"/>
    <xf numFmtId="169" fontId="14" fillId="0" borderId="27" xfId="0" applyNumberFormat="1" applyFont="1" applyBorder="1"/>
    <xf numFmtId="169" fontId="14" fillId="0" borderId="30" xfId="0" applyNumberFormat="1" applyFont="1" applyBorder="1"/>
    <xf numFmtId="169" fontId="14" fillId="0" borderId="31" xfId="0" applyNumberFormat="1" applyFont="1" applyBorder="1"/>
    <xf numFmtId="169" fontId="0" fillId="0" borderId="0" xfId="0" applyNumberFormat="1"/>
    <xf numFmtId="169" fontId="14" fillId="0" borderId="37" xfId="0" applyNumberFormat="1" applyFont="1" applyBorder="1"/>
    <xf numFmtId="0" fontId="14" fillId="3" borderId="23" xfId="0" applyFont="1" applyFill="1" applyBorder="1"/>
    <xf numFmtId="169" fontId="14" fillId="0" borderId="41" xfId="0" applyNumberFormat="1" applyFont="1" applyBorder="1"/>
    <xf numFmtId="169" fontId="14" fillId="0" borderId="42" xfId="0" applyNumberFormat="1" applyFont="1" applyBorder="1"/>
    <xf numFmtId="168" fontId="14" fillId="0" borderId="41" xfId="0" applyNumberFormat="1" applyFont="1" applyBorder="1"/>
    <xf numFmtId="168" fontId="14" fillId="0" borderId="42" xfId="0" applyNumberFormat="1" applyFont="1" applyBorder="1"/>
    <xf numFmtId="169" fontId="14" fillId="0" borderId="0" xfId="0" applyNumberFormat="1" applyFont="1"/>
    <xf numFmtId="168" fontId="0" fillId="0" borderId="0" xfId="0" applyNumberFormat="1"/>
    <xf numFmtId="164" fontId="12" fillId="0" borderId="18" xfId="0" applyNumberFormat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25" fillId="0" borderId="1" xfId="1" applyBorder="1" applyAlignment="1">
      <alignment horizontal="center"/>
    </xf>
    <xf numFmtId="170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2" fontId="0" fillId="0" borderId="56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0" fontId="27" fillId="5" borderId="38" xfId="0" applyFont="1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27" fillId="5" borderId="60" xfId="0" applyFont="1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5" fillId="0" borderId="47" xfId="1" applyBorder="1" applyAlignment="1">
      <alignment horizontal="center"/>
    </xf>
    <xf numFmtId="170" fontId="0" fillId="2" borderId="47" xfId="0" applyNumberFormat="1" applyFill="1" applyBorder="1" applyAlignment="1">
      <alignment horizontal="center" vertical="center"/>
    </xf>
    <xf numFmtId="171" fontId="0" fillId="2" borderId="47" xfId="0" applyNumberFormat="1" applyFill="1" applyBorder="1" applyAlignment="1">
      <alignment horizontal="center" vertical="center"/>
    </xf>
    <xf numFmtId="0" fontId="25" fillId="0" borderId="67" xfId="1" applyBorder="1" applyAlignment="1">
      <alignment horizontal="center"/>
    </xf>
    <xf numFmtId="170" fontId="0" fillId="2" borderId="67" xfId="0" applyNumberFormat="1" applyFill="1" applyBorder="1" applyAlignment="1">
      <alignment horizontal="center" vertical="center"/>
    </xf>
    <xf numFmtId="171" fontId="0" fillId="2" borderId="67" xfId="0" applyNumberForma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5" fillId="0" borderId="70" xfId="1" applyBorder="1" applyAlignment="1">
      <alignment horizontal="center"/>
    </xf>
    <xf numFmtId="170" fontId="0" fillId="2" borderId="70" xfId="0" applyNumberFormat="1" applyFill="1" applyBorder="1" applyAlignment="1">
      <alignment horizontal="center" vertical="center"/>
    </xf>
    <xf numFmtId="171" fontId="0" fillId="2" borderId="70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27" fillId="5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 wrapText="1"/>
    </xf>
    <xf numFmtId="1" fontId="0" fillId="0" borderId="62" xfId="0" applyNumberFormat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0" fillId="0" borderId="70" xfId="1" applyFon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0" fillId="0" borderId="47" xfId="1" applyFont="1" applyBorder="1" applyAlignment="1">
      <alignment horizontal="center"/>
    </xf>
    <xf numFmtId="171" fontId="0" fillId="0" borderId="47" xfId="0" applyNumberFormat="1" applyBorder="1" applyAlignment="1">
      <alignment horizontal="center" vertical="center"/>
    </xf>
    <xf numFmtId="171" fontId="5" fillId="0" borderId="6" xfId="0" applyNumberFormat="1" applyFont="1" applyBorder="1" applyAlignment="1">
      <alignment vertical="center"/>
    </xf>
    <xf numFmtId="171" fontId="5" fillId="0" borderId="9" xfId="0" applyNumberFormat="1" applyFont="1" applyBorder="1" applyAlignment="1">
      <alignment vertical="center"/>
    </xf>
    <xf numFmtId="171" fontId="5" fillId="2" borderId="9" xfId="0" applyNumberFormat="1" applyFont="1" applyFill="1" applyBorder="1" applyAlignment="1">
      <alignment vertical="center"/>
    </xf>
    <xf numFmtId="171" fontId="5" fillId="0" borderId="17" xfId="0" applyNumberFormat="1" applyFont="1" applyBorder="1" applyAlignment="1">
      <alignment vertical="center"/>
    </xf>
    <xf numFmtId="0" fontId="0" fillId="0" borderId="81" xfId="1" applyFont="1" applyBorder="1" applyAlignment="1">
      <alignment horizontal="center"/>
    </xf>
    <xf numFmtId="0" fontId="0" fillId="0" borderId="82" xfId="1" applyFont="1" applyBorder="1" applyAlignment="1">
      <alignment horizontal="center"/>
    </xf>
    <xf numFmtId="171" fontId="0" fillId="0" borderId="82" xfId="0" applyNumberFormat="1" applyBorder="1" applyAlignment="1">
      <alignment horizontal="center" vertical="center"/>
    </xf>
    <xf numFmtId="0" fontId="0" fillId="0" borderId="6" xfId="1" applyFont="1" applyBorder="1" applyAlignment="1">
      <alignment horizontal="center"/>
    </xf>
    <xf numFmtId="170" fontId="0" fillId="2" borderId="6" xfId="0" applyNumberFormat="1" applyFill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0" fillId="0" borderId="9" xfId="1" applyFont="1" applyBorder="1" applyAlignment="1">
      <alignment horizontal="center"/>
    </xf>
    <xf numFmtId="170" fontId="0" fillId="2" borderId="9" xfId="0" applyNumberFormat="1" applyFill="1" applyBorder="1" applyAlignment="1">
      <alignment horizontal="center" vertical="center"/>
    </xf>
    <xf numFmtId="171" fontId="0" fillId="2" borderId="9" xfId="0" applyNumberFormat="1" applyFill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71" fontId="21" fillId="2" borderId="6" xfId="0" applyNumberFormat="1" applyFont="1" applyFill="1" applyBorder="1" applyAlignment="1">
      <alignment horizontal="center" vertical="center"/>
    </xf>
    <xf numFmtId="170" fontId="0" fillId="0" borderId="70" xfId="0" applyNumberFormat="1" applyBorder="1" applyAlignment="1">
      <alignment horizontal="center" vertical="center"/>
    </xf>
    <xf numFmtId="171" fontId="0" fillId="0" borderId="70" xfId="0" applyNumberFormat="1" applyBorder="1" applyAlignment="1">
      <alignment horizontal="center" vertical="center"/>
    </xf>
    <xf numFmtId="170" fontId="0" fillId="0" borderId="67" xfId="0" applyNumberFormat="1" applyBorder="1" applyAlignment="1">
      <alignment horizontal="center" vertical="center"/>
    </xf>
    <xf numFmtId="171" fontId="0" fillId="0" borderId="67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0" fillId="0" borderId="83" xfId="0" applyBorder="1" applyAlignment="1">
      <alignment horizontal="center" vertical="center"/>
    </xf>
    <xf numFmtId="0" fontId="19" fillId="0" borderId="84" xfId="0" applyFont="1" applyBorder="1" applyAlignment="1">
      <alignment vertical="center" wrapText="1"/>
    </xf>
    <xf numFmtId="3" fontId="0" fillId="0" borderId="17" xfId="0" applyNumberFormat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0" borderId="85" xfId="0" applyBorder="1" applyAlignment="1">
      <alignment horizontal="right" vertical="center"/>
    </xf>
    <xf numFmtId="3" fontId="0" fillId="0" borderId="86" xfId="0" applyNumberFormat="1" applyBorder="1" applyAlignment="1">
      <alignment vertical="center"/>
    </xf>
    <xf numFmtId="0" fontId="31" fillId="0" borderId="8" xfId="0" applyFont="1" applyBorder="1" applyAlignment="1">
      <alignment horizontal="right" vertical="center"/>
    </xf>
    <xf numFmtId="0" fontId="32" fillId="0" borderId="12" xfId="0" applyFont="1" applyBorder="1" applyAlignment="1">
      <alignment horizontal="right" vertical="center"/>
    </xf>
    <xf numFmtId="164" fontId="0" fillId="0" borderId="21" xfId="0" applyNumberFormat="1" applyBorder="1" applyAlignment="1">
      <alignment vertical="center"/>
    </xf>
    <xf numFmtId="0" fontId="0" fillId="2" borderId="88" xfId="0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5" xfId="0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171" fontId="0" fillId="0" borderId="15" xfId="0" applyNumberFormat="1" applyBorder="1" applyAlignment="1">
      <alignment vertical="center"/>
    </xf>
    <xf numFmtId="0" fontId="0" fillId="0" borderId="63" xfId="0" applyBorder="1" applyAlignment="1">
      <alignment vertical="center"/>
    </xf>
    <xf numFmtId="171" fontId="0" fillId="0" borderId="84" xfId="0" applyNumberFormat="1" applyBorder="1" applyAlignment="1">
      <alignment vertical="center"/>
    </xf>
    <xf numFmtId="0" fontId="0" fillId="0" borderId="89" xfId="0" applyBorder="1" applyAlignment="1">
      <alignment vertical="center"/>
    </xf>
    <xf numFmtId="171" fontId="0" fillId="0" borderId="9" xfId="0" applyNumberFormat="1" applyBorder="1" applyAlignment="1">
      <alignment vertical="center"/>
    </xf>
    <xf numFmtId="0" fontId="19" fillId="0" borderId="6" xfId="0" applyFont="1" applyBorder="1" applyAlignment="1">
      <alignment vertical="center" wrapText="1"/>
    </xf>
    <xf numFmtId="1" fontId="0" fillId="0" borderId="0" xfId="0" applyNumberFormat="1" applyAlignment="1">
      <alignment horizontal="left" vertical="center"/>
    </xf>
    <xf numFmtId="0" fontId="20" fillId="0" borderId="9" xfId="0" applyFont="1" applyBorder="1" applyAlignment="1">
      <alignment vertical="center"/>
    </xf>
    <xf numFmtId="169" fontId="14" fillId="6" borderId="29" xfId="0" applyNumberFormat="1" applyFont="1" applyFill="1" applyBorder="1"/>
    <xf numFmtId="169" fontId="14" fillId="6" borderId="33" xfId="0" applyNumberFormat="1" applyFont="1" applyFill="1" applyBorder="1"/>
    <xf numFmtId="168" fontId="14" fillId="6" borderId="33" xfId="0" applyNumberFormat="1" applyFont="1" applyFill="1" applyBorder="1"/>
    <xf numFmtId="168" fontId="14" fillId="6" borderId="35" xfId="0" applyNumberFormat="1" applyFont="1" applyFill="1" applyBorder="1"/>
    <xf numFmtId="168" fontId="14" fillId="6" borderId="32" xfId="0" applyNumberFormat="1" applyFont="1" applyFill="1" applyBorder="1"/>
    <xf numFmtId="168" fontId="14" fillId="6" borderId="34" xfId="0" applyNumberFormat="1" applyFont="1" applyFill="1" applyBorder="1"/>
    <xf numFmtId="169" fontId="14" fillId="6" borderId="32" xfId="0" applyNumberFormat="1" applyFont="1" applyFill="1" applyBorder="1"/>
    <xf numFmtId="169" fontId="14" fillId="6" borderId="34" xfId="0" applyNumberFormat="1" applyFont="1" applyFill="1" applyBorder="1"/>
    <xf numFmtId="169" fontId="14" fillId="6" borderId="35" xfId="0" applyNumberFormat="1" applyFont="1" applyFill="1" applyBorder="1"/>
    <xf numFmtId="168" fontId="14" fillId="6" borderId="29" xfId="0" applyNumberFormat="1" applyFont="1" applyFill="1" applyBorder="1"/>
    <xf numFmtId="168" fontId="14" fillId="6" borderId="28" xfId="0" applyNumberFormat="1" applyFont="1" applyFill="1" applyBorder="1"/>
    <xf numFmtId="168" fontId="14" fillId="6" borderId="40" xfId="0" applyNumberFormat="1" applyFont="1" applyFill="1" applyBorder="1"/>
    <xf numFmtId="10" fontId="0" fillId="0" borderId="0" xfId="0" applyNumberFormat="1"/>
    <xf numFmtId="0" fontId="18" fillId="0" borderId="9" xfId="0" applyFont="1" applyBorder="1" applyAlignment="1">
      <alignment vertical="center"/>
    </xf>
    <xf numFmtId="0" fontId="0" fillId="2" borderId="49" xfId="0" applyFill="1" applyBorder="1" applyAlignment="1">
      <alignment horizontal="center" vertical="center"/>
    </xf>
    <xf numFmtId="3" fontId="0" fillId="0" borderId="47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0" fontId="0" fillId="2" borderId="91" xfId="0" applyFill="1" applyBorder="1" applyAlignment="1">
      <alignment vertical="center"/>
    </xf>
    <xf numFmtId="0" fontId="21" fillId="0" borderId="47" xfId="0" applyFont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31" fillId="0" borderId="12" xfId="0" applyFont="1" applyBorder="1" applyAlignment="1">
      <alignment horizontal="right" vertical="center"/>
    </xf>
    <xf numFmtId="0" fontId="35" fillId="0" borderId="0" xfId="0" applyFont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20" xfId="0" applyBorder="1" applyAlignment="1">
      <alignment vertical="center"/>
    </xf>
    <xf numFmtId="171" fontId="0" fillId="0" borderId="13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19" fillId="0" borderId="6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1" fillId="0" borderId="0" xfId="0" applyFont="1"/>
    <xf numFmtId="169" fontId="14" fillId="0" borderId="1" xfId="0" applyNumberFormat="1" applyFont="1" applyBorder="1"/>
    <xf numFmtId="168" fontId="14" fillId="0" borderId="1" xfId="0" applyNumberFormat="1" applyFont="1" applyBorder="1"/>
    <xf numFmtId="0" fontId="14" fillId="3" borderId="37" xfId="0" applyFont="1" applyFill="1" applyBorder="1"/>
    <xf numFmtId="0" fontId="34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0" fillId="0" borderId="0" xfId="1" applyFont="1" applyAlignment="1">
      <alignment horizontal="center"/>
    </xf>
    <xf numFmtId="170" fontId="21" fillId="2" borderId="0" xfId="0" applyNumberFormat="1" applyFont="1" applyFill="1" applyAlignment="1">
      <alignment horizontal="center" vertical="center"/>
    </xf>
    <xf numFmtId="171" fontId="21" fillId="2" borderId="0" xfId="0" applyNumberFormat="1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7" xfId="0" applyBorder="1" applyAlignment="1">
      <alignment vertical="center"/>
    </xf>
    <xf numFmtId="171" fontId="0" fillId="0" borderId="89" xfId="0" applyNumberFormat="1" applyBorder="1" applyAlignment="1">
      <alignment horizontal="center" vertical="center"/>
    </xf>
    <xf numFmtId="0" fontId="0" fillId="0" borderId="15" xfId="1" applyFont="1" applyBorder="1" applyAlignment="1">
      <alignment horizontal="center"/>
    </xf>
    <xf numFmtId="170" fontId="0" fillId="2" borderId="15" xfId="0" applyNumberFormat="1" applyFill="1" applyBorder="1" applyAlignment="1">
      <alignment horizontal="center" vertical="center"/>
    </xf>
    <xf numFmtId="171" fontId="0" fillId="2" borderId="15" xfId="0" applyNumberFormat="1" applyFill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171" fontId="0" fillId="0" borderId="98" xfId="0" applyNumberFormat="1" applyBorder="1" applyAlignment="1">
      <alignment horizontal="center" vertical="center"/>
    </xf>
    <xf numFmtId="171" fontId="0" fillId="0" borderId="50" xfId="0" applyNumberFormat="1" applyBorder="1" applyAlignment="1">
      <alignment horizontal="center" vertical="center"/>
    </xf>
    <xf numFmtId="171" fontId="0" fillId="0" borderId="63" xfId="0" applyNumberFormat="1" applyBorder="1" applyAlignment="1">
      <alignment horizontal="center" vertical="center"/>
    </xf>
    <xf numFmtId="0" fontId="25" fillId="0" borderId="0" xfId="1" applyAlignment="1">
      <alignment horizontal="center"/>
    </xf>
    <xf numFmtId="171" fontId="0" fillId="0" borderId="20" xfId="0" applyNumberFormat="1" applyBorder="1" applyAlignment="1">
      <alignment horizontal="center" vertical="center"/>
    </xf>
    <xf numFmtId="1" fontId="0" fillId="0" borderId="9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71" fontId="21" fillId="2" borderId="15" xfId="0" applyNumberFormat="1" applyFont="1" applyFill="1" applyBorder="1" applyAlignment="1">
      <alignment horizontal="center" vertical="center"/>
    </xf>
    <xf numFmtId="0" fontId="0" fillId="0" borderId="13" xfId="1" applyFont="1" applyBorder="1" applyAlignment="1">
      <alignment horizontal="center"/>
    </xf>
    <xf numFmtId="170" fontId="0" fillId="2" borderId="13" xfId="0" applyNumberFormat="1" applyFill="1" applyBorder="1" applyAlignment="1">
      <alignment horizontal="center" vertical="center"/>
    </xf>
    <xf numFmtId="171" fontId="0" fillId="2" borderId="13" xfId="0" applyNumberFormat="1" applyFill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0" fontId="21" fillId="0" borderId="82" xfId="1" applyFont="1" applyBorder="1" applyAlignment="1">
      <alignment horizontal="center"/>
    </xf>
    <xf numFmtId="0" fontId="21" fillId="0" borderId="47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17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2" fontId="21" fillId="0" borderId="47" xfId="1" applyNumberFormat="1" applyFon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2" fontId="25" fillId="0" borderId="9" xfId="1" applyNumberFormat="1" applyBorder="1" applyAlignment="1">
      <alignment horizontal="center" vertical="center"/>
    </xf>
    <xf numFmtId="2" fontId="25" fillId="0" borderId="82" xfId="1" applyNumberForma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21" fillId="0" borderId="9" xfId="1" applyFont="1" applyBorder="1" applyAlignment="1">
      <alignment horizontal="center"/>
    </xf>
    <xf numFmtId="171" fontId="21" fillId="0" borderId="84" xfId="0" applyNumberFormat="1" applyFont="1" applyBorder="1" applyAlignment="1">
      <alignment horizontal="center" vertical="center"/>
    </xf>
    <xf numFmtId="0" fontId="21" fillId="0" borderId="84" xfId="1" applyFont="1" applyBorder="1" applyAlignment="1">
      <alignment horizontal="center"/>
    </xf>
    <xf numFmtId="171" fontId="21" fillId="0" borderId="47" xfId="0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0" fontId="25" fillId="0" borderId="82" xfId="1" applyBorder="1" applyAlignment="1">
      <alignment horizontal="center"/>
    </xf>
    <xf numFmtId="0" fontId="45" fillId="0" borderId="9" xfId="0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8" fontId="46" fillId="0" borderId="22" xfId="0" applyNumberFormat="1" applyFont="1" applyBorder="1"/>
    <xf numFmtId="3" fontId="0" fillId="0" borderId="21" xfId="0" applyNumberFormat="1" applyBorder="1" applyAlignment="1">
      <alignment horizontal="right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2" borderId="102" xfId="0" applyFill="1" applyBorder="1" applyAlignment="1">
      <alignment horizontal="left" vertical="center"/>
    </xf>
    <xf numFmtId="0" fontId="33" fillId="0" borderId="6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173" fontId="0" fillId="0" borderId="18" xfId="0" applyNumberFormat="1" applyBorder="1" applyAlignment="1">
      <alignment horizontal="right" vertical="center"/>
    </xf>
    <xf numFmtId="0" fontId="18" fillId="2" borderId="11" xfId="0" applyFont="1" applyFill="1" applyBorder="1" applyAlignment="1">
      <alignment vertical="center"/>
    </xf>
    <xf numFmtId="3" fontId="0" fillId="0" borderId="0" xfId="0" applyNumberFormat="1" applyAlignment="1">
      <alignment horizontal="right" vertical="center"/>
    </xf>
    <xf numFmtId="3" fontId="11" fillId="0" borderId="0" xfId="0" applyNumberFormat="1" applyFont="1" applyAlignment="1">
      <alignment vertical="center"/>
    </xf>
    <xf numFmtId="169" fontId="14" fillId="6" borderId="28" xfId="0" applyNumberFormat="1" applyFont="1" applyFill="1" applyBorder="1"/>
    <xf numFmtId="164" fontId="0" fillId="0" borderId="55" xfId="0" applyNumberFormat="1" applyBorder="1" applyAlignment="1">
      <alignment vertical="center"/>
    </xf>
    <xf numFmtId="0" fontId="51" fillId="0" borderId="0" xfId="0" applyFont="1" applyAlignment="1">
      <alignment vertical="center"/>
    </xf>
    <xf numFmtId="0" fontId="14" fillId="7" borderId="22" xfId="0" applyFont="1" applyFill="1" applyBorder="1"/>
    <xf numFmtId="0" fontId="19" fillId="0" borderId="15" xfId="0" applyFont="1" applyBorder="1" applyAlignment="1">
      <alignment vertical="center"/>
    </xf>
    <xf numFmtId="171" fontId="0" fillId="0" borderId="17" xfId="0" applyNumberFormat="1" applyBorder="1" applyAlignment="1">
      <alignment vertical="center"/>
    </xf>
    <xf numFmtId="0" fontId="0" fillId="0" borderId="55" xfId="0" applyBorder="1" applyAlignment="1">
      <alignment vertical="center"/>
    </xf>
    <xf numFmtId="169" fontId="52" fillId="6" borderId="29" xfId="0" applyNumberFormat="1" applyFont="1" applyFill="1" applyBorder="1"/>
    <xf numFmtId="169" fontId="52" fillId="6" borderId="33" xfId="0" applyNumberFormat="1" applyFont="1" applyFill="1" applyBorder="1"/>
    <xf numFmtId="0" fontId="0" fillId="4" borderId="0" xfId="0" applyFill="1" applyAlignment="1">
      <alignment vertical="center"/>
    </xf>
    <xf numFmtId="0" fontId="49" fillId="0" borderId="47" xfId="1" applyFont="1" applyBorder="1" applyAlignment="1">
      <alignment horizontal="center"/>
    </xf>
    <xf numFmtId="170" fontId="49" fillId="2" borderId="47" xfId="0" applyNumberFormat="1" applyFont="1" applyFill="1" applyBorder="1" applyAlignment="1">
      <alignment horizontal="center" vertical="center"/>
    </xf>
    <xf numFmtId="171" fontId="49" fillId="2" borderId="47" xfId="0" applyNumberFormat="1" applyFont="1" applyFill="1" applyBorder="1" applyAlignment="1">
      <alignment horizontal="center" vertical="center"/>
    </xf>
    <xf numFmtId="0" fontId="49" fillId="0" borderId="1" xfId="1" applyFont="1" applyBorder="1" applyAlignment="1">
      <alignment horizontal="center"/>
    </xf>
    <xf numFmtId="170" fontId="49" fillId="2" borderId="1" xfId="0" applyNumberFormat="1" applyFont="1" applyFill="1" applyBorder="1" applyAlignment="1">
      <alignment horizontal="center" vertical="center"/>
    </xf>
    <xf numFmtId="171" fontId="49" fillId="2" borderId="1" xfId="0" applyNumberFormat="1" applyFont="1" applyFill="1" applyBorder="1" applyAlignment="1">
      <alignment horizontal="center" vertical="center"/>
    </xf>
    <xf numFmtId="0" fontId="49" fillId="0" borderId="67" xfId="1" applyFont="1" applyBorder="1" applyAlignment="1">
      <alignment horizontal="center"/>
    </xf>
    <xf numFmtId="170" fontId="49" fillId="2" borderId="67" xfId="0" applyNumberFormat="1" applyFont="1" applyFill="1" applyBorder="1" applyAlignment="1">
      <alignment horizontal="center" vertical="center"/>
    </xf>
    <xf numFmtId="171" fontId="49" fillId="2" borderId="67" xfId="0" applyNumberFormat="1" applyFont="1" applyFill="1" applyBorder="1" applyAlignment="1">
      <alignment horizontal="center" vertical="center"/>
    </xf>
    <xf numFmtId="0" fontId="49" fillId="0" borderId="70" xfId="1" applyFont="1" applyBorder="1" applyAlignment="1">
      <alignment horizontal="center"/>
    </xf>
    <xf numFmtId="170" fontId="49" fillId="2" borderId="70" xfId="0" applyNumberFormat="1" applyFont="1" applyFill="1" applyBorder="1" applyAlignment="1">
      <alignment horizontal="center" vertical="center"/>
    </xf>
    <xf numFmtId="171" fontId="49" fillId="2" borderId="70" xfId="0" applyNumberFormat="1" applyFont="1" applyFill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171" fontId="49" fillId="2" borderId="48" xfId="0" applyNumberFormat="1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170" fontId="49" fillId="2" borderId="84" xfId="0" applyNumberFormat="1" applyFont="1" applyFill="1" applyBorder="1" applyAlignment="1">
      <alignment horizontal="center" vertical="center"/>
    </xf>
    <xf numFmtId="171" fontId="49" fillId="2" borderId="84" xfId="0" applyNumberFormat="1" applyFont="1" applyFill="1" applyBorder="1" applyAlignment="1">
      <alignment horizontal="center" vertical="center"/>
    </xf>
    <xf numFmtId="0" fontId="49" fillId="0" borderId="47" xfId="0" applyFont="1" applyBorder="1" applyAlignment="1">
      <alignment vertical="center"/>
    </xf>
    <xf numFmtId="170" fontId="49" fillId="2" borderId="82" xfId="0" applyNumberFormat="1" applyFont="1" applyFill="1" applyBorder="1" applyAlignment="1">
      <alignment horizontal="center" vertical="center"/>
    </xf>
    <xf numFmtId="171" fontId="49" fillId="2" borderId="82" xfId="0" applyNumberFormat="1" applyFont="1" applyFill="1" applyBorder="1" applyAlignment="1">
      <alignment horizontal="center" vertical="center"/>
    </xf>
    <xf numFmtId="170" fontId="49" fillId="2" borderId="6" xfId="0" applyNumberFormat="1" applyFont="1" applyFill="1" applyBorder="1" applyAlignment="1">
      <alignment horizontal="center" vertical="center"/>
    </xf>
    <xf numFmtId="171" fontId="49" fillId="2" borderId="6" xfId="0" applyNumberFormat="1" applyFont="1" applyFill="1" applyBorder="1" applyAlignment="1">
      <alignment horizontal="center" vertical="center"/>
    </xf>
    <xf numFmtId="171" fontId="49" fillId="0" borderId="6" xfId="0" applyNumberFormat="1" applyFont="1" applyBorder="1" applyAlignment="1">
      <alignment horizontal="center" vertical="center"/>
    </xf>
    <xf numFmtId="171" fontId="49" fillId="0" borderId="47" xfId="0" applyNumberFormat="1" applyFont="1" applyBorder="1" applyAlignment="1">
      <alignment horizontal="center" vertical="center"/>
    </xf>
    <xf numFmtId="171" fontId="49" fillId="0" borderId="82" xfId="0" applyNumberFormat="1" applyFont="1" applyBorder="1" applyAlignment="1">
      <alignment horizontal="center" vertical="center"/>
    </xf>
    <xf numFmtId="170" fontId="49" fillId="2" borderId="9" xfId="0" applyNumberFormat="1" applyFont="1" applyFill="1" applyBorder="1" applyAlignment="1">
      <alignment horizontal="center" vertical="center"/>
    </xf>
    <xf numFmtId="171" fontId="49" fillId="2" borderId="9" xfId="0" applyNumberFormat="1" applyFont="1" applyFill="1" applyBorder="1" applyAlignment="1">
      <alignment horizontal="center" vertical="center"/>
    </xf>
    <xf numFmtId="171" fontId="49" fillId="0" borderId="9" xfId="0" applyNumberFormat="1" applyFont="1" applyBorder="1" applyAlignment="1">
      <alignment horizontal="center" vertical="center"/>
    </xf>
    <xf numFmtId="171" fontId="49" fillId="0" borderId="84" xfId="0" applyNumberFormat="1" applyFont="1" applyBorder="1" applyAlignment="1">
      <alignment horizontal="center" vertical="center"/>
    </xf>
    <xf numFmtId="170" fontId="49" fillId="2" borderId="15" xfId="0" applyNumberFormat="1" applyFont="1" applyFill="1" applyBorder="1" applyAlignment="1">
      <alignment horizontal="center" vertical="center"/>
    </xf>
    <xf numFmtId="171" fontId="49" fillId="2" borderId="15" xfId="0" applyNumberFormat="1" applyFont="1" applyFill="1" applyBorder="1" applyAlignment="1">
      <alignment horizontal="center" vertical="center"/>
    </xf>
    <xf numFmtId="171" fontId="49" fillId="0" borderId="15" xfId="0" applyNumberFormat="1" applyFont="1" applyBorder="1" applyAlignment="1">
      <alignment horizontal="center" vertical="center"/>
    </xf>
    <xf numFmtId="171" fontId="49" fillId="0" borderId="20" xfId="0" applyNumberFormat="1" applyFont="1" applyBorder="1" applyAlignment="1">
      <alignment horizontal="center" vertical="center"/>
    </xf>
    <xf numFmtId="170" fontId="49" fillId="2" borderId="81" xfId="0" applyNumberFormat="1" applyFont="1" applyFill="1" applyBorder="1" applyAlignment="1">
      <alignment horizontal="center" vertical="center"/>
    </xf>
    <xf numFmtId="171" fontId="49" fillId="2" borderId="81" xfId="0" applyNumberFormat="1" applyFont="1" applyFill="1" applyBorder="1" applyAlignment="1">
      <alignment horizontal="center" vertical="center"/>
    </xf>
    <xf numFmtId="171" fontId="49" fillId="0" borderId="81" xfId="0" applyNumberFormat="1" applyFont="1" applyBorder="1" applyAlignment="1">
      <alignment horizontal="center" vertical="center"/>
    </xf>
    <xf numFmtId="171" fontId="49" fillId="0" borderId="50" xfId="0" applyNumberFormat="1" applyFont="1" applyBorder="1" applyAlignment="1">
      <alignment horizontal="center" vertical="center"/>
    </xf>
    <xf numFmtId="170" fontId="49" fillId="0" borderId="0" xfId="0" applyNumberFormat="1" applyFont="1" applyAlignment="1">
      <alignment vertical="center"/>
    </xf>
    <xf numFmtId="171" fontId="49" fillId="0" borderId="0" xfId="0" applyNumberFormat="1" applyFont="1" applyAlignment="1">
      <alignment vertical="center"/>
    </xf>
    <xf numFmtId="171" fontId="49" fillId="0" borderId="98" xfId="0" applyNumberFormat="1" applyFont="1" applyBorder="1" applyAlignment="1">
      <alignment horizontal="center" vertical="center"/>
    </xf>
    <xf numFmtId="171" fontId="49" fillId="0" borderId="89" xfId="0" applyNumberFormat="1" applyFont="1" applyBorder="1" applyAlignment="1">
      <alignment horizontal="center" vertical="center"/>
    </xf>
    <xf numFmtId="0" fontId="49" fillId="0" borderId="50" xfId="0" applyFont="1" applyBorder="1" applyAlignment="1">
      <alignment vertical="center"/>
    </xf>
    <xf numFmtId="171" fontId="49" fillId="0" borderId="9" xfId="0" applyNumberFormat="1" applyFont="1" applyBorder="1" applyAlignment="1">
      <alignment vertical="center"/>
    </xf>
    <xf numFmtId="0" fontId="49" fillId="0" borderId="17" xfId="0" applyFont="1" applyBorder="1" applyAlignment="1">
      <alignment horizontal="center" vertical="center"/>
    </xf>
    <xf numFmtId="170" fontId="49" fillId="2" borderId="17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106" xfId="0" applyNumberFormat="1" applyBorder="1" applyAlignment="1">
      <alignment vertical="center"/>
    </xf>
    <xf numFmtId="3" fontId="0" fillId="0" borderId="107" xfId="0" applyNumberFormat="1" applyBorder="1" applyAlignment="1">
      <alignment vertical="center"/>
    </xf>
    <xf numFmtId="173" fontId="0" fillId="0" borderId="0" xfId="0" applyNumberFormat="1" applyAlignment="1">
      <alignment horizontal="right" vertical="center"/>
    </xf>
    <xf numFmtId="0" fontId="39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67" fontId="13" fillId="0" borderId="0" xfId="0" applyNumberFormat="1" applyFont="1"/>
    <xf numFmtId="0" fontId="14" fillId="0" borderId="0" xfId="0" applyFont="1" applyAlignment="1">
      <alignment horizontal="center" vertical="center" wrapText="1"/>
    </xf>
    <xf numFmtId="9" fontId="14" fillId="0" borderId="0" xfId="0" applyNumberFormat="1" applyFont="1"/>
    <xf numFmtId="9" fontId="14" fillId="0" borderId="0" xfId="0" applyNumberFormat="1" applyFont="1" applyAlignment="1">
      <alignment horizontal="center"/>
    </xf>
    <xf numFmtId="0" fontId="14" fillId="3" borderId="24" xfId="0" applyFont="1" applyFill="1" applyBorder="1"/>
    <xf numFmtId="0" fontId="14" fillId="11" borderId="22" xfId="0" applyFont="1" applyFill="1" applyBorder="1"/>
    <xf numFmtId="169" fontId="52" fillId="0" borderId="22" xfId="0" applyNumberFormat="1" applyFont="1" applyBorder="1"/>
    <xf numFmtId="168" fontId="14" fillId="0" borderId="27" xfId="0" applyNumberFormat="1" applyFont="1" applyBorder="1"/>
    <xf numFmtId="0" fontId="14" fillId="11" borderId="30" xfId="0" applyFont="1" applyFill="1" applyBorder="1"/>
    <xf numFmtId="169" fontId="52" fillId="0" borderId="31" xfId="0" applyNumberFormat="1" applyFont="1" applyBorder="1"/>
    <xf numFmtId="168" fontId="52" fillId="0" borderId="22" xfId="0" applyNumberFormat="1" applyFont="1" applyBorder="1"/>
    <xf numFmtId="169" fontId="52" fillId="0" borderId="27" xfId="0" applyNumberFormat="1" applyFont="1" applyBorder="1"/>
    <xf numFmtId="168" fontId="17" fillId="0" borderId="27" xfId="0" applyNumberFormat="1" applyFont="1" applyBorder="1"/>
    <xf numFmtId="169" fontId="14" fillId="0" borderId="36" xfId="0" applyNumberFormat="1" applyFont="1" applyBorder="1"/>
    <xf numFmtId="168" fontId="14" fillId="0" borderId="37" xfId="0" applyNumberFormat="1" applyFont="1" applyBorder="1"/>
    <xf numFmtId="168" fontId="14" fillId="0" borderId="36" xfId="0" applyNumberFormat="1" applyFont="1" applyBorder="1"/>
    <xf numFmtId="169" fontId="14" fillId="0" borderId="93" xfId="0" applyNumberFormat="1" applyFont="1" applyBorder="1"/>
    <xf numFmtId="169" fontId="14" fillId="0" borderId="38" xfId="0" applyNumberFormat="1" applyFont="1" applyBorder="1"/>
    <xf numFmtId="169" fontId="52" fillId="6" borderId="35" xfId="0" applyNumberFormat="1" applyFont="1" applyFill="1" applyBorder="1"/>
    <xf numFmtId="169" fontId="37" fillId="0" borderId="22" xfId="0" applyNumberFormat="1" applyFont="1" applyBorder="1"/>
    <xf numFmtId="169" fontId="14" fillId="0" borderId="48" xfId="0" applyNumberFormat="1" applyFont="1" applyBorder="1"/>
    <xf numFmtId="168" fontId="14" fillId="6" borderId="39" xfId="0" applyNumberFormat="1" applyFont="1" applyFill="1" applyBorder="1"/>
    <xf numFmtId="169" fontId="14" fillId="0" borderId="43" xfId="0" applyNumberFormat="1" applyFont="1" applyBorder="1"/>
    <xf numFmtId="0" fontId="14" fillId="11" borderId="28" xfId="0" applyFont="1" applyFill="1" applyBorder="1"/>
    <xf numFmtId="0" fontId="14" fillId="11" borderId="39" xfId="0" applyFont="1" applyFill="1" applyBorder="1"/>
    <xf numFmtId="168" fontId="14" fillId="0" borderId="79" xfId="0" applyNumberFormat="1" applyFont="1" applyBorder="1"/>
    <xf numFmtId="168" fontId="14" fillId="0" borderId="44" xfId="0" applyNumberFormat="1" applyFont="1" applyBorder="1"/>
    <xf numFmtId="168" fontId="14" fillId="0" borderId="101" xfId="0" applyNumberFormat="1" applyFont="1" applyBorder="1"/>
    <xf numFmtId="164" fontId="49" fillId="0" borderId="18" xfId="0" applyNumberFormat="1" applyFont="1" applyBorder="1" applyAlignment="1">
      <alignment vertical="center"/>
    </xf>
    <xf numFmtId="164" fontId="49" fillId="0" borderId="2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49" fillId="0" borderId="87" xfId="0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164" fontId="0" fillId="0" borderId="87" xfId="0" applyNumberFormat="1" applyBorder="1" applyAlignment="1">
      <alignment vertical="center"/>
    </xf>
    <xf numFmtId="2" fontId="21" fillId="0" borderId="17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horizontal="center"/>
    </xf>
    <xf numFmtId="171" fontId="49" fillId="0" borderId="17" xfId="0" applyNumberFormat="1" applyFont="1" applyBorder="1" applyAlignment="1">
      <alignment horizontal="center" vertical="center"/>
    </xf>
    <xf numFmtId="171" fontId="0" fillId="0" borderId="55" xfId="0" applyNumberFormat="1" applyBorder="1" applyAlignment="1">
      <alignment horizontal="center" vertical="center"/>
    </xf>
    <xf numFmtId="170" fontId="49" fillId="2" borderId="11" xfId="0" applyNumberFormat="1" applyFont="1" applyFill="1" applyBorder="1" applyAlignment="1">
      <alignment horizontal="center" vertical="center"/>
    </xf>
    <xf numFmtId="171" fontId="49" fillId="2" borderId="11" xfId="0" applyNumberFormat="1" applyFont="1" applyFill="1" applyBorder="1" applyAlignment="1">
      <alignment horizontal="center" vertical="center"/>
    </xf>
    <xf numFmtId="0" fontId="21" fillId="0" borderId="81" xfId="1" applyFont="1" applyBorder="1" applyAlignment="1">
      <alignment horizontal="center"/>
    </xf>
    <xf numFmtId="171" fontId="0" fillId="0" borderId="108" xfId="0" applyNumberFormat="1" applyBorder="1" applyAlignment="1">
      <alignment horizontal="center" vertical="center"/>
    </xf>
    <xf numFmtId="0" fontId="0" fillId="0" borderId="17" xfId="1" applyFont="1" applyBorder="1" applyAlignment="1">
      <alignment horizontal="center"/>
    </xf>
    <xf numFmtId="171" fontId="49" fillId="2" borderId="17" xfId="0" applyNumberFormat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1" xfId="1" applyFont="1" applyBorder="1" applyAlignment="1">
      <alignment horizontal="center"/>
    </xf>
    <xf numFmtId="171" fontId="49" fillId="0" borderId="11" xfId="0" applyNumberFormat="1" applyFont="1" applyBorder="1" applyAlignment="1">
      <alignment horizontal="center" vertical="center"/>
    </xf>
    <xf numFmtId="171" fontId="49" fillId="0" borderId="55" xfId="0" applyNumberFormat="1" applyFont="1" applyBorder="1" applyAlignment="1">
      <alignment horizontal="center" vertical="center"/>
    </xf>
    <xf numFmtId="0" fontId="0" fillId="0" borderId="64" xfId="0" applyBorder="1" applyAlignment="1">
      <alignment vertical="center" wrapText="1"/>
    </xf>
    <xf numFmtId="0" fontId="0" fillId="0" borderId="64" xfId="1" applyFont="1" applyBorder="1" applyAlignment="1">
      <alignment horizontal="center"/>
    </xf>
    <xf numFmtId="170" fontId="49" fillId="2" borderId="64" xfId="0" applyNumberFormat="1" applyFont="1" applyFill="1" applyBorder="1" applyAlignment="1">
      <alignment horizontal="center" vertical="center"/>
    </xf>
    <xf numFmtId="171" fontId="49" fillId="2" borderId="64" xfId="0" applyNumberFormat="1" applyFont="1" applyFill="1" applyBorder="1" applyAlignment="1">
      <alignment horizontal="center" vertical="center"/>
    </xf>
    <xf numFmtId="171" fontId="49" fillId="0" borderId="64" xfId="0" applyNumberFormat="1" applyFont="1" applyBorder="1" applyAlignment="1">
      <alignment horizontal="center" vertical="center"/>
    </xf>
    <xf numFmtId="0" fontId="21" fillId="0" borderId="0" xfId="1" applyFont="1" applyAlignment="1">
      <alignment horizontal="center"/>
    </xf>
    <xf numFmtId="170" fontId="49" fillId="2" borderId="0" xfId="0" applyNumberFormat="1" applyFont="1" applyFill="1" applyAlignment="1">
      <alignment horizontal="center" vertical="center"/>
    </xf>
    <xf numFmtId="171" fontId="49" fillId="2" borderId="0" xfId="0" applyNumberFormat="1" applyFont="1" applyFill="1" applyAlignment="1">
      <alignment horizontal="center" vertical="center"/>
    </xf>
    <xf numFmtId="171" fontId="49" fillId="0" borderId="0" xfId="0" applyNumberFormat="1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170" fontId="0" fillId="2" borderId="17" xfId="0" applyNumberFormat="1" applyFill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171" fontId="0" fillId="0" borderId="74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64" fontId="4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49" fillId="0" borderId="1" xfId="0" applyNumberFormat="1" applyFont="1" applyBorder="1" applyAlignment="1">
      <alignment vertical="center"/>
    </xf>
    <xf numFmtId="164" fontId="21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33" fillId="0" borderId="1" xfId="0" applyFont="1" applyBorder="1" applyAlignment="1">
      <alignment vertical="center"/>
    </xf>
    <xf numFmtId="171" fontId="5" fillId="0" borderId="7" xfId="0" applyNumberFormat="1" applyFont="1" applyBorder="1" applyAlignment="1">
      <alignment vertical="center"/>
    </xf>
    <xf numFmtId="171" fontId="5" fillId="0" borderId="10" xfId="0" applyNumberFormat="1" applyFont="1" applyBorder="1" applyAlignment="1">
      <alignment vertical="center"/>
    </xf>
    <xf numFmtId="171" fontId="5" fillId="2" borderId="10" xfId="0" applyNumberFormat="1" applyFont="1" applyFill="1" applyBorder="1" applyAlignment="1">
      <alignment vertical="center"/>
    </xf>
    <xf numFmtId="171" fontId="5" fillId="0" borderId="58" xfId="0" applyNumberFormat="1" applyFont="1" applyBorder="1" applyAlignment="1">
      <alignment vertical="center"/>
    </xf>
    <xf numFmtId="164" fontId="4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72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center" vertical="center"/>
    </xf>
    <xf numFmtId="0" fontId="14" fillId="4" borderId="0" xfId="0" applyFont="1" applyFill="1"/>
    <xf numFmtId="0" fontId="56" fillId="12" borderId="116" xfId="0" applyFont="1" applyFill="1" applyBorder="1"/>
    <xf numFmtId="0" fontId="57" fillId="6" borderId="116" xfId="0" applyFont="1" applyFill="1" applyBorder="1" applyAlignment="1">
      <alignment horizontal="center"/>
    </xf>
    <xf numFmtId="0" fontId="57" fillId="6" borderId="116" xfId="0" applyFont="1" applyFill="1" applyBorder="1" applyAlignment="1">
      <alignment horizontal="center" wrapText="1"/>
    </xf>
    <xf numFmtId="0" fontId="0" fillId="0" borderId="1" xfId="0" applyBorder="1"/>
    <xf numFmtId="0" fontId="0" fillId="13" borderId="1" xfId="0" applyFill="1" applyBorder="1"/>
    <xf numFmtId="0" fontId="56" fillId="3" borderId="116" xfId="0" applyFont="1" applyFill="1" applyBorder="1"/>
    <xf numFmtId="0" fontId="0" fillId="10" borderId="1" xfId="0" applyFill="1" applyBorder="1"/>
    <xf numFmtId="0" fontId="56" fillId="6" borderId="116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49" fontId="36" fillId="13" borderId="1" xfId="0" applyNumberFormat="1" applyFont="1" applyFill="1" applyBorder="1" applyAlignment="1">
      <alignment horizontal="center"/>
    </xf>
    <xf numFmtId="49" fontId="36" fillId="0" borderId="1" xfId="0" applyNumberFormat="1" applyFont="1" applyBorder="1"/>
    <xf numFmtId="49" fontId="36" fillId="13" borderId="1" xfId="0" applyNumberFormat="1" applyFont="1" applyFill="1" applyBorder="1"/>
    <xf numFmtId="49" fontId="36" fillId="10" borderId="1" xfId="0" applyNumberFormat="1" applyFont="1" applyFill="1" applyBorder="1" applyAlignment="1">
      <alignment horizontal="center"/>
    </xf>
    <xf numFmtId="0" fontId="56" fillId="7" borderId="116" xfId="0" applyFont="1" applyFill="1" applyBorder="1"/>
    <xf numFmtId="0" fontId="56" fillId="3" borderId="59" xfId="0" applyFont="1" applyFill="1" applyBorder="1"/>
    <xf numFmtId="49" fontId="36" fillId="0" borderId="48" xfId="0" applyNumberFormat="1" applyFont="1" applyBorder="1" applyAlignment="1">
      <alignment horizontal="center"/>
    </xf>
    <xf numFmtId="0" fontId="36" fillId="10" borderId="48" xfId="0" applyFont="1" applyFill="1" applyBorder="1" applyAlignment="1">
      <alignment horizontal="center"/>
    </xf>
    <xf numFmtId="49" fontId="36" fillId="10" borderId="48" xfId="0" applyNumberFormat="1" applyFont="1" applyFill="1" applyBorder="1" applyAlignment="1">
      <alignment horizontal="center"/>
    </xf>
    <xf numFmtId="49" fontId="36" fillId="0" borderId="48" xfId="0" applyNumberFormat="1" applyFont="1" applyBorder="1"/>
    <xf numFmtId="0" fontId="56" fillId="6" borderId="0" xfId="0" applyFont="1" applyFill="1"/>
    <xf numFmtId="0" fontId="36" fillId="6" borderId="0" xfId="0" applyFont="1" applyFill="1" applyAlignment="1">
      <alignment horizontal="center"/>
    </xf>
    <xf numFmtId="49" fontId="36" fillId="6" borderId="0" xfId="0" applyNumberFormat="1" applyFont="1" applyFill="1" applyAlignment="1">
      <alignment horizontal="center"/>
    </xf>
    <xf numFmtId="49" fontId="36" fillId="6" borderId="0" xfId="0" applyNumberFormat="1" applyFont="1" applyFill="1"/>
    <xf numFmtId="0" fontId="56" fillId="6" borderId="59" xfId="0" applyFont="1" applyFill="1" applyBorder="1" applyAlignment="1">
      <alignment horizontal="center"/>
    </xf>
    <xf numFmtId="0" fontId="14" fillId="0" borderId="116" xfId="0" applyFont="1" applyBorder="1"/>
    <xf numFmtId="0" fontId="14" fillId="0" borderId="117" xfId="0" applyFont="1" applyBorder="1" applyAlignment="1">
      <alignment horizontal="center"/>
    </xf>
    <xf numFmtId="0" fontId="14" fillId="0" borderId="9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6" borderId="0" xfId="0" applyFill="1"/>
    <xf numFmtId="0" fontId="14" fillId="0" borderId="1" xfId="0" applyFont="1" applyBorder="1"/>
    <xf numFmtId="0" fontId="14" fillId="0" borderId="47" xfId="0" applyFont="1" applyBorder="1"/>
    <xf numFmtId="0" fontId="14" fillId="0" borderId="116" xfId="0" applyFont="1" applyBorder="1" applyAlignment="1">
      <alignment horizontal="center"/>
    </xf>
    <xf numFmtId="2" fontId="0" fillId="0" borderId="0" xfId="0" applyNumberFormat="1" applyAlignment="1">
      <alignment vertical="center"/>
    </xf>
    <xf numFmtId="169" fontId="49" fillId="0" borderId="0" xfId="0" applyNumberFormat="1" applyFont="1" applyAlignment="1">
      <alignment vertical="center"/>
    </xf>
    <xf numFmtId="0" fontId="20" fillId="0" borderId="17" xfId="0" applyFont="1" applyBorder="1" applyAlignment="1">
      <alignment vertical="center"/>
    </xf>
    <xf numFmtId="171" fontId="48" fillId="0" borderId="9" xfId="0" applyNumberFormat="1" applyFont="1" applyBorder="1" applyAlignment="1">
      <alignment vertical="center"/>
    </xf>
    <xf numFmtId="171" fontId="48" fillId="0" borderId="13" xfId="0" applyNumberFormat="1" applyFont="1" applyBorder="1" applyAlignment="1">
      <alignment vertical="center"/>
    </xf>
    <xf numFmtId="171" fontId="5" fillId="0" borderId="13" xfId="0" applyNumberFormat="1" applyFont="1" applyBorder="1" applyAlignment="1">
      <alignment vertical="center"/>
    </xf>
    <xf numFmtId="172" fontId="5" fillId="0" borderId="21" xfId="0" applyNumberFormat="1" applyFont="1" applyBorder="1" applyAlignment="1">
      <alignment vertical="center"/>
    </xf>
    <xf numFmtId="172" fontId="5" fillId="0" borderId="18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3" fontId="59" fillId="0" borderId="1" xfId="0" applyNumberFormat="1" applyFont="1" applyBorder="1" applyAlignment="1">
      <alignment vertical="center"/>
    </xf>
    <xf numFmtId="9" fontId="59" fillId="0" borderId="1" xfId="2" applyFont="1" applyBorder="1" applyAlignment="1">
      <alignment vertical="center"/>
    </xf>
    <xf numFmtId="164" fontId="59" fillId="0" borderId="1" xfId="0" applyNumberFormat="1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174" fontId="49" fillId="2" borderId="84" xfId="0" applyNumberFormat="1" applyFont="1" applyFill="1" applyBorder="1" applyAlignment="1">
      <alignment horizontal="center" vertical="center"/>
    </xf>
    <xf numFmtId="174" fontId="49" fillId="2" borderId="76" xfId="0" applyNumberFormat="1" applyFont="1" applyFill="1" applyBorder="1" applyAlignment="1">
      <alignment horizontal="center" vertical="center"/>
    </xf>
    <xf numFmtId="174" fontId="49" fillId="2" borderId="6" xfId="0" applyNumberFormat="1" applyFont="1" applyFill="1" applyBorder="1" applyAlignment="1">
      <alignment horizontal="center" vertical="center"/>
    </xf>
    <xf numFmtId="174" fontId="49" fillId="2" borderId="9" xfId="0" applyNumberFormat="1" applyFont="1" applyFill="1" applyBorder="1" applyAlignment="1">
      <alignment horizontal="center" vertical="center"/>
    </xf>
    <xf numFmtId="174" fontId="49" fillId="2" borderId="11" xfId="0" applyNumberFormat="1" applyFont="1" applyFill="1" applyBorder="1" applyAlignment="1">
      <alignment horizontal="center" vertical="center"/>
    </xf>
    <xf numFmtId="174" fontId="49" fillId="2" borderId="13" xfId="0" applyNumberFormat="1" applyFont="1" applyFill="1" applyBorder="1" applyAlignment="1">
      <alignment horizontal="center" vertical="center"/>
    </xf>
    <xf numFmtId="174" fontId="49" fillId="2" borderId="82" xfId="0" applyNumberFormat="1" applyFont="1" applyFill="1" applyBorder="1" applyAlignment="1">
      <alignment horizontal="center" vertical="center"/>
    </xf>
    <xf numFmtId="174" fontId="49" fillId="2" borderId="81" xfId="0" applyNumberFormat="1" applyFont="1" applyFill="1" applyBorder="1" applyAlignment="1">
      <alignment horizontal="center" vertical="center"/>
    </xf>
    <xf numFmtId="174" fontId="49" fillId="2" borderId="47" xfId="0" applyNumberFormat="1" applyFont="1" applyFill="1" applyBorder="1" applyAlignment="1">
      <alignment horizontal="center" vertical="center"/>
    </xf>
    <xf numFmtId="174" fontId="0" fillId="2" borderId="15" xfId="0" applyNumberFormat="1" applyFill="1" applyBorder="1" applyAlignment="1">
      <alignment horizontal="center" vertical="center"/>
    </xf>
    <xf numFmtId="174" fontId="0" fillId="2" borderId="6" xfId="0" applyNumberFormat="1" applyFill="1" applyBorder="1" applyAlignment="1">
      <alignment horizontal="center" vertical="center"/>
    </xf>
    <xf numFmtId="174" fontId="0" fillId="2" borderId="9" xfId="0" applyNumberFormat="1" applyFill="1" applyBorder="1" applyAlignment="1">
      <alignment horizontal="center" vertical="center"/>
    </xf>
    <xf numFmtId="174" fontId="0" fillId="2" borderId="13" xfId="0" applyNumberFormat="1" applyFill="1" applyBorder="1" applyAlignment="1">
      <alignment horizontal="center" vertical="center"/>
    </xf>
    <xf numFmtId="174" fontId="49" fillId="2" borderId="17" xfId="0" applyNumberFormat="1" applyFont="1" applyFill="1" applyBorder="1" applyAlignment="1">
      <alignment horizontal="center" vertical="center"/>
    </xf>
    <xf numFmtId="174" fontId="49" fillId="0" borderId="0" xfId="0" applyNumberFormat="1" applyFont="1" applyAlignment="1">
      <alignment vertical="center"/>
    </xf>
    <xf numFmtId="174" fontId="0" fillId="0" borderId="0" xfId="0" applyNumberFormat="1" applyAlignment="1">
      <alignment vertical="center"/>
    </xf>
    <xf numFmtId="0" fontId="19" fillId="0" borderId="84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0" fillId="0" borderId="83" xfId="0" applyBorder="1" applyAlignment="1">
      <alignment vertical="center"/>
    </xf>
    <xf numFmtId="0" fontId="49" fillId="0" borderId="9" xfId="0" applyFont="1" applyBorder="1" applyAlignment="1">
      <alignment vertical="center"/>
    </xf>
    <xf numFmtId="168" fontId="14" fillId="6" borderId="0" xfId="0" applyNumberFormat="1" applyFont="1" applyFill="1"/>
    <xf numFmtId="0" fontId="19" fillId="0" borderId="97" xfId="0" applyFont="1" applyBorder="1" applyAlignment="1">
      <alignment vertical="center"/>
    </xf>
    <xf numFmtId="171" fontId="48" fillId="0" borderId="6" xfId="0" applyNumberFormat="1" applyFont="1" applyBorder="1" applyAlignment="1">
      <alignment vertical="center"/>
    </xf>
    <xf numFmtId="172" fontId="5" fillId="0" borderId="20" xfId="0" applyNumberFormat="1" applyFont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3" fontId="0" fillId="14" borderId="1" xfId="0" applyNumberFormat="1" applyFill="1" applyBorder="1" applyAlignment="1">
      <alignment vertical="center"/>
    </xf>
    <xf numFmtId="9" fontId="0" fillId="14" borderId="1" xfId="2" applyFont="1" applyFill="1" applyBorder="1" applyAlignment="1">
      <alignment vertical="center"/>
    </xf>
    <xf numFmtId="164" fontId="49" fillId="14" borderId="1" xfId="0" applyNumberFormat="1" applyFont="1" applyFill="1" applyBorder="1" applyAlignment="1">
      <alignment vertical="center"/>
    </xf>
    <xf numFmtId="3" fontId="11" fillId="14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7" xfId="0" applyFont="1" applyBorder="1" applyAlignment="1">
      <alignment vertical="center"/>
    </xf>
    <xf numFmtId="0" fontId="0" fillId="0" borderId="111" xfId="0" applyBorder="1" applyAlignment="1">
      <alignment vertical="center" wrapText="1"/>
    </xf>
    <xf numFmtId="0" fontId="5" fillId="0" borderId="111" xfId="0" applyFont="1" applyBorder="1" applyAlignment="1">
      <alignment vertical="center"/>
    </xf>
    <xf numFmtId="168" fontId="52" fillId="6" borderId="22" xfId="0" applyNumberFormat="1" applyFont="1" applyFill="1" applyBorder="1"/>
    <xf numFmtId="169" fontId="14" fillId="0" borderId="27" xfId="0" applyNumberFormat="1" applyFont="1" applyBorder="1" applyAlignment="1">
      <alignment horizontal="right"/>
    </xf>
    <xf numFmtId="169" fontId="52" fillId="6" borderId="22" xfId="0" applyNumberFormat="1" applyFont="1" applyFill="1" applyBorder="1"/>
    <xf numFmtId="169" fontId="14" fillId="0" borderId="116" xfId="0" applyNumberFormat="1" applyFont="1" applyBorder="1"/>
    <xf numFmtId="169" fontId="14" fillId="6" borderId="1" xfId="0" applyNumberFormat="1" applyFont="1" applyFill="1" applyBorder="1"/>
    <xf numFmtId="169" fontId="14" fillId="6" borderId="30" xfId="0" applyNumberFormat="1" applyFont="1" applyFill="1" applyBorder="1"/>
    <xf numFmtId="169" fontId="14" fillId="6" borderId="31" xfId="0" applyNumberFormat="1" applyFont="1" applyFill="1" applyBorder="1"/>
    <xf numFmtId="168" fontId="14" fillId="6" borderId="93" xfId="0" applyNumberFormat="1" applyFont="1" applyFill="1" applyBorder="1"/>
    <xf numFmtId="0" fontId="9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/>
    </xf>
    <xf numFmtId="0" fontId="0" fillId="0" borderId="67" xfId="0" applyBorder="1" applyAlignment="1">
      <alignment vertical="center"/>
    </xf>
    <xf numFmtId="170" fontId="49" fillId="0" borderId="67" xfId="0" applyNumberFormat="1" applyFont="1" applyBorder="1" applyAlignment="1">
      <alignment horizontal="center" vertical="center"/>
    </xf>
    <xf numFmtId="171" fontId="49" fillId="0" borderId="48" xfId="0" applyNumberFormat="1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0" fillId="0" borderId="70" xfId="0" applyBorder="1" applyAlignment="1">
      <alignment vertical="center"/>
    </xf>
    <xf numFmtId="170" fontId="49" fillId="0" borderId="70" xfId="0" applyNumberFormat="1" applyFont="1" applyBorder="1" applyAlignment="1">
      <alignment horizontal="center" vertical="center"/>
    </xf>
    <xf numFmtId="171" fontId="49" fillId="0" borderId="70" xfId="0" applyNumberFormat="1" applyFont="1" applyBorder="1" applyAlignment="1">
      <alignment horizontal="center" vertical="center"/>
    </xf>
    <xf numFmtId="3" fontId="0" fillId="4" borderId="1" xfId="0" applyNumberFormat="1" applyFill="1" applyBorder="1" applyAlignment="1">
      <alignment vertical="center"/>
    </xf>
    <xf numFmtId="9" fontId="0" fillId="4" borderId="1" xfId="2" applyFont="1" applyFill="1" applyBorder="1" applyAlignment="1">
      <alignment vertical="center"/>
    </xf>
    <xf numFmtId="164" fontId="49" fillId="4" borderId="1" xfId="0" applyNumberFormat="1" applyFont="1" applyFill="1" applyBorder="1" applyAlignment="1">
      <alignment vertical="center"/>
    </xf>
    <xf numFmtId="0" fontId="48" fillId="0" borderId="6" xfId="0" applyFont="1" applyBorder="1" applyAlignment="1">
      <alignment vertical="center"/>
    </xf>
    <xf numFmtId="0" fontId="48" fillId="0" borderId="9" xfId="0" applyFont="1" applyBorder="1" applyAlignment="1">
      <alignment vertical="center"/>
    </xf>
    <xf numFmtId="0" fontId="48" fillId="0" borderId="13" xfId="0" applyFont="1" applyBorder="1" applyAlignment="1">
      <alignment vertical="center"/>
    </xf>
    <xf numFmtId="0" fontId="0" fillId="0" borderId="103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72" fontId="0" fillId="0" borderId="76" xfId="0" applyNumberFormat="1" applyBorder="1" applyAlignment="1">
      <alignment horizontal="center" vertical="center"/>
    </xf>
    <xf numFmtId="172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1" fontId="0" fillId="0" borderId="7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77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69" xfId="0" applyBorder="1" applyAlignment="1">
      <alignment vertical="center" wrapText="1"/>
    </xf>
    <xf numFmtId="172" fontId="0" fillId="0" borderId="67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70" xfId="0" applyNumberFormat="1" applyBorder="1" applyAlignment="1">
      <alignment horizontal="center" vertical="center"/>
    </xf>
    <xf numFmtId="1" fontId="0" fillId="0" borderId="6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0" xfId="0" applyNumberFormat="1" applyBorder="1" applyAlignment="1">
      <alignment horizontal="center" vertical="center"/>
    </xf>
    <xf numFmtId="1" fontId="0" fillId="0" borderId="68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73" xfId="0" applyBorder="1" applyAlignment="1">
      <alignment vertical="center" wrapText="1"/>
    </xf>
    <xf numFmtId="0" fontId="0" fillId="0" borderId="7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73" xfId="0" applyBorder="1" applyAlignment="1">
      <alignment vertical="center"/>
    </xf>
    <xf numFmtId="172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66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9" xfId="0" applyBorder="1" applyAlignment="1">
      <alignment vertical="center"/>
    </xf>
    <xf numFmtId="1" fontId="0" fillId="0" borderId="48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0" fontId="5" fillId="0" borderId="49" xfId="0" applyFont="1" applyBorder="1" applyAlignment="1">
      <alignment vertical="center" wrapText="1"/>
    </xf>
    <xf numFmtId="1" fontId="0" fillId="0" borderId="17" xfId="0" applyNumberFormat="1" applyBorder="1" applyAlignment="1">
      <alignment horizontal="center" vertical="center" wrapText="1"/>
    </xf>
    <xf numFmtId="172" fontId="0" fillId="0" borderId="48" xfId="0" applyNumberFormat="1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28" fillId="0" borderId="66" xfId="0" applyFont="1" applyBorder="1" applyAlignment="1">
      <alignment vertical="center" wrapText="1"/>
    </xf>
    <xf numFmtId="0" fontId="28" fillId="0" borderId="49" xfId="0" applyFont="1" applyBorder="1" applyAlignment="1">
      <alignment vertical="center" wrapText="1"/>
    </xf>
    <xf numFmtId="0" fontId="28" fillId="0" borderId="16" xfId="0" applyFont="1" applyBorder="1" applyAlignment="1">
      <alignment vertical="center"/>
    </xf>
    <xf numFmtId="0" fontId="0" fillId="0" borderId="66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1" fontId="0" fillId="0" borderId="75" xfId="0" applyNumberFormat="1" applyBorder="1" applyAlignment="1">
      <alignment horizontal="center" vertical="center"/>
    </xf>
    <xf numFmtId="172" fontId="0" fillId="0" borderId="7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172" fontId="0" fillId="0" borderId="53" xfId="0" applyNumberFormat="1" applyBorder="1" applyAlignment="1">
      <alignment horizontal="center" vertical="center"/>
    </xf>
    <xf numFmtId="172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1" fontId="0" fillId="0" borderId="77" xfId="0" applyNumberFormat="1" applyBorder="1" applyAlignment="1">
      <alignment horizontal="center" vertical="center" wrapText="1"/>
    </xf>
    <xf numFmtId="0" fontId="0" fillId="0" borderId="69" xfId="0" applyBorder="1" applyAlignment="1">
      <alignment vertical="center"/>
    </xf>
    <xf numFmtId="1" fontId="0" fillId="0" borderId="47" xfId="0" applyNumberFormat="1" applyBorder="1" applyAlignment="1">
      <alignment horizontal="center" vertical="center" wrapText="1"/>
    </xf>
    <xf numFmtId="1" fontId="0" fillId="0" borderId="58" xfId="0" applyNumberFormat="1" applyBorder="1" applyAlignment="1">
      <alignment horizontal="center" vertical="center"/>
    </xf>
    <xf numFmtId="0" fontId="0" fillId="0" borderId="74" xfId="0" applyBorder="1" applyAlignment="1">
      <alignment vertical="center"/>
    </xf>
    <xf numFmtId="1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0" fillId="0" borderId="78" xfId="0" applyBorder="1" applyAlignment="1">
      <alignment vertical="center"/>
    </xf>
    <xf numFmtId="0" fontId="0" fillId="0" borderId="1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22" xfId="0" applyBorder="1" applyAlignment="1">
      <alignment horizontal="center" vertical="center" wrapText="1"/>
    </xf>
    <xf numFmtId="0" fontId="0" fillId="0" borderId="76" xfId="0" applyBorder="1" applyAlignment="1">
      <alignment vertical="center"/>
    </xf>
    <xf numFmtId="0" fontId="0" fillId="0" borderId="104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111" xfId="0" applyBorder="1" applyAlignment="1">
      <alignment vertical="center"/>
    </xf>
    <xf numFmtId="172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94" xfId="0" applyBorder="1" applyAlignment="1">
      <alignment horizontal="center" vertical="center" wrapText="1"/>
    </xf>
    <xf numFmtId="0" fontId="0" fillId="0" borderId="95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2" fontId="21" fillId="0" borderId="82" xfId="1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2" fontId="21" fillId="0" borderId="11" xfId="1" applyNumberFormat="1" applyFont="1" applyBorder="1" applyAlignment="1">
      <alignment horizontal="center" vertical="center"/>
    </xf>
    <xf numFmtId="2" fontId="21" fillId="0" borderId="15" xfId="1" applyNumberFormat="1" applyFont="1" applyBorder="1" applyAlignment="1">
      <alignment horizontal="center" vertical="center"/>
    </xf>
    <xf numFmtId="2" fontId="21" fillId="0" borderId="47" xfId="1" applyNumberFormat="1" applyFont="1" applyBorder="1" applyAlignment="1">
      <alignment horizontal="center" vertical="center"/>
    </xf>
    <xf numFmtId="2" fontId="21" fillId="0" borderId="82" xfId="0" applyNumberFormat="1" applyFont="1" applyBorder="1" applyAlignment="1">
      <alignment horizontal="center" vertical="center"/>
    </xf>
    <xf numFmtId="2" fontId="0" fillId="0" borderId="76" xfId="1" applyNumberFormat="1" applyFont="1" applyBorder="1" applyAlignment="1">
      <alignment horizontal="center" vertical="center"/>
    </xf>
    <xf numFmtId="2" fontId="0" fillId="0" borderId="47" xfId="1" applyNumberFormat="1" applyFont="1" applyBorder="1" applyAlignment="1">
      <alignment horizontal="center" vertical="center"/>
    </xf>
    <xf numFmtId="0" fontId="19" fillId="0" borderId="51" xfId="0" applyFont="1" applyBorder="1" applyAlignment="1">
      <alignment vertical="center" wrapText="1"/>
    </xf>
    <xf numFmtId="0" fontId="19" fillId="0" borderId="96" xfId="0" applyFont="1" applyBorder="1" applyAlignment="1">
      <alignment vertical="center"/>
    </xf>
    <xf numFmtId="2" fontId="21" fillId="0" borderId="1" xfId="1" applyNumberFormat="1" applyFont="1" applyBorder="1" applyAlignment="1">
      <alignment horizontal="center" vertical="center"/>
    </xf>
    <xf numFmtId="2" fontId="21" fillId="0" borderId="97" xfId="0" applyNumberFormat="1" applyFont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1" fillId="0" borderId="76" xfId="1" applyNumberFormat="1" applyFont="1" applyBorder="1" applyAlignment="1">
      <alignment horizontal="center" vertical="center"/>
    </xf>
    <xf numFmtId="2" fontId="21" fillId="0" borderId="6" xfId="1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2" fontId="21" fillId="0" borderId="81" xfId="0" applyNumberFormat="1" applyFont="1" applyBorder="1" applyAlignment="1">
      <alignment horizontal="center" vertical="center"/>
    </xf>
    <xf numFmtId="2" fontId="21" fillId="0" borderId="76" xfId="1" applyNumberFormat="1" applyFont="1" applyBorder="1" applyAlignment="1">
      <alignment horizontal="center" vertical="center" wrapText="1"/>
    </xf>
    <xf numFmtId="2" fontId="21" fillId="0" borderId="6" xfId="1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2" fontId="21" fillId="0" borderId="47" xfId="1" applyNumberFormat="1" applyFont="1" applyBorder="1" applyAlignment="1">
      <alignment horizontal="center" vertical="center" wrapText="1"/>
    </xf>
    <xf numFmtId="2" fontId="21" fillId="0" borderId="48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" fontId="21" fillId="0" borderId="17" xfId="1" applyNumberFormat="1" applyFont="1" applyBorder="1" applyAlignment="1">
      <alignment horizontal="center" vertical="center"/>
    </xf>
    <xf numFmtId="0" fontId="19" fillId="0" borderId="72" xfId="0" applyFont="1" applyBorder="1" applyAlignment="1">
      <alignment vertical="center" wrapText="1"/>
    </xf>
    <xf numFmtId="0" fontId="19" fillId="0" borderId="49" xfId="0" applyFont="1" applyBorder="1" applyAlignment="1">
      <alignment vertical="center" wrapText="1"/>
    </xf>
    <xf numFmtId="0" fontId="0" fillId="0" borderId="7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1" fontId="0" fillId="0" borderId="56" xfId="0" applyNumberFormat="1" applyBorder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0" xfId="1" applyNumberFormat="1" applyFont="1" applyAlignment="1">
      <alignment horizontal="center" vertical="center"/>
    </xf>
    <xf numFmtId="2" fontId="21" fillId="0" borderId="48" xfId="1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 vertical="center"/>
    </xf>
    <xf numFmtId="2" fontId="0" fillId="0" borderId="15" xfId="1" applyNumberFormat="1" applyFont="1" applyBorder="1" applyAlignment="1">
      <alignment horizontal="center" vertical="center"/>
    </xf>
    <xf numFmtId="0" fontId="19" fillId="0" borderId="51" xfId="0" applyFont="1" applyBorder="1" applyAlignment="1">
      <alignment vertical="center"/>
    </xf>
    <xf numFmtId="0" fontId="0" fillId="0" borderId="96" xfId="0" applyBorder="1" applyAlignment="1">
      <alignment vertical="center"/>
    </xf>
    <xf numFmtId="0" fontId="19" fillId="0" borderId="53" xfId="0" applyFont="1" applyBorder="1" applyAlignment="1">
      <alignment vertical="center" wrapText="1"/>
    </xf>
    <xf numFmtId="0" fontId="19" fillId="0" borderId="49" xfId="0" applyFont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/>
    </xf>
    <xf numFmtId="2" fontId="21" fillId="0" borderId="64" xfId="0" applyNumberFormat="1" applyFont="1" applyBorder="1" applyAlignment="1">
      <alignment horizontal="center" vertical="center"/>
    </xf>
    <xf numFmtId="0" fontId="58" fillId="4" borderId="0" xfId="0" applyFont="1" applyFill="1" applyAlignment="1">
      <alignment horizontal="center"/>
    </xf>
    <xf numFmtId="0" fontId="14" fillId="4" borderId="109" xfId="0" applyFont="1" applyFill="1" applyBorder="1" applyAlignment="1">
      <alignment horizontal="center" vertical="center"/>
    </xf>
    <xf numFmtId="0" fontId="14" fillId="4" borderId="110" xfId="0" applyFont="1" applyFill="1" applyBorder="1" applyAlignment="1">
      <alignment horizontal="center" vertical="center"/>
    </xf>
    <xf numFmtId="0" fontId="14" fillId="4" borderId="111" xfId="0" applyFont="1" applyFill="1" applyBorder="1" applyAlignment="1">
      <alignment horizontal="center" vertical="center"/>
    </xf>
    <xf numFmtId="0" fontId="14" fillId="4" borderId="112" xfId="0" applyFont="1" applyFill="1" applyBorder="1" applyAlignment="1">
      <alignment horizontal="center" vertical="center"/>
    </xf>
    <xf numFmtId="0" fontId="14" fillId="4" borderId="113" xfId="0" applyFont="1" applyFill="1" applyBorder="1" applyAlignment="1">
      <alignment horizontal="center" vertical="center"/>
    </xf>
    <xf numFmtId="0" fontId="14" fillId="4" borderId="115" xfId="0" applyFont="1" applyFill="1" applyBorder="1" applyAlignment="1">
      <alignment horizontal="center" vertical="center"/>
    </xf>
    <xf numFmtId="0" fontId="54" fillId="4" borderId="109" xfId="0" applyFont="1" applyFill="1" applyBorder="1" applyAlignment="1">
      <alignment horizontal="center" vertical="center"/>
    </xf>
    <xf numFmtId="0" fontId="54" fillId="4" borderId="64" xfId="0" applyFont="1" applyFill="1" applyBorder="1" applyAlignment="1">
      <alignment horizontal="center" vertical="center"/>
    </xf>
    <xf numFmtId="0" fontId="54" fillId="4" borderId="110" xfId="0" applyFont="1" applyFill="1" applyBorder="1" applyAlignment="1">
      <alignment horizontal="center" vertical="center"/>
    </xf>
    <xf numFmtId="0" fontId="54" fillId="4" borderId="111" xfId="0" applyFont="1" applyFill="1" applyBorder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54" fillId="4" borderId="112" xfId="0" applyFont="1" applyFill="1" applyBorder="1" applyAlignment="1">
      <alignment horizontal="center" vertical="center"/>
    </xf>
    <xf numFmtId="0" fontId="54" fillId="4" borderId="113" xfId="0" applyFont="1" applyFill="1" applyBorder="1" applyAlignment="1">
      <alignment horizontal="center" vertical="center"/>
    </xf>
    <xf numFmtId="0" fontId="54" fillId="4" borderId="114" xfId="0" applyFont="1" applyFill="1" applyBorder="1" applyAlignment="1">
      <alignment horizontal="center" vertical="center"/>
    </xf>
    <xf numFmtId="0" fontId="54" fillId="4" borderId="115" xfId="0" applyFont="1" applyFill="1" applyBorder="1" applyAlignment="1">
      <alignment horizontal="center" vertical="center"/>
    </xf>
    <xf numFmtId="0" fontId="55" fillId="0" borderId="94" xfId="0" applyFont="1" applyBorder="1" applyAlignment="1">
      <alignment horizontal="center"/>
    </xf>
    <xf numFmtId="0" fontId="55" fillId="0" borderId="95" xfId="0" applyFont="1" applyBorder="1" applyAlignment="1">
      <alignment horizontal="center"/>
    </xf>
    <xf numFmtId="0" fontId="55" fillId="0" borderId="92" xfId="0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0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60" fillId="13" borderId="109" xfId="0" applyFont="1" applyFill="1" applyBorder="1" applyAlignment="1">
      <alignment horizontal="center" vertical="center"/>
    </xf>
    <xf numFmtId="0" fontId="5" fillId="13" borderId="64" xfId="0" applyFont="1" applyFill="1" applyBorder="1" applyAlignment="1">
      <alignment horizontal="center" vertical="center"/>
    </xf>
    <xf numFmtId="0" fontId="5" fillId="13" borderId="110" xfId="0" applyFont="1" applyFill="1" applyBorder="1" applyAlignment="1">
      <alignment horizontal="center" vertical="center"/>
    </xf>
    <xf numFmtId="0" fontId="5" fillId="13" borderId="111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3" borderId="112" xfId="0" applyFont="1" applyFill="1" applyBorder="1" applyAlignment="1">
      <alignment horizontal="center" vertical="center"/>
    </xf>
    <xf numFmtId="0" fontId="5" fillId="13" borderId="113" xfId="0" applyFont="1" applyFill="1" applyBorder="1" applyAlignment="1">
      <alignment horizontal="center" vertical="center"/>
    </xf>
    <xf numFmtId="0" fontId="5" fillId="13" borderId="114" xfId="0" applyFont="1" applyFill="1" applyBorder="1" applyAlignment="1">
      <alignment horizontal="center" vertical="center"/>
    </xf>
    <xf numFmtId="0" fontId="5" fillId="13" borderId="1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9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168" fontId="14" fillId="3" borderId="24" xfId="0" applyNumberFormat="1" applyFont="1" applyFill="1" applyBorder="1" applyAlignment="1">
      <alignment horizontal="center"/>
    </xf>
    <xf numFmtId="168" fontId="14" fillId="3" borderId="25" xfId="0" applyNumberFormat="1" applyFont="1" applyFill="1" applyBorder="1" applyAlignment="1">
      <alignment horizontal="center"/>
    </xf>
    <xf numFmtId="0" fontId="0" fillId="0" borderId="17" xfId="0" applyBorder="1" applyAlignment="1"/>
    <xf numFmtId="0" fontId="0" fillId="0" borderId="55" xfId="0" applyBorder="1" applyAlignment="1"/>
    <xf numFmtId="0" fontId="0" fillId="0" borderId="74" xfId="0" applyBorder="1" applyAlignment="1"/>
    <xf numFmtId="0" fontId="0" fillId="0" borderId="75" xfId="0" applyBorder="1" applyAlignment="1"/>
    <xf numFmtId="0" fontId="0" fillId="0" borderId="0" xfId="0" applyAlignment="1"/>
  </cellXfs>
  <cellStyles count="3">
    <cellStyle name="Normal" xfId="0" builtinId="0"/>
    <cellStyle name="Normal_Sheet1" xfId="1" xr:uid="{00000000-0005-0000-0000-000001000000}"/>
    <cellStyle name="Percent" xfId="2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0066FF"/>
      <color rgb="FF0000FF"/>
      <color rgb="FFFF00FF"/>
      <color rgb="FF009242"/>
      <color rgb="FF6600CC"/>
      <color rgb="FF9900FF"/>
      <color rgb="FFCC3300"/>
      <color rgb="FF008000"/>
      <color rgb="FFFF3399"/>
      <color rgb="FF2E0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61913</xdr:colOff>
      <xdr:row>73</xdr:row>
      <xdr:rowOff>395287</xdr:rowOff>
    </xdr:from>
    <xdr:to>
      <xdr:col>12</xdr:col>
      <xdr:colOff>252413</xdr:colOff>
      <xdr:row>78</xdr:row>
      <xdr:rowOff>100012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49F178C-3F04-419F-8FA5-8A54E2D94DE2}"/>
            </a:ext>
          </a:extLst>
        </xdr:cNvPr>
        <xdr:cNvSpPr txBox="1"/>
      </xdr:nvSpPr>
      <xdr:spPr>
        <a:xfrm rot="16200000">
          <a:off x="9058275" y="15049500"/>
          <a:ext cx="10572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400mm</a:t>
          </a:r>
        </a:p>
      </xdr:txBody>
    </xdr:sp>
    <xdr:clientData/>
  </xdr:twoCellAnchor>
  <xdr:twoCellAnchor>
    <xdr:from>
      <xdr:col>10</xdr:col>
      <xdr:colOff>190500</xdr:colOff>
      <xdr:row>80</xdr:row>
      <xdr:rowOff>66675</xdr:rowOff>
    </xdr:from>
    <xdr:to>
      <xdr:col>11</xdr:col>
      <xdr:colOff>628650</xdr:colOff>
      <xdr:row>81</xdr:row>
      <xdr:rowOff>95250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A7A1BAC-428C-D949-B5D1-54AFA7CA676E}"/>
            </a:ext>
          </a:extLst>
        </xdr:cNvPr>
        <xdr:cNvSpPr txBox="1"/>
      </xdr:nvSpPr>
      <xdr:spPr>
        <a:xfrm>
          <a:off x="7896225" y="15992475"/>
          <a:ext cx="10572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4240mm</a:t>
          </a:r>
        </a:p>
      </xdr:txBody>
    </xdr:sp>
    <xdr:clientData/>
  </xdr:twoCellAnchor>
  <xdr:twoCellAnchor editAs="absolute">
    <xdr:from>
      <xdr:col>8</xdr:col>
      <xdr:colOff>619125</xdr:colOff>
      <xdr:row>80</xdr:row>
      <xdr:rowOff>95250</xdr:rowOff>
    </xdr:from>
    <xdr:to>
      <xdr:col>12</xdr:col>
      <xdr:colOff>0</xdr:colOff>
      <xdr:row>80</xdr:row>
      <xdr:rowOff>104775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33247AE-D3E1-CEDE-5E67-49007593DA34}"/>
            </a:ext>
          </a:extLst>
        </xdr:cNvPr>
        <xdr:cNvCxnSpPr>
          <a:cxnSpLocks/>
        </xdr:cNvCxnSpPr>
      </xdr:nvCxnSpPr>
      <xdr:spPr>
        <a:xfrm flipV="1">
          <a:off x="6962775" y="16021050"/>
          <a:ext cx="24669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12</xdr:col>
      <xdr:colOff>85725</xdr:colOff>
      <xdr:row>73</xdr:row>
      <xdr:rowOff>647700</xdr:rowOff>
    </xdr:from>
    <xdr:to>
      <xdr:col>12</xdr:col>
      <xdr:colOff>85725</xdr:colOff>
      <xdr:row>80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3F96BBF6-AA79-445B-96EB-76A3E1547DE4}"/>
            </a:ext>
          </a:extLst>
        </xdr:cNvPr>
        <xdr:cNvCxnSpPr>
          <a:cxnSpLocks/>
        </xdr:cNvCxnSpPr>
      </xdr:nvCxnSpPr>
      <xdr:spPr>
        <a:xfrm flipV="1">
          <a:off x="9515475" y="14868525"/>
          <a:ext cx="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zoomScale="130" zoomScaleNormal="130" workbookViewId="0">
      <selection activeCell="D5" sqref="D5"/>
    </sheetView>
  </sheetViews>
  <sheetFormatPr defaultRowHeight="12.75"/>
  <cols>
    <col min="2" max="2" width="9" bestFit="1" customWidth="1"/>
    <col min="3" max="3" width="21.42578125" bestFit="1" customWidth="1"/>
    <col min="4" max="4" width="9" bestFit="1" customWidth="1"/>
    <col min="5" max="5" width="12" bestFit="1" customWidth="1"/>
    <col min="6" max="7" width="12" customWidth="1"/>
    <col min="8" max="8" width="8" bestFit="1" customWidth="1"/>
    <col min="9" max="9" width="14.85546875" customWidth="1"/>
    <col min="10" max="10" width="10.5703125" bestFit="1" customWidth="1"/>
    <col min="11" max="11" width="14" bestFit="1" customWidth="1"/>
  </cols>
  <sheetData>
    <row r="1" spans="2:10" s="1" customFormat="1"/>
    <row r="2" spans="2:10" s="1" customFormat="1" ht="24" customHeight="1">
      <c r="C2" s="2" t="s">
        <v>0</v>
      </c>
      <c r="D2" s="1" t="s">
        <v>1</v>
      </c>
      <c r="E2" s="59">
        <v>19</v>
      </c>
      <c r="F2" s="316"/>
      <c r="G2" s="316"/>
      <c r="H2" s="1" t="s">
        <v>2</v>
      </c>
    </row>
    <row r="3" spans="2:10" s="1" customFormat="1">
      <c r="E3" s="195">
        <v>0.8</v>
      </c>
      <c r="F3" s="195"/>
      <c r="G3" s="195"/>
    </row>
    <row r="4" spans="2:10" s="1" customFormat="1" ht="51">
      <c r="B4" s="69" t="s">
        <v>3</v>
      </c>
      <c r="C4" s="69" t="s">
        <v>4</v>
      </c>
      <c r="D4" s="387" t="s">
        <v>5</v>
      </c>
      <c r="E4" s="387" t="s">
        <v>6</v>
      </c>
      <c r="F4" s="387" t="s">
        <v>7</v>
      </c>
      <c r="G4" s="387" t="s">
        <v>8</v>
      </c>
      <c r="H4" s="387" t="s">
        <v>9</v>
      </c>
      <c r="I4" s="387" t="s">
        <v>10</v>
      </c>
      <c r="J4" s="387" t="s">
        <v>11</v>
      </c>
    </row>
    <row r="5" spans="2:10" s="1" customFormat="1">
      <c r="B5" s="403" t="s">
        <v>12</v>
      </c>
      <c r="C5" s="355" t="s">
        <v>13</v>
      </c>
      <c r="D5" s="393">
        <f>(21*60)/D12*$E$2*E12*E3</f>
        <v>12768</v>
      </c>
      <c r="E5" s="393"/>
      <c r="F5" s="393"/>
      <c r="G5" s="393">
        <v>0</v>
      </c>
      <c r="H5" s="388">
        <f t="shared" ref="H5:H7" si="0">E5/D5</f>
        <v>0</v>
      </c>
      <c r="I5" s="388">
        <v>0</v>
      </c>
      <c r="J5" s="355" t="s">
        <v>14</v>
      </c>
    </row>
    <row r="6" spans="2:10" s="1" customFormat="1">
      <c r="B6" s="403" t="s">
        <v>15</v>
      </c>
      <c r="C6" s="398" t="s">
        <v>16</v>
      </c>
      <c r="D6" s="393">
        <f>(21*60)/D13*$E$2*E13*E3</f>
        <v>10640</v>
      </c>
      <c r="E6" s="393">
        <v>5174</v>
      </c>
      <c r="F6" s="393"/>
      <c r="G6" s="420">
        <f>F6/E6</f>
        <v>0</v>
      </c>
      <c r="H6" s="388">
        <f t="shared" si="0"/>
        <v>0.48627819548872181</v>
      </c>
      <c r="I6" s="388">
        <f>F6/D6</f>
        <v>0</v>
      </c>
      <c r="J6" s="355" t="s">
        <v>17</v>
      </c>
    </row>
    <row r="7" spans="2:10" s="1" customFormat="1">
      <c r="B7" s="355" t="s">
        <v>18</v>
      </c>
      <c r="C7" s="398" t="s">
        <v>19</v>
      </c>
      <c r="D7" s="393">
        <f>(21*60)/D14*$E$2*E14*E3</f>
        <v>12768</v>
      </c>
      <c r="E7" s="393">
        <v>8370</v>
      </c>
      <c r="F7" s="393"/>
      <c r="G7" s="420">
        <f t="shared" ref="G7:G8" si="1">F7/E7</f>
        <v>0</v>
      </c>
      <c r="H7" s="388">
        <f t="shared" si="0"/>
        <v>0.65554511278195493</v>
      </c>
      <c r="I7" s="388">
        <f t="shared" ref="I7:I8" si="2">F7/D7</f>
        <v>0</v>
      </c>
      <c r="J7" s="355" t="s">
        <v>20</v>
      </c>
    </row>
    <row r="8" spans="2:10" s="1" customFormat="1" ht="13.5">
      <c r="B8" s="355"/>
      <c r="C8" s="404" t="s">
        <v>21</v>
      </c>
      <c r="D8" s="393">
        <f>SUM(D5:D7)</f>
        <v>36176</v>
      </c>
      <c r="E8" s="393">
        <f>SUM(E5:E7)</f>
        <v>13544</v>
      </c>
      <c r="F8" s="393">
        <f>SUM(F5:F7)</f>
        <v>0</v>
      </c>
      <c r="G8" s="420">
        <f t="shared" si="1"/>
        <v>0</v>
      </c>
      <c r="H8" s="388">
        <f>E8/D8</f>
        <v>0.3743918620079611</v>
      </c>
      <c r="I8" s="388">
        <f t="shared" si="2"/>
        <v>0</v>
      </c>
      <c r="J8" s="355"/>
    </row>
    <row r="9" spans="2:10" s="1" customFormat="1">
      <c r="D9" s="18"/>
      <c r="J9" s="386"/>
    </row>
    <row r="10" spans="2:10" s="1" customFormat="1" ht="13.5" thickBot="1"/>
    <row r="11" spans="2:10" s="1" customFormat="1" ht="13.5" thickBot="1">
      <c r="B11" s="3" t="s">
        <v>3</v>
      </c>
      <c r="C11" s="4" t="s">
        <v>4</v>
      </c>
      <c r="D11" s="4" t="s">
        <v>22</v>
      </c>
      <c r="E11" s="26" t="s">
        <v>23</v>
      </c>
      <c r="F11" s="21"/>
      <c r="G11" s="21"/>
    </row>
    <row r="12" spans="2:10" s="1" customFormat="1" ht="13.5" thickTop="1">
      <c r="B12" s="6" t="s">
        <v>12</v>
      </c>
      <c r="C12" s="16" t="s">
        <v>24</v>
      </c>
      <c r="D12" s="188">
        <v>1.5</v>
      </c>
      <c r="E12" s="189">
        <v>1</v>
      </c>
    </row>
    <row r="13" spans="2:10" s="1" customFormat="1">
      <c r="B13" s="63" t="s">
        <v>25</v>
      </c>
      <c r="C13" s="185" t="s">
        <v>26</v>
      </c>
      <c r="D13" s="266">
        <v>1.8</v>
      </c>
      <c r="E13" s="267">
        <v>1</v>
      </c>
    </row>
    <row r="14" spans="2:10" s="1" customFormat="1" ht="13.5" thickBot="1">
      <c r="B14" s="184" t="s">
        <v>18</v>
      </c>
      <c r="C14" s="265" t="s">
        <v>27</v>
      </c>
      <c r="D14" s="190">
        <v>1.5</v>
      </c>
      <c r="E14" s="191">
        <v>1</v>
      </c>
    </row>
  </sheetData>
  <phoneticPr fontId="47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Q80"/>
  <sheetViews>
    <sheetView showGridLines="0" topLeftCell="B1" workbookViewId="0">
      <pane xSplit="2" ySplit="4" topLeftCell="D5" activePane="bottomRight" state="frozen"/>
      <selection pane="bottomRight" activeCell="B58" sqref="B58"/>
      <selection pane="bottomLeft" activeCell="B5" sqref="B5"/>
      <selection pane="topRight" activeCell="D1" sqref="D1"/>
    </sheetView>
  </sheetViews>
  <sheetFormatPr defaultColWidth="9.140625" defaultRowHeight="12.75"/>
  <cols>
    <col min="1" max="1" width="1.85546875" style="1" customWidth="1"/>
    <col min="2" max="2" width="9.42578125" style="1" customWidth="1"/>
    <col min="3" max="3" width="36.42578125" style="1" bestFit="1" customWidth="1"/>
    <col min="4" max="4" width="8.85546875" style="1" bestFit="1" customWidth="1"/>
    <col min="5" max="5" width="10.85546875" style="1" customWidth="1"/>
    <col min="6" max="7" width="9.140625" style="1" customWidth="1"/>
    <col min="8" max="9" width="9.42578125" style="1" customWidth="1"/>
    <col min="10" max="10" width="11" style="1" customWidth="1"/>
    <col min="11" max="11" width="9.28515625" style="1" customWidth="1"/>
    <col min="12" max="12" width="16.5703125" style="1" bestFit="1" customWidth="1"/>
    <col min="13" max="13" width="7" style="1" bestFit="1" customWidth="1"/>
    <col min="14" max="15" width="7.5703125" style="1" bestFit="1" customWidth="1"/>
    <col min="16" max="16" width="8" style="1" bestFit="1" customWidth="1"/>
    <col min="17" max="17" width="7" style="1" bestFit="1" customWidth="1"/>
    <col min="18" max="19" width="8.85546875" style="1" customWidth="1"/>
    <col min="20" max="22" width="9.140625" style="1"/>
    <col min="23" max="23" width="9.140625" style="1" customWidth="1"/>
    <col min="24" max="16384" width="9.140625" style="1"/>
  </cols>
  <sheetData>
    <row r="2" spans="2:16" ht="14.25">
      <c r="C2" s="2" t="s">
        <v>460</v>
      </c>
      <c r="D2" s="1" t="s">
        <v>1</v>
      </c>
      <c r="E2" s="59">
        <v>19</v>
      </c>
      <c r="F2" s="316"/>
      <c r="G2" s="316"/>
      <c r="H2" s="1" t="s">
        <v>2</v>
      </c>
      <c r="J2" s="270" t="s">
        <v>171</v>
      </c>
    </row>
    <row r="3" spans="2:16">
      <c r="E3" s="1">
        <v>0.8</v>
      </c>
      <c r="K3" s="702"/>
      <c r="L3" s="619"/>
      <c r="M3" s="619"/>
      <c r="N3" s="619"/>
      <c r="O3" s="619"/>
      <c r="P3" s="619"/>
    </row>
    <row r="4" spans="2:16" ht="51">
      <c r="B4" s="69" t="s">
        <v>3</v>
      </c>
      <c r="C4" s="69" t="s">
        <v>4</v>
      </c>
      <c r="D4" s="387" t="s">
        <v>273</v>
      </c>
      <c r="E4" s="387" t="s">
        <v>274</v>
      </c>
      <c r="F4" s="387" t="s">
        <v>7</v>
      </c>
      <c r="G4" s="387" t="s">
        <v>275</v>
      </c>
      <c r="H4" s="387" t="s">
        <v>9</v>
      </c>
      <c r="I4" s="387" t="s">
        <v>461</v>
      </c>
      <c r="J4" s="387" t="s">
        <v>11</v>
      </c>
      <c r="K4" s="21"/>
      <c r="L4" s="21"/>
      <c r="M4" s="21"/>
      <c r="N4" s="21"/>
      <c r="O4" s="21"/>
      <c r="P4" s="21"/>
    </row>
    <row r="5" spans="2:16" ht="15">
      <c r="B5" s="355" t="s">
        <v>462</v>
      </c>
      <c r="C5" s="419" t="s">
        <v>146</v>
      </c>
      <c r="D5" s="393">
        <f>(21*60)/(D42+E42)*$E$2*H42*E3</f>
        <v>1035.8943396226414</v>
      </c>
      <c r="E5" s="393">
        <v>676</v>
      </c>
      <c r="F5" s="393"/>
      <c r="G5" s="420">
        <f>F5/E5</f>
        <v>0</v>
      </c>
      <c r="H5" s="406">
        <f>E5/D5</f>
        <v>0.65257620796176496</v>
      </c>
      <c r="I5" s="394">
        <f>F5/D5</f>
        <v>0</v>
      </c>
      <c r="J5" s="69" t="s">
        <v>463</v>
      </c>
      <c r="L5" s="18"/>
      <c r="N5" s="54"/>
    </row>
    <row r="6" spans="2:16" ht="15">
      <c r="B6" s="355" t="s">
        <v>464</v>
      </c>
      <c r="C6" s="419" t="s">
        <v>465</v>
      </c>
      <c r="D6" s="393">
        <f>(21*60)/(D43+E43)*$E$2*H43*E3</f>
        <v>1220.0533333333333</v>
      </c>
      <c r="E6" s="393">
        <v>1269</v>
      </c>
      <c r="F6" s="393"/>
      <c r="G6" s="420">
        <f t="shared" ref="G6:G29" si="0">F6/E6</f>
        <v>0</v>
      </c>
      <c r="H6" s="406">
        <f t="shared" ref="H6:H24" si="1">E6/D6</f>
        <v>1.0401184647665676</v>
      </c>
      <c r="I6" s="394">
        <f t="shared" ref="I6:I29" si="2">F6/D6</f>
        <v>0</v>
      </c>
      <c r="J6" s="407" t="s">
        <v>463</v>
      </c>
      <c r="L6" s="18"/>
      <c r="N6" s="54"/>
    </row>
    <row r="7" spans="2:16" ht="15">
      <c r="B7" s="355" t="s">
        <v>466</v>
      </c>
      <c r="C7" s="419" t="s">
        <v>467</v>
      </c>
      <c r="D7" s="393">
        <f>(21*60)/(D44+E44)*$E$2*H44*E3</f>
        <v>1361.21652892562</v>
      </c>
      <c r="E7" s="393">
        <v>194</v>
      </c>
      <c r="F7" s="393"/>
      <c r="G7" s="420">
        <f t="shared" si="0"/>
        <v>0</v>
      </c>
      <c r="H7" s="394">
        <f t="shared" si="1"/>
        <v>0.14251957412912125</v>
      </c>
      <c r="I7" s="394">
        <f t="shared" si="2"/>
        <v>0</v>
      </c>
      <c r="J7" s="407" t="s">
        <v>463</v>
      </c>
      <c r="L7" s="18"/>
      <c r="N7" s="54"/>
    </row>
    <row r="8" spans="2:16" ht="15">
      <c r="B8" s="355" t="s">
        <v>468</v>
      </c>
      <c r="C8" s="419" t="s">
        <v>469</v>
      </c>
      <c r="D8" s="393">
        <f>(21*60)/(D45+E45)*$E$2*H45*E3</f>
        <v>1339.0829268292682</v>
      </c>
      <c r="E8" s="393">
        <v>24</v>
      </c>
      <c r="F8" s="393"/>
      <c r="G8" s="420">
        <f t="shared" si="0"/>
        <v>0</v>
      </c>
      <c r="H8" s="394">
        <f t="shared" si="1"/>
        <v>1.7922713761147055E-2</v>
      </c>
      <c r="I8" s="394">
        <f t="shared" si="2"/>
        <v>0</v>
      </c>
      <c r="J8" s="407" t="s">
        <v>463</v>
      </c>
      <c r="L8" s="18"/>
      <c r="N8" s="54"/>
    </row>
    <row r="9" spans="2:16" ht="15">
      <c r="B9" s="355" t="s">
        <v>470</v>
      </c>
      <c r="C9" s="419" t="s">
        <v>471</v>
      </c>
      <c r="D9" s="393">
        <f>(21*60)/(D46+E46)*$E$2*H46*E3</f>
        <v>1568.64</v>
      </c>
      <c r="E9" s="393">
        <v>787</v>
      </c>
      <c r="F9" s="393"/>
      <c r="G9" s="420">
        <f t="shared" si="0"/>
        <v>0</v>
      </c>
      <c r="H9" s="394">
        <f t="shared" si="1"/>
        <v>0.50170848633210929</v>
      </c>
      <c r="I9" s="394">
        <f t="shared" si="2"/>
        <v>0</v>
      </c>
      <c r="J9" s="407" t="s">
        <v>463</v>
      </c>
      <c r="L9" s="18"/>
      <c r="N9" s="54"/>
    </row>
    <row r="10" spans="2:16" ht="15">
      <c r="B10" s="355" t="s">
        <v>472</v>
      </c>
      <c r="C10" s="419" t="s">
        <v>119</v>
      </c>
      <c r="D10" s="393">
        <f>(21*60)/(D47+E47)*$E$2*H47*E3</f>
        <v>1568.64</v>
      </c>
      <c r="E10" s="393">
        <v>872</v>
      </c>
      <c r="F10" s="393"/>
      <c r="G10" s="420">
        <f t="shared" si="0"/>
        <v>0</v>
      </c>
      <c r="H10" s="394">
        <f>E10/D10</f>
        <v>0.55589555283557723</v>
      </c>
      <c r="I10" s="394">
        <f t="shared" si="2"/>
        <v>0</v>
      </c>
      <c r="J10" s="407" t="s">
        <v>463</v>
      </c>
      <c r="L10" s="18"/>
      <c r="N10" s="54"/>
    </row>
    <row r="11" spans="2:16" ht="15">
      <c r="B11" s="355" t="s">
        <v>473</v>
      </c>
      <c r="C11" s="419" t="s">
        <v>39</v>
      </c>
      <c r="D11" s="393">
        <f>(21*60)/(D48+E48)*$E$2*H48*E3</f>
        <v>1790.2956521739129</v>
      </c>
      <c r="E11" s="393">
        <v>716</v>
      </c>
      <c r="F11" s="393"/>
      <c r="G11" s="420">
        <f t="shared" si="0"/>
        <v>0</v>
      </c>
      <c r="H11" s="394">
        <f>E11/D11</f>
        <v>0.39993394338559579</v>
      </c>
      <c r="I11" s="394">
        <f t="shared" si="2"/>
        <v>0</v>
      </c>
      <c r="J11" s="59" t="s">
        <v>463</v>
      </c>
      <c r="L11" s="18"/>
      <c r="N11" s="54"/>
    </row>
    <row r="12" spans="2:16" ht="15">
      <c r="B12" s="355" t="s">
        <v>474</v>
      </c>
      <c r="C12" s="419" t="s">
        <v>475</v>
      </c>
      <c r="D12" s="393">
        <f>(21*60)/(D49+E49)*$E$2*H49*E3</f>
        <v>1062.6270967741934</v>
      </c>
      <c r="E12" s="393">
        <v>676</v>
      </c>
      <c r="F12" s="393"/>
      <c r="G12" s="420">
        <f t="shared" si="0"/>
        <v>0</v>
      </c>
      <c r="H12" s="406">
        <f t="shared" si="1"/>
        <v>0.63615919644071428</v>
      </c>
      <c r="I12" s="394">
        <f t="shared" si="2"/>
        <v>0</v>
      </c>
      <c r="J12" s="407" t="s">
        <v>463</v>
      </c>
      <c r="L12" s="18"/>
      <c r="N12" s="54"/>
    </row>
    <row r="13" spans="2:16" ht="15">
      <c r="B13" s="355" t="s">
        <v>476</v>
      </c>
      <c r="C13" s="419" t="s">
        <v>72</v>
      </c>
      <c r="D13" s="393">
        <f>(21*60)/(D50+E50)*$E$2*H50*E3</f>
        <v>1432.2365217391307</v>
      </c>
      <c r="E13" s="393"/>
      <c r="F13" s="393"/>
      <c r="G13" s="420" t="e">
        <f t="shared" si="0"/>
        <v>#DIV/0!</v>
      </c>
      <c r="H13" s="394">
        <f t="shared" si="1"/>
        <v>0</v>
      </c>
      <c r="I13" s="394">
        <f t="shared" si="2"/>
        <v>0</v>
      </c>
      <c r="J13" s="69" t="s">
        <v>463</v>
      </c>
      <c r="L13" s="18"/>
      <c r="N13" s="54"/>
    </row>
    <row r="14" spans="2:16" ht="15">
      <c r="B14" s="355" t="s">
        <v>477</v>
      </c>
      <c r="C14" s="419" t="s">
        <v>478</v>
      </c>
      <c r="D14" s="393">
        <f>(21*60)/(D51+E51)*$E$2*H51*E3</f>
        <v>1276.8</v>
      </c>
      <c r="E14" s="393">
        <v>261</v>
      </c>
      <c r="F14" s="393"/>
      <c r="G14" s="420">
        <f t="shared" si="0"/>
        <v>0</v>
      </c>
      <c r="H14" s="394">
        <f t="shared" si="1"/>
        <v>0.20441729323308272</v>
      </c>
      <c r="I14" s="394">
        <f t="shared" si="2"/>
        <v>0</v>
      </c>
      <c r="J14" s="407" t="s">
        <v>463</v>
      </c>
      <c r="L14" s="18"/>
      <c r="N14" s="54"/>
    </row>
    <row r="15" spans="2:16" ht="15">
      <c r="B15" s="355" t="s">
        <v>479</v>
      </c>
      <c r="C15" s="419" t="s">
        <v>480</v>
      </c>
      <c r="D15" s="393">
        <f>(21*60)/(D52+E52)*$E$2*H52*E3</f>
        <v>1614.7764705882355</v>
      </c>
      <c r="E15" s="393"/>
      <c r="F15" s="393"/>
      <c r="G15" s="420" t="e">
        <f t="shared" si="0"/>
        <v>#DIV/0!</v>
      </c>
      <c r="H15" s="394">
        <f t="shared" si="1"/>
        <v>0</v>
      </c>
      <c r="I15" s="394">
        <f t="shared" si="2"/>
        <v>0</v>
      </c>
      <c r="J15" s="59" t="s">
        <v>463</v>
      </c>
      <c r="L15" s="18"/>
      <c r="N15" s="54"/>
    </row>
    <row r="16" spans="2:16" ht="13.5">
      <c r="B16" s="355" t="s">
        <v>481</v>
      </c>
      <c r="C16" s="419" t="s">
        <v>482</v>
      </c>
      <c r="D16" s="393">
        <f>(21*60)/(D53+E53)*$E$2*H53*E3</f>
        <v>1257.3068702290077</v>
      </c>
      <c r="E16" s="393">
        <v>157</v>
      </c>
      <c r="F16" s="393"/>
      <c r="G16" s="420">
        <f t="shared" si="0"/>
        <v>0</v>
      </c>
      <c r="H16" s="394">
        <f t="shared" si="1"/>
        <v>0.12487007246799167</v>
      </c>
      <c r="I16" s="394">
        <f t="shared" si="2"/>
        <v>0</v>
      </c>
      <c r="J16" s="407" t="s">
        <v>463</v>
      </c>
      <c r="N16" s="461"/>
      <c r="O16" s="461"/>
    </row>
    <row r="17" spans="2:17" ht="15" customHeight="1">
      <c r="B17" s="470" t="s">
        <v>483</v>
      </c>
      <c r="C17" s="471" t="s">
        <v>484</v>
      </c>
      <c r="D17" s="472">
        <f>(21*60)/(D56+E56)*$E$2*H56*E3</f>
        <v>718.2</v>
      </c>
      <c r="E17" s="393">
        <v>85</v>
      </c>
      <c r="F17" s="472"/>
      <c r="G17" s="473">
        <f t="shared" si="0"/>
        <v>0</v>
      </c>
      <c r="H17" s="394">
        <f>E17/D17</f>
        <v>0.11835143414090782</v>
      </c>
      <c r="I17" s="474">
        <f t="shared" si="2"/>
        <v>0</v>
      </c>
      <c r="J17" s="475" t="s">
        <v>485</v>
      </c>
      <c r="M17" s="357"/>
      <c r="N17" s="357"/>
      <c r="O17" s="357"/>
      <c r="P17" s="357"/>
      <c r="Q17" s="357"/>
    </row>
    <row r="18" spans="2:17" ht="15" customHeight="1">
      <c r="B18" s="470" t="s">
        <v>486</v>
      </c>
      <c r="C18" s="471" t="s">
        <v>487</v>
      </c>
      <c r="D18" s="472">
        <f>(21*60)/(D57+E57)*$E$2*H57*E3</f>
        <v>662.95384615384614</v>
      </c>
      <c r="E18" s="393"/>
      <c r="F18" s="472"/>
      <c r="G18" s="473" t="e">
        <f t="shared" si="0"/>
        <v>#DIV/0!</v>
      </c>
      <c r="H18" s="394">
        <f>E18/D18</f>
        <v>0</v>
      </c>
      <c r="I18" s="474">
        <f t="shared" si="2"/>
        <v>0</v>
      </c>
      <c r="J18" s="476" t="s">
        <v>485</v>
      </c>
      <c r="M18" s="357"/>
      <c r="N18" s="357"/>
      <c r="O18" s="357"/>
      <c r="P18" s="357"/>
      <c r="Q18" s="357"/>
    </row>
    <row r="19" spans="2:17" ht="15" customHeight="1">
      <c r="B19" s="470" t="s">
        <v>488</v>
      </c>
      <c r="C19" s="471" t="s">
        <v>489</v>
      </c>
      <c r="D19" s="472">
        <f>(21*60)/(D58+E58)*$E$2*H58*E3</f>
        <v>733.48085106382985</v>
      </c>
      <c r="E19" s="393">
        <v>300</v>
      </c>
      <c r="F19" s="472"/>
      <c r="G19" s="473">
        <f t="shared" si="0"/>
        <v>0</v>
      </c>
      <c r="H19" s="394">
        <f>E19/D19</f>
        <v>0.40900863269284321</v>
      </c>
      <c r="I19" s="474">
        <f t="shared" si="2"/>
        <v>0</v>
      </c>
      <c r="J19" s="476" t="s">
        <v>485</v>
      </c>
      <c r="M19" s="357"/>
      <c r="N19" s="357"/>
      <c r="O19" s="357"/>
      <c r="P19" s="357"/>
      <c r="Q19" s="357"/>
    </row>
    <row r="20" spans="2:17" ht="15" customHeight="1">
      <c r="B20" s="355" t="s">
        <v>490</v>
      </c>
      <c r="C20" s="419" t="s">
        <v>491</v>
      </c>
      <c r="D20" s="393">
        <f>(21*60)/(D59+E59)*$E$2*H59*E3</f>
        <v>1790.2956521739129</v>
      </c>
      <c r="E20" s="393"/>
      <c r="F20" s="393"/>
      <c r="G20" s="420" t="e">
        <f t="shared" si="0"/>
        <v>#DIV/0!</v>
      </c>
      <c r="H20" s="394">
        <f t="shared" si="1"/>
        <v>0</v>
      </c>
      <c r="I20" s="394">
        <f t="shared" si="2"/>
        <v>0</v>
      </c>
      <c r="J20" s="59" t="s">
        <v>492</v>
      </c>
      <c r="M20" s="357"/>
      <c r="N20" s="357"/>
      <c r="O20" s="357"/>
      <c r="P20" s="357"/>
      <c r="Q20" s="357"/>
    </row>
    <row r="21" spans="2:17" ht="15" customHeight="1">
      <c r="B21" s="355" t="s">
        <v>493</v>
      </c>
      <c r="C21" s="419" t="s">
        <v>494</v>
      </c>
      <c r="D21" s="393">
        <f>(21*60)/(D60+E60)*$E$2*H60*E3</f>
        <v>1663.7090909090909</v>
      </c>
      <c r="E21" s="393"/>
      <c r="F21" s="393"/>
      <c r="G21" s="420" t="e">
        <f t="shared" si="0"/>
        <v>#DIV/0!</v>
      </c>
      <c r="H21" s="394">
        <f t="shared" si="1"/>
        <v>0</v>
      </c>
      <c r="I21" s="394">
        <f t="shared" si="2"/>
        <v>0</v>
      </c>
      <c r="J21" s="407" t="s">
        <v>492</v>
      </c>
      <c r="M21" s="357"/>
      <c r="N21" s="357"/>
      <c r="O21" s="357"/>
      <c r="P21" s="357"/>
      <c r="Q21" s="357"/>
    </row>
    <row r="22" spans="2:17" ht="15" customHeight="1">
      <c r="B22" s="401" t="s">
        <v>495</v>
      </c>
      <c r="C22" s="419" t="s">
        <v>113</v>
      </c>
      <c r="D22" s="393">
        <f>(21*60)/(D61+E61)*$E$2*H61*E3</f>
        <v>1714.3048951048954</v>
      </c>
      <c r="E22" s="393">
        <v>1017</v>
      </c>
      <c r="F22" s="393"/>
      <c r="G22" s="420">
        <f t="shared" si="0"/>
        <v>0</v>
      </c>
      <c r="H22" s="394">
        <f t="shared" si="1"/>
        <v>0.59324336231203001</v>
      </c>
      <c r="I22" s="394">
        <f t="shared" si="2"/>
        <v>0</v>
      </c>
      <c r="J22" s="407" t="s">
        <v>496</v>
      </c>
    </row>
    <row r="23" spans="2:17" ht="15" customHeight="1">
      <c r="B23" s="355" t="s">
        <v>497</v>
      </c>
      <c r="C23" s="419" t="s">
        <v>37</v>
      </c>
      <c r="D23" s="393">
        <f>(21*60)/(D62+E62)*$E$2*H62*E3</f>
        <v>1647.0720000000001</v>
      </c>
      <c r="E23" s="393">
        <v>259</v>
      </c>
      <c r="F23" s="393"/>
      <c r="G23" s="420">
        <f t="shared" si="0"/>
        <v>0</v>
      </c>
      <c r="H23" s="394">
        <f t="shared" si="1"/>
        <v>0.15724874201006392</v>
      </c>
      <c r="I23" s="394">
        <f t="shared" si="2"/>
        <v>0</v>
      </c>
      <c r="J23" s="59" t="s">
        <v>498</v>
      </c>
      <c r="M23" s="357"/>
      <c r="N23" s="357"/>
      <c r="O23" s="357"/>
      <c r="P23" s="357"/>
      <c r="Q23" s="357"/>
    </row>
    <row r="24" spans="2:17" ht="15" customHeight="1">
      <c r="B24" s="355" t="s">
        <v>499</v>
      </c>
      <c r="C24" s="419" t="s">
        <v>500</v>
      </c>
      <c r="D24" s="393">
        <f>(21*60)/(D63+E63)*$E$2*H63*E3</f>
        <v>1372.56</v>
      </c>
      <c r="E24" s="393">
        <v>2202</v>
      </c>
      <c r="F24" s="393"/>
      <c r="G24" s="420">
        <f t="shared" si="0"/>
        <v>0</v>
      </c>
      <c r="H24" s="406">
        <f t="shared" si="1"/>
        <v>1.6043014513026754</v>
      </c>
      <c r="I24" s="394">
        <f t="shared" si="2"/>
        <v>0</v>
      </c>
      <c r="J24" s="59" t="s">
        <v>498</v>
      </c>
      <c r="M24" s="357"/>
      <c r="N24" s="357"/>
      <c r="O24" s="357"/>
      <c r="P24" s="357"/>
      <c r="Q24" s="357"/>
    </row>
    <row r="25" spans="2:17" ht="15" customHeight="1">
      <c r="B25" s="355" t="s">
        <v>501</v>
      </c>
      <c r="C25" s="419" t="s">
        <v>502</v>
      </c>
      <c r="D25" s="393">
        <f>(21*60)/(D64+E64)*$E$2*H64*E3</f>
        <v>1497.338181818182</v>
      </c>
      <c r="E25" s="393"/>
      <c r="F25" s="393"/>
      <c r="G25" s="420" t="e">
        <f t="shared" si="0"/>
        <v>#DIV/0!</v>
      </c>
      <c r="H25" s="394">
        <f>E25/D25</f>
        <v>0</v>
      </c>
      <c r="I25" s="394">
        <f t="shared" si="2"/>
        <v>0</v>
      </c>
      <c r="J25" s="59" t="s">
        <v>498</v>
      </c>
      <c r="M25" s="357"/>
      <c r="N25" s="357"/>
      <c r="O25" s="357"/>
      <c r="P25" s="357"/>
      <c r="Q25" s="357"/>
    </row>
    <row r="26" spans="2:17" ht="15" customHeight="1">
      <c r="B26" s="355" t="s">
        <v>503</v>
      </c>
      <c r="C26" s="419" t="s">
        <v>504</v>
      </c>
      <c r="D26" s="393">
        <f>(21*60)/(D65+E65)*$E$2*H65*E3</f>
        <v>1419.8896551724138</v>
      </c>
      <c r="E26" s="393">
        <v>1792</v>
      </c>
      <c r="F26" s="393"/>
      <c r="G26" s="420">
        <f t="shared" si="0"/>
        <v>0</v>
      </c>
      <c r="H26" s="394">
        <f t="shared" ref="H26:H28" si="3">E26/D26</f>
        <v>1.2620699034407725</v>
      </c>
      <c r="I26" s="394">
        <f t="shared" si="2"/>
        <v>0</v>
      </c>
      <c r="J26" s="59" t="s">
        <v>498</v>
      </c>
      <c r="M26" s="357"/>
      <c r="N26" s="357"/>
      <c r="O26" s="357"/>
      <c r="P26" s="357"/>
      <c r="Q26" s="357"/>
    </row>
    <row r="27" spans="2:17" ht="15" customHeight="1">
      <c r="B27" s="355" t="s">
        <v>505</v>
      </c>
      <c r="C27" s="419" t="s">
        <v>506</v>
      </c>
      <c r="D27" s="393">
        <f>(21*60)/(D66+E66)*$E$2*H66*E3</f>
        <v>1483.8486486486488</v>
      </c>
      <c r="E27" s="393">
        <v>634</v>
      </c>
      <c r="F27" s="393"/>
      <c r="G27" s="420">
        <f t="shared" si="0"/>
        <v>0</v>
      </c>
      <c r="H27" s="394">
        <f t="shared" si="3"/>
        <v>0.42726729614734504</v>
      </c>
      <c r="I27" s="394">
        <f t="shared" si="2"/>
        <v>0</v>
      </c>
      <c r="J27" s="407" t="s">
        <v>498</v>
      </c>
      <c r="M27" s="357"/>
      <c r="N27" s="357"/>
      <c r="O27" s="357"/>
      <c r="P27" s="357"/>
      <c r="Q27" s="357"/>
    </row>
    <row r="28" spans="2:17" ht="15" customHeight="1">
      <c r="B28" s="355" t="s">
        <v>507</v>
      </c>
      <c r="C28" s="419" t="s">
        <v>61</v>
      </c>
      <c r="D28" s="393">
        <f>(21*60)/(D67+E67)*$E$2*H67*E3</f>
        <v>1647.0720000000001</v>
      </c>
      <c r="E28" s="393">
        <v>332</v>
      </c>
      <c r="F28" s="393"/>
      <c r="G28" s="420">
        <f t="shared" si="0"/>
        <v>0</v>
      </c>
      <c r="H28" s="394">
        <f t="shared" si="3"/>
        <v>0.20156981601290044</v>
      </c>
      <c r="I28" s="394">
        <f t="shared" si="2"/>
        <v>0</v>
      </c>
      <c r="J28" s="59" t="s">
        <v>498</v>
      </c>
      <c r="M28" s="357"/>
      <c r="N28" s="357"/>
      <c r="O28" s="357"/>
      <c r="P28" s="357"/>
      <c r="Q28" s="357"/>
    </row>
    <row r="29" spans="2:17" ht="15" customHeight="1">
      <c r="B29" s="355" t="s">
        <v>508</v>
      </c>
      <c r="C29" s="419" t="s">
        <v>509</v>
      </c>
      <c r="D29" s="393">
        <f>(21*60)/(D68+E68)*$E$2*H68*E3</f>
        <v>1647.0720000000001</v>
      </c>
      <c r="E29" s="393">
        <v>1017</v>
      </c>
      <c r="F29" s="405"/>
      <c r="G29" s="420">
        <f t="shared" si="0"/>
        <v>0</v>
      </c>
      <c r="H29" s="388">
        <f>E29/D29</f>
        <v>0.61745934603951735</v>
      </c>
      <c r="I29" s="394">
        <f t="shared" si="2"/>
        <v>0</v>
      </c>
      <c r="J29" s="59" t="s">
        <v>498</v>
      </c>
    </row>
    <row r="30" spans="2:17" ht="15" customHeight="1">
      <c r="B30" s="355" t="s">
        <v>510</v>
      </c>
      <c r="C30" s="419" t="s">
        <v>58</v>
      </c>
      <c r="D30" s="393">
        <f>(21*60)/(D69+E69)*$E$2*H69*E3</f>
        <v>1197</v>
      </c>
      <c r="E30" s="393">
        <v>274</v>
      </c>
      <c r="F30" s="405"/>
      <c r="G30" s="420">
        <f t="shared" ref="G30:G33" si="4">F30/E30</f>
        <v>0</v>
      </c>
      <c r="H30" s="394">
        <f t="shared" ref="H30:H31" si="5">E30/D30</f>
        <v>0.22890559732664995</v>
      </c>
      <c r="I30" s="394">
        <f t="shared" ref="I30" si="6">F30/D30</f>
        <v>0</v>
      </c>
      <c r="J30" s="59" t="s">
        <v>511</v>
      </c>
    </row>
    <row r="31" spans="2:17" ht="15" customHeight="1">
      <c r="B31" s="355" t="s">
        <v>512</v>
      </c>
      <c r="C31" s="419" t="s">
        <v>81</v>
      </c>
      <c r="D31" s="393">
        <f>(21*60)/(D70+E70)*$E$2*H70*E3</f>
        <v>1260</v>
      </c>
      <c r="E31" s="393">
        <v>528</v>
      </c>
      <c r="F31" s="405"/>
      <c r="G31" s="420">
        <f>F31/E31</f>
        <v>0</v>
      </c>
      <c r="H31" s="394">
        <f t="shared" si="5"/>
        <v>0.41904761904761906</v>
      </c>
      <c r="I31" s="394">
        <f>F31/D31</f>
        <v>0</v>
      </c>
      <c r="J31" s="59" t="s">
        <v>511</v>
      </c>
    </row>
    <row r="32" spans="2:17" ht="15" customHeight="1">
      <c r="B32" s="355" t="s">
        <v>513</v>
      </c>
      <c r="C32" s="419" t="s">
        <v>83</v>
      </c>
      <c r="D32" s="393">
        <f>(21*60)/(D71+E71)*$E$2*H71*E3</f>
        <v>1182.2222222222224</v>
      </c>
      <c r="E32" s="393">
        <v>1156</v>
      </c>
      <c r="F32" s="405"/>
      <c r="G32" s="420">
        <f t="shared" si="4"/>
        <v>0</v>
      </c>
      <c r="H32" s="388">
        <f t="shared" ref="H32:H33" si="7">E32/D32</f>
        <v>0.97781954887218026</v>
      </c>
      <c r="I32" s="394">
        <f t="shared" ref="I32:I33" si="8">F32/D32</f>
        <v>0</v>
      </c>
      <c r="J32" s="59" t="s">
        <v>511</v>
      </c>
    </row>
    <row r="33" spans="2:17" ht="15" customHeight="1">
      <c r="B33" s="355" t="s">
        <v>514</v>
      </c>
      <c r="C33" s="419" t="s">
        <v>72</v>
      </c>
      <c r="D33" s="393">
        <f>(21*60)/(D72+E72)*$E$2*H72*E3</f>
        <v>1182.2222222222224</v>
      </c>
      <c r="E33" s="393">
        <v>410</v>
      </c>
      <c r="F33" s="405"/>
      <c r="G33" s="420">
        <f t="shared" si="4"/>
        <v>0</v>
      </c>
      <c r="H33" s="394">
        <f t="shared" si="7"/>
        <v>0.34680451127819545</v>
      </c>
      <c r="I33" s="394">
        <f t="shared" si="8"/>
        <v>0</v>
      </c>
      <c r="J33" s="59" t="s">
        <v>511</v>
      </c>
    </row>
    <row r="34" spans="2:17" ht="15" customHeight="1">
      <c r="B34" s="355"/>
      <c r="C34" s="404" t="s">
        <v>21</v>
      </c>
      <c r="D34" s="393">
        <f>SUM(D5:D31)</f>
        <v>36982.366561260162</v>
      </c>
      <c r="E34" s="393">
        <f>SUM(E5:E33)</f>
        <v>15638</v>
      </c>
      <c r="F34" s="393"/>
      <c r="G34" s="420">
        <f>F34/E34</f>
        <v>0</v>
      </c>
      <c r="H34" s="394">
        <f>E34/D34</f>
        <v>0.42285017033985994</v>
      </c>
      <c r="I34" s="394">
        <f>F34/D34</f>
        <v>0</v>
      </c>
      <c r="J34" s="355"/>
      <c r="K34" s="354"/>
      <c r="L34" s="195"/>
      <c r="M34" s="462"/>
      <c r="N34" s="462"/>
      <c r="O34" s="357"/>
      <c r="P34" s="357"/>
      <c r="Q34" s="357"/>
    </row>
    <row r="35" spans="2:17" ht="15" customHeight="1">
      <c r="C35" s="353"/>
      <c r="D35" s="18"/>
      <c r="E35" s="18"/>
      <c r="F35" s="18"/>
      <c r="G35" s="18"/>
      <c r="H35" s="19"/>
      <c r="I35" s="19"/>
      <c r="K35" s="354"/>
      <c r="L35" s="142"/>
      <c r="M35" s="142"/>
      <c r="N35" s="54"/>
    </row>
    <row r="36" spans="2:17" ht="15.75" thickBot="1">
      <c r="N36" s="54"/>
    </row>
    <row r="37" spans="2:17" ht="15">
      <c r="C37" s="143" t="s">
        <v>515</v>
      </c>
      <c r="D37" s="144">
        <f>SUM(D5:D16)</f>
        <v>16527.569740215342</v>
      </c>
      <c r="E37" s="144">
        <f>SUM(E5:E16)</f>
        <v>5632</v>
      </c>
      <c r="F37" s="317"/>
      <c r="G37" s="317"/>
      <c r="H37" s="356">
        <f>E37/D37</f>
        <v>0.3407639531113919</v>
      </c>
      <c r="I37" s="415"/>
      <c r="N37" s="54"/>
      <c r="O37" s="234"/>
    </row>
    <row r="38" spans="2:17" ht="15">
      <c r="C38" s="145" t="s">
        <v>485</v>
      </c>
      <c r="D38" s="9">
        <f>SUM(D17:D19)</f>
        <v>2114.6346972176761</v>
      </c>
      <c r="E38" s="9">
        <f>SUM(E17:E19)</f>
        <v>385</v>
      </c>
      <c r="F38" s="389"/>
      <c r="G38" s="389"/>
      <c r="H38" s="351">
        <f>E38/D38</f>
        <v>0.18206454311307882</v>
      </c>
      <c r="I38" s="415"/>
      <c r="N38" s="54"/>
    </row>
    <row r="39" spans="2:17" ht="15.75" thickBot="1">
      <c r="C39" s="146" t="s">
        <v>516</v>
      </c>
      <c r="D39" s="106">
        <f>SUM(D20:D28)+D29</f>
        <v>15883.162123827144</v>
      </c>
      <c r="E39" s="106">
        <f>SUM(E20:E28)+E29</f>
        <v>7253</v>
      </c>
      <c r="F39" s="318"/>
      <c r="G39" s="318"/>
      <c r="H39" s="352">
        <f>E39/D39</f>
        <v>0.45664710486833121</v>
      </c>
      <c r="I39" s="415"/>
      <c r="N39" s="54"/>
    </row>
    <row r="40" spans="2:17" ht="15.75" thickBot="1">
      <c r="N40" s="54"/>
    </row>
    <row r="41" spans="2:17" ht="51.75" thickBot="1">
      <c r="B41" s="3" t="s">
        <v>3</v>
      </c>
      <c r="C41" s="4" t="s">
        <v>4</v>
      </c>
      <c r="D41" s="4" t="s">
        <v>517</v>
      </c>
      <c r="E41" s="5" t="s">
        <v>518</v>
      </c>
      <c r="F41" s="385"/>
      <c r="G41" s="385"/>
      <c r="H41" s="26" t="s">
        <v>519</v>
      </c>
      <c r="I41" s="21"/>
      <c r="N41" s="54"/>
    </row>
    <row r="42" spans="2:17" ht="15.75" thickTop="1">
      <c r="B42" s="6" t="s">
        <v>462</v>
      </c>
      <c r="C42" s="469" t="s">
        <v>520</v>
      </c>
      <c r="D42" s="109">
        <v>72</v>
      </c>
      <c r="E42" s="109">
        <v>7.5</v>
      </c>
      <c r="F42" s="411"/>
      <c r="G42" s="411"/>
      <c r="H42" s="61">
        <v>4.3</v>
      </c>
      <c r="I42" s="416"/>
      <c r="N42" s="54"/>
    </row>
    <row r="43" spans="2:17" ht="15">
      <c r="B43" s="7" t="s">
        <v>464</v>
      </c>
      <c r="C43" s="248" t="s">
        <v>521</v>
      </c>
      <c r="D43" s="110">
        <v>60</v>
      </c>
      <c r="E43" s="110">
        <v>7.5</v>
      </c>
      <c r="F43" s="412"/>
      <c r="G43" s="412"/>
      <c r="H43" s="62">
        <v>4.3</v>
      </c>
      <c r="I43" s="416"/>
      <c r="N43" s="54"/>
    </row>
    <row r="44" spans="2:17" ht="13.5">
      <c r="B44" s="7" t="s">
        <v>466</v>
      </c>
      <c r="C44" s="27" t="s">
        <v>467</v>
      </c>
      <c r="D44" s="110">
        <v>55</v>
      </c>
      <c r="E44" s="110">
        <v>5.5</v>
      </c>
      <c r="F44" s="412"/>
      <c r="G44" s="412"/>
      <c r="H44" s="62">
        <v>4.3</v>
      </c>
      <c r="I44" s="416"/>
    </row>
    <row r="45" spans="2:17" ht="13.5">
      <c r="B45" s="7" t="s">
        <v>468</v>
      </c>
      <c r="C45" s="248" t="s">
        <v>469</v>
      </c>
      <c r="D45" s="110">
        <v>56</v>
      </c>
      <c r="E45" s="110">
        <v>5.5</v>
      </c>
      <c r="F45" s="412"/>
      <c r="G45" s="412"/>
      <c r="H45" s="62">
        <v>4.3</v>
      </c>
      <c r="I45" s="416"/>
    </row>
    <row r="46" spans="2:17" ht="13.5">
      <c r="B46" s="7" t="s">
        <v>470</v>
      </c>
      <c r="C46" s="201" t="s">
        <v>246</v>
      </c>
      <c r="D46" s="110">
        <v>47</v>
      </c>
      <c r="E46" s="110">
        <v>5.5</v>
      </c>
      <c r="F46" s="412"/>
      <c r="G46" s="412"/>
      <c r="H46" s="62">
        <v>4.3</v>
      </c>
      <c r="I46" s="416"/>
    </row>
    <row r="47" spans="2:17" ht="13.5">
      <c r="B47" s="7" t="s">
        <v>472</v>
      </c>
      <c r="C47" s="27" t="s">
        <v>522</v>
      </c>
      <c r="D47" s="110">
        <v>47</v>
      </c>
      <c r="E47" s="110">
        <v>5.5</v>
      </c>
      <c r="F47" s="412"/>
      <c r="G47" s="412"/>
      <c r="H47" s="62">
        <v>4.3</v>
      </c>
      <c r="I47" s="416"/>
    </row>
    <row r="48" spans="2:17" ht="13.5">
      <c r="B48" s="7" t="s">
        <v>473</v>
      </c>
      <c r="C48" s="11" t="s">
        <v>523</v>
      </c>
      <c r="D48" s="109">
        <v>46</v>
      </c>
      <c r="E48" s="109">
        <v>0</v>
      </c>
      <c r="F48" s="411"/>
      <c r="G48" s="411"/>
      <c r="H48" s="61">
        <v>4.3</v>
      </c>
      <c r="I48" s="416"/>
      <c r="P48" s="234"/>
    </row>
    <row r="49" spans="2:9" ht="13.5">
      <c r="B49" s="7" t="s">
        <v>474</v>
      </c>
      <c r="C49" s="11" t="s">
        <v>150</v>
      </c>
      <c r="D49" s="110">
        <v>72</v>
      </c>
      <c r="E49" s="110">
        <v>5.5</v>
      </c>
      <c r="F49" s="412"/>
      <c r="G49" s="412"/>
      <c r="H49" s="62">
        <v>4.3</v>
      </c>
      <c r="I49" s="416"/>
    </row>
    <row r="50" spans="2:9" ht="13.5">
      <c r="B50" s="7" t="s">
        <v>476</v>
      </c>
      <c r="C50" s="200" t="s">
        <v>524</v>
      </c>
      <c r="D50" s="110">
        <v>52</v>
      </c>
      <c r="E50" s="110">
        <v>5.5</v>
      </c>
      <c r="F50" s="412"/>
      <c r="G50" s="412"/>
      <c r="H50" s="62">
        <v>4.3</v>
      </c>
      <c r="I50" s="416"/>
    </row>
    <row r="51" spans="2:9" ht="13.5">
      <c r="B51" s="7" t="s">
        <v>477</v>
      </c>
      <c r="C51" s="10" t="s">
        <v>243</v>
      </c>
      <c r="D51" s="110">
        <v>59</v>
      </c>
      <c r="E51" s="110">
        <v>5.5</v>
      </c>
      <c r="F51" s="412"/>
      <c r="G51" s="412"/>
      <c r="H51" s="62">
        <v>4.3</v>
      </c>
      <c r="I51" s="416"/>
    </row>
    <row r="52" spans="2:9" ht="13.5">
      <c r="B52" s="7" t="s">
        <v>479</v>
      </c>
      <c r="C52" s="201" t="s">
        <v>525</v>
      </c>
      <c r="D52" s="110">
        <v>51</v>
      </c>
      <c r="E52" s="110">
        <v>0</v>
      </c>
      <c r="F52" s="412"/>
      <c r="G52" s="412"/>
      <c r="H52" s="62">
        <v>4.3</v>
      </c>
      <c r="I52" s="416"/>
    </row>
    <row r="53" spans="2:9" ht="13.5">
      <c r="B53" s="7" t="s">
        <v>481</v>
      </c>
      <c r="C53" s="182" t="s">
        <v>526</v>
      </c>
      <c r="D53" s="110">
        <v>60</v>
      </c>
      <c r="E53" s="110">
        <v>5.5</v>
      </c>
      <c r="F53" s="412"/>
      <c r="G53" s="412"/>
      <c r="H53" s="62">
        <v>4.3</v>
      </c>
      <c r="I53" s="416"/>
    </row>
    <row r="54" spans="2:9" ht="13.5">
      <c r="B54" s="60" t="s">
        <v>527</v>
      </c>
      <c r="C54" s="258"/>
      <c r="D54" s="110">
        <v>42</v>
      </c>
      <c r="E54" s="110">
        <v>6</v>
      </c>
      <c r="F54" s="412"/>
      <c r="G54" s="412"/>
      <c r="H54" s="62">
        <v>1.8</v>
      </c>
      <c r="I54" s="416"/>
    </row>
    <row r="55" spans="2:9" ht="13.5">
      <c r="B55" s="22" t="s">
        <v>528</v>
      </c>
      <c r="C55" s="174" t="s">
        <v>489</v>
      </c>
      <c r="D55" s="110">
        <v>42</v>
      </c>
      <c r="E55" s="110">
        <v>6</v>
      </c>
      <c r="F55" s="412"/>
      <c r="G55" s="412"/>
      <c r="H55" s="62">
        <v>1.8</v>
      </c>
      <c r="I55" s="416"/>
    </row>
    <row r="56" spans="2:9" ht="13.5">
      <c r="B56" s="22" t="s">
        <v>529</v>
      </c>
      <c r="C56" s="174" t="s">
        <v>530</v>
      </c>
      <c r="D56" s="110">
        <v>42</v>
      </c>
      <c r="E56" s="110">
        <v>6</v>
      </c>
      <c r="F56" s="412"/>
      <c r="G56" s="412"/>
      <c r="H56" s="62">
        <v>1.8</v>
      </c>
      <c r="I56" s="416"/>
    </row>
    <row r="57" spans="2:9" ht="13.5">
      <c r="B57" s="22" t="s">
        <v>531</v>
      </c>
      <c r="C57" s="174" t="s">
        <v>532</v>
      </c>
      <c r="D57" s="110">
        <v>42</v>
      </c>
      <c r="E57" s="110">
        <v>10</v>
      </c>
      <c r="F57" s="412"/>
      <c r="G57" s="412"/>
      <c r="H57" s="62">
        <v>1.8</v>
      </c>
      <c r="I57" s="416"/>
    </row>
    <row r="58" spans="2:9" ht="13.5">
      <c r="B58" s="57" t="s">
        <v>488</v>
      </c>
      <c r="C58" s="182" t="s">
        <v>533</v>
      </c>
      <c r="D58" s="111">
        <v>42</v>
      </c>
      <c r="E58" s="111">
        <v>5</v>
      </c>
      <c r="F58" s="413"/>
      <c r="G58" s="413"/>
      <c r="H58" s="65">
        <v>1.8</v>
      </c>
      <c r="I58" s="417"/>
    </row>
    <row r="59" spans="2:9" ht="13.5">
      <c r="B59" s="63" t="s">
        <v>490</v>
      </c>
      <c r="C59" s="201" t="s">
        <v>534</v>
      </c>
      <c r="D59" s="112">
        <v>46</v>
      </c>
      <c r="E59" s="112">
        <v>0</v>
      </c>
      <c r="F59" s="414"/>
      <c r="G59" s="414"/>
      <c r="H59" s="64">
        <v>4.3</v>
      </c>
      <c r="I59" s="416"/>
    </row>
    <row r="60" spans="2:9" ht="13.5">
      <c r="B60" s="7" t="s">
        <v>493</v>
      </c>
      <c r="C60" s="200" t="s">
        <v>535</v>
      </c>
      <c r="D60" s="110">
        <v>44</v>
      </c>
      <c r="E60" s="110">
        <v>5.5</v>
      </c>
      <c r="F60" s="412"/>
      <c r="G60" s="412"/>
      <c r="H60" s="62">
        <v>4.3</v>
      </c>
      <c r="I60" s="416"/>
    </row>
    <row r="61" spans="2:9" ht="13.5">
      <c r="B61" s="7" t="s">
        <v>495</v>
      </c>
      <c r="C61" s="8" t="s">
        <v>536</v>
      </c>
      <c r="D61" s="110">
        <v>66</v>
      </c>
      <c r="E61" s="110">
        <v>5.5</v>
      </c>
      <c r="F61" s="412"/>
      <c r="G61" s="412"/>
      <c r="H61" s="62">
        <v>6.4</v>
      </c>
      <c r="I61" s="416"/>
    </row>
    <row r="62" spans="2:9" ht="13.5">
      <c r="B62" s="7" t="s">
        <v>497</v>
      </c>
      <c r="C62" s="11" t="s">
        <v>537</v>
      </c>
      <c r="D62" s="110">
        <v>50</v>
      </c>
      <c r="E62" s="110">
        <v>0</v>
      </c>
      <c r="F62" s="412"/>
      <c r="G62" s="412"/>
      <c r="H62" s="62">
        <v>4.3</v>
      </c>
      <c r="I62" s="416"/>
    </row>
    <row r="63" spans="2:9" ht="13.5">
      <c r="B63" s="7" t="s">
        <v>499</v>
      </c>
      <c r="C63" s="105" t="s">
        <v>538</v>
      </c>
      <c r="D63" s="110">
        <v>60</v>
      </c>
      <c r="E63" s="110">
        <v>0</v>
      </c>
      <c r="F63" s="412"/>
      <c r="G63" s="412"/>
      <c r="H63" s="62">
        <v>4.3</v>
      </c>
      <c r="I63" s="416"/>
    </row>
    <row r="64" spans="2:9" ht="13.5">
      <c r="B64" s="6" t="s">
        <v>501</v>
      </c>
      <c r="C64" s="11" t="s">
        <v>142</v>
      </c>
      <c r="D64" s="109">
        <v>55</v>
      </c>
      <c r="E64" s="109">
        <v>0</v>
      </c>
      <c r="F64" s="411"/>
      <c r="G64" s="411"/>
      <c r="H64" s="61">
        <v>4.3</v>
      </c>
      <c r="I64" s="416"/>
    </row>
    <row r="65" spans="2:12" ht="13.5">
      <c r="B65" s="7" t="s">
        <v>503</v>
      </c>
      <c r="C65" s="11" t="s">
        <v>539</v>
      </c>
      <c r="D65" s="110">
        <v>58</v>
      </c>
      <c r="E65" s="110">
        <v>0</v>
      </c>
      <c r="F65" s="412"/>
      <c r="G65" s="412"/>
      <c r="H65" s="62">
        <v>4.3</v>
      </c>
      <c r="I65" s="416"/>
    </row>
    <row r="66" spans="2:12" ht="13.5">
      <c r="B66" s="7" t="s">
        <v>505</v>
      </c>
      <c r="C66" s="200" t="s">
        <v>540</v>
      </c>
      <c r="D66" s="110">
        <v>50</v>
      </c>
      <c r="E66" s="110">
        <v>5.5</v>
      </c>
      <c r="F66" s="412"/>
      <c r="G66" s="412"/>
      <c r="H66" s="62">
        <v>4.3</v>
      </c>
      <c r="I66" s="416"/>
    </row>
    <row r="67" spans="2:12" ht="13.5">
      <c r="B67" s="7" t="s">
        <v>507</v>
      </c>
      <c r="C67" s="160" t="s">
        <v>541</v>
      </c>
      <c r="D67" s="110">
        <v>50</v>
      </c>
      <c r="E67" s="110">
        <v>0</v>
      </c>
      <c r="F67" s="412"/>
      <c r="G67" s="412"/>
      <c r="H67" s="62">
        <v>4.3</v>
      </c>
      <c r="I67" s="416"/>
    </row>
    <row r="68" spans="2:12" ht="13.5">
      <c r="B68" s="63" t="s">
        <v>508</v>
      </c>
      <c r="C68" s="463" t="s">
        <v>113</v>
      </c>
      <c r="D68" s="112">
        <v>50</v>
      </c>
      <c r="E68" s="112">
        <v>0</v>
      </c>
      <c r="F68" s="414"/>
      <c r="G68" s="414"/>
      <c r="H68" s="64">
        <v>4.3</v>
      </c>
      <c r="I68" s="416"/>
    </row>
    <row r="69" spans="2:12" ht="13.5">
      <c r="B69" s="16" t="s">
        <v>510</v>
      </c>
      <c r="C69" s="16" t="s">
        <v>58</v>
      </c>
      <c r="D69" s="464">
        <v>30</v>
      </c>
      <c r="E69" s="110">
        <v>10</v>
      </c>
      <c r="F69" s="110"/>
      <c r="G69" s="110"/>
      <c r="H69" s="468">
        <v>2.5</v>
      </c>
      <c r="I69" s="418"/>
    </row>
    <row r="70" spans="2:12" ht="13.5">
      <c r="B70" s="16" t="s">
        <v>512</v>
      </c>
      <c r="C70" s="16" t="s">
        <v>81</v>
      </c>
      <c r="D70" s="464">
        <v>28</v>
      </c>
      <c r="E70" s="110">
        <v>10</v>
      </c>
      <c r="F70" s="110"/>
      <c r="G70" s="110"/>
      <c r="H70" s="468">
        <v>2.5</v>
      </c>
    </row>
    <row r="71" spans="2:12" ht="13.5">
      <c r="B71" s="23" t="s">
        <v>513</v>
      </c>
      <c r="C71" s="23" t="s">
        <v>83</v>
      </c>
      <c r="D71" s="499">
        <v>30.5</v>
      </c>
      <c r="E71" s="109">
        <v>10</v>
      </c>
      <c r="F71" s="109"/>
      <c r="G71" s="109"/>
      <c r="H71" s="500">
        <v>2.5</v>
      </c>
    </row>
    <row r="72" spans="2:12" ht="14.25" thickBot="1">
      <c r="B72" s="253" t="s">
        <v>514</v>
      </c>
      <c r="C72" s="253" t="s">
        <v>72</v>
      </c>
      <c r="D72" s="465">
        <v>30.5</v>
      </c>
      <c r="E72" s="466">
        <v>10</v>
      </c>
      <c r="F72" s="466"/>
      <c r="G72" s="466"/>
      <c r="H72" s="467">
        <v>2.5</v>
      </c>
    </row>
    <row r="73" spans="2:12" ht="13.5" thickBot="1"/>
    <row r="74" spans="2:12" ht="51.75" thickBot="1">
      <c r="B74" s="507" t="s">
        <v>542</v>
      </c>
      <c r="C74" s="4" t="s">
        <v>4</v>
      </c>
      <c r="D74" s="4" t="s">
        <v>517</v>
      </c>
      <c r="E74" s="5" t="s">
        <v>518</v>
      </c>
      <c r="F74" s="385" t="s">
        <v>175</v>
      </c>
      <c r="G74" s="715" t="s">
        <v>543</v>
      </c>
      <c r="H74" s="716"/>
      <c r="I74" s="511"/>
      <c r="J74" s="370"/>
    </row>
    <row r="75" spans="2:12" ht="14.25" thickTop="1">
      <c r="B75" s="658" t="s">
        <v>544</v>
      </c>
      <c r="C75" s="533" t="s">
        <v>545</v>
      </c>
      <c r="D75" s="499">
        <v>29</v>
      </c>
      <c r="E75" s="499">
        <v>33</v>
      </c>
      <c r="F75" s="508">
        <v>80</v>
      </c>
      <c r="G75" s="717" t="s">
        <v>546</v>
      </c>
      <c r="H75" s="718"/>
      <c r="I75" s="512"/>
      <c r="J75" s="705" t="s">
        <v>547</v>
      </c>
      <c r="K75" s="706"/>
      <c r="L75" s="707"/>
    </row>
    <row r="76" spans="2:12" ht="13.5">
      <c r="B76" s="546"/>
      <c r="C76" s="534" t="s">
        <v>548</v>
      </c>
      <c r="D76" s="464">
        <v>24.5</v>
      </c>
      <c r="E76" s="464">
        <v>8</v>
      </c>
      <c r="F76" s="509">
        <v>15</v>
      </c>
      <c r="G76" s="717" t="s">
        <v>549</v>
      </c>
      <c r="H76" s="718"/>
      <c r="I76" s="512"/>
      <c r="J76" s="708"/>
      <c r="K76" s="709"/>
      <c r="L76" s="710"/>
    </row>
    <row r="77" spans="2:12" ht="13.5">
      <c r="B77" s="546"/>
      <c r="C77" s="534" t="s">
        <v>550</v>
      </c>
      <c r="D77" s="464">
        <v>27</v>
      </c>
      <c r="E77" s="464">
        <v>13</v>
      </c>
      <c r="F77" s="509">
        <v>10</v>
      </c>
      <c r="G77" s="717" t="s">
        <v>551</v>
      </c>
      <c r="H77" s="718"/>
      <c r="I77" s="512"/>
      <c r="J77" s="708"/>
      <c r="K77" s="709"/>
      <c r="L77" s="710"/>
    </row>
    <row r="78" spans="2:12" ht="13.5">
      <c r="B78" s="546"/>
      <c r="C78" s="534" t="s">
        <v>552</v>
      </c>
      <c r="D78" s="464">
        <v>33</v>
      </c>
      <c r="E78" s="464">
        <v>20</v>
      </c>
      <c r="F78" s="509">
        <v>12</v>
      </c>
      <c r="G78" s="717" t="s">
        <v>553</v>
      </c>
      <c r="H78" s="718"/>
      <c r="I78" s="512"/>
      <c r="J78" s="708"/>
      <c r="K78" s="709"/>
      <c r="L78" s="710"/>
    </row>
    <row r="79" spans="2:12" ht="13.5">
      <c r="B79" s="546"/>
      <c r="C79" s="534" t="s">
        <v>554</v>
      </c>
      <c r="D79" s="464">
        <v>31</v>
      </c>
      <c r="E79" s="464">
        <v>9</v>
      </c>
      <c r="F79" s="509">
        <v>5</v>
      </c>
      <c r="G79" s="717" t="s">
        <v>555</v>
      </c>
      <c r="H79" s="718"/>
      <c r="I79" s="512"/>
      <c r="J79" s="708"/>
      <c r="K79" s="709"/>
      <c r="L79" s="710"/>
    </row>
    <row r="80" spans="2:12" ht="14.25" thickBot="1">
      <c r="B80" s="714"/>
      <c r="C80" s="535" t="s">
        <v>556</v>
      </c>
      <c r="D80" s="465">
        <v>39</v>
      </c>
      <c r="E80" s="465">
        <v>31</v>
      </c>
      <c r="F80" s="510">
        <v>4</v>
      </c>
      <c r="G80" s="703" t="s">
        <v>557</v>
      </c>
      <c r="H80" s="704"/>
      <c r="I80" s="512"/>
      <c r="J80" s="711"/>
      <c r="K80" s="712"/>
      <c r="L80" s="713"/>
    </row>
  </sheetData>
  <mergeCells count="11">
    <mergeCell ref="G80:H80"/>
    <mergeCell ref="J75:L80"/>
    <mergeCell ref="N3:P3"/>
    <mergeCell ref="K3:M3"/>
    <mergeCell ref="B75:B80"/>
    <mergeCell ref="G74:H74"/>
    <mergeCell ref="G75:H75"/>
    <mergeCell ref="G76:H76"/>
    <mergeCell ref="G77:H77"/>
    <mergeCell ref="G78:H78"/>
    <mergeCell ref="G79:H79"/>
  </mergeCells>
  <phoneticPr fontId="40"/>
  <pageMargins left="0.39370078740157483" right="0.31496062992125984" top="0.74803149606299213" bottom="0.74803149606299213" header="0.31496062992125984" footer="0.31496062992125984"/>
  <pageSetup scale="8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C68-AD42-477A-BAB9-6610A905BF45}">
  <dimension ref="B2:BU89"/>
  <sheetViews>
    <sheetView showGridLines="0" workbookViewId="0">
      <selection activeCell="A14" sqref="A14:XFD14"/>
    </sheetView>
  </sheetViews>
  <sheetFormatPr defaultColWidth="9.140625" defaultRowHeight="12.75"/>
  <cols>
    <col min="1" max="1" width="1.7109375" style="1" customWidth="1"/>
    <col min="2" max="2" width="9.7109375" style="1" customWidth="1"/>
    <col min="3" max="3" width="36.28515625" style="1" bestFit="1" customWidth="1"/>
    <col min="4" max="10" width="9.5703125" style="1" customWidth="1"/>
    <col min="11" max="11" width="9.85546875" style="1" customWidth="1"/>
    <col min="12" max="12" width="11.85546875" style="1" customWidth="1"/>
    <col min="13" max="13" width="37.28515625" style="1" bestFit="1" customWidth="1"/>
    <col min="14" max="16" width="9.5703125" style="1" customWidth="1"/>
    <col min="17" max="17" width="16" style="1" customWidth="1"/>
    <col min="18" max="54" width="9.140625" style="1"/>
    <col min="55" max="55" width="9.5703125" style="1" bestFit="1" customWidth="1"/>
    <col min="56" max="58" width="9.140625" style="1"/>
    <col min="59" max="65" width="0" style="1" hidden="1" customWidth="1"/>
    <col min="66" max="16384" width="9.140625" style="1"/>
  </cols>
  <sheetData>
    <row r="2" spans="2:73" ht="19.5" customHeight="1" thickBot="1">
      <c r="C2" s="2" t="s">
        <v>558</v>
      </c>
      <c r="D2" s="1" t="s">
        <v>1</v>
      </c>
      <c r="E2" s="59">
        <v>21</v>
      </c>
      <c r="F2" s="316"/>
      <c r="G2" s="316"/>
      <c r="H2" s="1" t="s">
        <v>2</v>
      </c>
      <c r="J2" s="270" t="s">
        <v>171</v>
      </c>
      <c r="S2" s="238" t="s">
        <v>559</v>
      </c>
      <c r="AI2" s="241" t="s">
        <v>560</v>
      </c>
    </row>
    <row r="3" spans="2:73" ht="13.5" thickBot="1">
      <c r="E3" s="1">
        <v>0.8</v>
      </c>
      <c r="K3" s="21"/>
      <c r="M3" s="141" t="s">
        <v>174</v>
      </c>
      <c r="N3" s="131">
        <f>SUM(D11:D23)</f>
        <v>60482.392561196786</v>
      </c>
      <c r="O3" s="1" t="s">
        <v>175</v>
      </c>
      <c r="S3" s="622" t="s">
        <v>176</v>
      </c>
      <c r="T3" s="623"/>
      <c r="U3" s="623"/>
      <c r="V3" s="623"/>
      <c r="W3" s="623"/>
      <c r="X3" s="623"/>
      <c r="Y3" s="624"/>
      <c r="AA3" s="622" t="s">
        <v>177</v>
      </c>
      <c r="AB3" s="623"/>
      <c r="AC3" s="623"/>
      <c r="AD3" s="623"/>
      <c r="AE3" s="623"/>
      <c r="AF3" s="623"/>
      <c r="AG3" s="624"/>
      <c r="AI3" s="622" t="s">
        <v>178</v>
      </c>
      <c r="AJ3" s="623"/>
      <c r="AK3" s="623"/>
      <c r="AL3" s="623"/>
      <c r="AM3" s="623"/>
      <c r="AN3" s="623"/>
      <c r="AO3" s="624"/>
      <c r="AQ3" s="622" t="s">
        <v>179</v>
      </c>
      <c r="AR3" s="623"/>
      <c r="AS3" s="623"/>
      <c r="AT3" s="623"/>
      <c r="AU3" s="623"/>
      <c r="AV3" s="623"/>
      <c r="AW3" s="624"/>
      <c r="AY3" s="622" t="s">
        <v>180</v>
      </c>
      <c r="AZ3" s="623"/>
      <c r="BA3" s="623"/>
      <c r="BB3" s="623"/>
      <c r="BC3" s="623"/>
      <c r="BD3" s="623"/>
      <c r="BE3" s="624"/>
      <c r="BG3" s="622" t="s">
        <v>181</v>
      </c>
      <c r="BH3" s="623"/>
      <c r="BI3" s="623"/>
      <c r="BJ3" s="623"/>
      <c r="BK3" s="623"/>
      <c r="BL3" s="623"/>
      <c r="BM3" s="624"/>
      <c r="BO3" s="622" t="s">
        <v>182</v>
      </c>
      <c r="BP3" s="623"/>
      <c r="BQ3" s="623"/>
      <c r="BR3" s="623"/>
      <c r="BS3" s="623"/>
      <c r="BT3" s="623"/>
      <c r="BU3" s="624"/>
    </row>
    <row r="4" spans="2:73" ht="54.75" customHeight="1" thickBot="1">
      <c r="B4" s="69" t="s">
        <v>3</v>
      </c>
      <c r="C4" s="69" t="s">
        <v>4</v>
      </c>
      <c r="D4" s="387" t="s">
        <v>29</v>
      </c>
      <c r="E4" s="387" t="s">
        <v>183</v>
      </c>
      <c r="F4" s="387" t="s">
        <v>7</v>
      </c>
      <c r="G4" s="387" t="s">
        <v>184</v>
      </c>
      <c r="H4" s="387" t="s">
        <v>9</v>
      </c>
      <c r="I4" s="387" t="s">
        <v>32</v>
      </c>
      <c r="J4" s="387" t="s">
        <v>11</v>
      </c>
      <c r="K4" s="21"/>
      <c r="L4" s="3" t="s">
        <v>3</v>
      </c>
      <c r="M4" s="4" t="s">
        <v>4</v>
      </c>
      <c r="N4" s="5" t="s">
        <v>29</v>
      </c>
      <c r="O4" s="5" t="s">
        <v>183</v>
      </c>
      <c r="P4" s="24" t="s">
        <v>9</v>
      </c>
      <c r="Q4" s="24" t="s">
        <v>11</v>
      </c>
      <c r="S4" s="3" t="s">
        <v>3</v>
      </c>
      <c r="T4" s="620" t="s">
        <v>4</v>
      </c>
      <c r="U4" s="621"/>
      <c r="V4" s="98" t="s">
        <v>185</v>
      </c>
      <c r="W4" s="124" t="s">
        <v>186</v>
      </c>
      <c r="X4" s="123" t="s">
        <v>187</v>
      </c>
      <c r="Y4" s="100" t="s">
        <v>188</v>
      </c>
      <c r="AA4" s="3" t="s">
        <v>3</v>
      </c>
      <c r="AB4" s="639" t="s">
        <v>4</v>
      </c>
      <c r="AC4" s="638"/>
      <c r="AD4" s="4" t="s">
        <v>185</v>
      </c>
      <c r="AE4" s="124" t="s">
        <v>186</v>
      </c>
      <c r="AF4" s="223" t="s">
        <v>187</v>
      </c>
      <c r="AG4" s="224" t="s">
        <v>188</v>
      </c>
      <c r="AI4" s="3" t="s">
        <v>3</v>
      </c>
      <c r="AJ4" s="639" t="s">
        <v>4</v>
      </c>
      <c r="AK4" s="638"/>
      <c r="AL4" s="4" t="s">
        <v>185</v>
      </c>
      <c r="AM4" s="124" t="s">
        <v>186</v>
      </c>
      <c r="AN4" s="223" t="s">
        <v>187</v>
      </c>
      <c r="AO4" s="224" t="s">
        <v>188</v>
      </c>
      <c r="AQ4" s="3" t="s">
        <v>3</v>
      </c>
      <c r="AR4" s="637" t="s">
        <v>4</v>
      </c>
      <c r="AS4" s="638"/>
      <c r="AT4" s="4" t="s">
        <v>185</v>
      </c>
      <c r="AU4" s="124" t="s">
        <v>186</v>
      </c>
      <c r="AV4" s="223" t="s">
        <v>187</v>
      </c>
      <c r="AW4" s="224" t="s">
        <v>188</v>
      </c>
      <c r="AY4" s="3" t="s">
        <v>3</v>
      </c>
      <c r="AZ4" s="639" t="s">
        <v>4</v>
      </c>
      <c r="BA4" s="638"/>
      <c r="BB4" s="4" t="s">
        <v>185</v>
      </c>
      <c r="BC4" s="124" t="s">
        <v>186</v>
      </c>
      <c r="BD4" s="223" t="s">
        <v>187</v>
      </c>
      <c r="BE4" s="224" t="s">
        <v>188</v>
      </c>
      <c r="BG4" s="3" t="s">
        <v>3</v>
      </c>
      <c r="BH4" s="637" t="s">
        <v>4</v>
      </c>
      <c r="BI4" s="638"/>
      <c r="BJ4" s="4" t="s">
        <v>185</v>
      </c>
      <c r="BK4" s="124" t="s">
        <v>186</v>
      </c>
      <c r="BL4" s="223" t="s">
        <v>187</v>
      </c>
      <c r="BM4" s="224" t="s">
        <v>188</v>
      </c>
      <c r="BO4" s="3" t="s">
        <v>3</v>
      </c>
      <c r="BP4" s="639" t="s">
        <v>4</v>
      </c>
      <c r="BQ4" s="638"/>
      <c r="BR4" s="4" t="s">
        <v>185</v>
      </c>
      <c r="BS4" s="124" t="s">
        <v>186</v>
      </c>
      <c r="BT4" s="223" t="s">
        <v>187</v>
      </c>
      <c r="BU4" s="224" t="s">
        <v>188</v>
      </c>
    </row>
    <row r="5" spans="2:73" ht="13.5" thickTop="1">
      <c r="B5" s="355" t="s">
        <v>189</v>
      </c>
      <c r="C5" s="396" t="s">
        <v>39</v>
      </c>
      <c r="D5" s="405">
        <f>(21*60)/(W7+X7)*$E$2*V7*$E$3</f>
        <v>3628.8</v>
      </c>
      <c r="E5" s="393">
        <v>0</v>
      </c>
      <c r="F5" s="393">
        <v>158</v>
      </c>
      <c r="G5" s="420" t="e">
        <f>F5/E5</f>
        <v>#DIV/0!</v>
      </c>
      <c r="H5" s="394">
        <f t="shared" ref="H5:H29" si="0">E5/D5</f>
        <v>0</v>
      </c>
      <c r="I5" s="394">
        <f>F5/D5</f>
        <v>4.3540564373897708E-2</v>
      </c>
      <c r="J5" s="399" t="s">
        <v>191</v>
      </c>
      <c r="L5" s="135" t="s">
        <v>192</v>
      </c>
      <c r="M5" s="138" t="s">
        <v>193</v>
      </c>
      <c r="N5" s="16">
        <v>12000</v>
      </c>
      <c r="O5" s="9">
        <f>E30-O13</f>
        <v>-41390</v>
      </c>
      <c r="P5" s="25">
        <f>O5/N5</f>
        <v>-3.4491666666666667</v>
      </c>
      <c r="Q5" s="151" t="s">
        <v>194</v>
      </c>
      <c r="S5" s="592" t="s">
        <v>195</v>
      </c>
      <c r="T5" s="644" t="s">
        <v>196</v>
      </c>
      <c r="U5" s="244" t="s">
        <v>114</v>
      </c>
      <c r="V5" s="286">
        <v>12</v>
      </c>
      <c r="W5" s="287">
        <v>89</v>
      </c>
      <c r="X5" s="243"/>
      <c r="Y5" s="311">
        <f t="shared" ref="Y5" si="1">W5+X5</f>
        <v>89</v>
      </c>
      <c r="AA5" s="592" t="s">
        <v>197</v>
      </c>
      <c r="AB5" s="640" t="s">
        <v>34</v>
      </c>
      <c r="AC5" s="232" t="s">
        <v>114</v>
      </c>
      <c r="AD5" s="291">
        <v>12</v>
      </c>
      <c r="AE5" s="292">
        <v>72</v>
      </c>
      <c r="AF5" s="118"/>
      <c r="AG5" s="222">
        <f>AE5+AF5</f>
        <v>72</v>
      </c>
      <c r="AI5" s="658" t="s">
        <v>198</v>
      </c>
      <c r="AJ5" s="640" t="s">
        <v>81</v>
      </c>
      <c r="AK5" s="116" t="s">
        <v>114</v>
      </c>
      <c r="AL5" s="291">
        <v>10</v>
      </c>
      <c r="AM5" s="292">
        <v>46</v>
      </c>
      <c r="AN5" s="293">
        <v>10</v>
      </c>
      <c r="AO5" s="222">
        <f t="shared" ref="AO5:AO8" si="2">AM5+AN5</f>
        <v>56</v>
      </c>
      <c r="AQ5" s="656" t="s">
        <v>199</v>
      </c>
      <c r="AR5" s="640" t="s">
        <v>58</v>
      </c>
      <c r="AS5" s="232" t="s">
        <v>114</v>
      </c>
      <c r="AT5" s="291">
        <v>18</v>
      </c>
      <c r="AU5" s="292">
        <v>79</v>
      </c>
      <c r="AV5" s="293">
        <v>15</v>
      </c>
      <c r="AW5" s="222">
        <f>AU5+AV5</f>
        <v>94</v>
      </c>
      <c r="AY5" s="658" t="s">
        <v>200</v>
      </c>
      <c r="AZ5" s="644" t="s">
        <v>201</v>
      </c>
      <c r="BA5" s="244" t="s">
        <v>114</v>
      </c>
      <c r="BB5" s="286">
        <v>38</v>
      </c>
      <c r="BC5" s="287">
        <v>27</v>
      </c>
      <c r="BD5" s="299">
        <v>15</v>
      </c>
      <c r="BE5" s="213">
        <f>BC5+BD5</f>
        <v>42</v>
      </c>
      <c r="BG5" s="592" t="s">
        <v>202</v>
      </c>
      <c r="BH5" s="631" t="s">
        <v>142</v>
      </c>
      <c r="BI5" s="116" t="s">
        <v>114</v>
      </c>
      <c r="BJ5" s="291">
        <v>16</v>
      </c>
      <c r="BK5" s="292">
        <v>96</v>
      </c>
      <c r="BL5" s="293">
        <v>15</v>
      </c>
      <c r="BM5" s="213">
        <f>BK5+BL5</f>
        <v>111</v>
      </c>
      <c r="BO5" s="593" t="s">
        <v>203</v>
      </c>
      <c r="BP5" s="640" t="s">
        <v>139</v>
      </c>
      <c r="BQ5" s="116" t="s">
        <v>157</v>
      </c>
      <c r="BR5" s="291">
        <v>42</v>
      </c>
      <c r="BS5" s="292">
        <v>84</v>
      </c>
      <c r="BT5" s="293">
        <v>15</v>
      </c>
      <c r="BU5" s="303">
        <f>BS5+BT5</f>
        <v>99</v>
      </c>
    </row>
    <row r="6" spans="2:73">
      <c r="B6" s="355" t="s">
        <v>204</v>
      </c>
      <c r="C6" s="355" t="s">
        <v>37</v>
      </c>
      <c r="D6" s="405">
        <f>(21*60)/(W9+X9)*$E$2*V9*$E$3</f>
        <v>2940</v>
      </c>
      <c r="E6" s="393">
        <v>0</v>
      </c>
      <c r="F6" s="393">
        <v>139</v>
      </c>
      <c r="G6" s="420" t="e">
        <f t="shared" ref="G6:G28" si="3">F6/E6</f>
        <v>#DIV/0!</v>
      </c>
      <c r="H6" s="394">
        <f t="shared" si="0"/>
        <v>0</v>
      </c>
      <c r="I6" s="394">
        <f t="shared" ref="I6:I29" si="4">F6/D6</f>
        <v>4.7278911564625853E-2</v>
      </c>
      <c r="J6" s="399" t="s">
        <v>191</v>
      </c>
      <c r="L6" s="135" t="s">
        <v>205</v>
      </c>
      <c r="M6" s="138" t="s">
        <v>206</v>
      </c>
      <c r="N6" s="16" t="s">
        <v>207</v>
      </c>
      <c r="O6" s="9"/>
      <c r="P6" s="56"/>
      <c r="Q6" s="151" t="s">
        <v>208</v>
      </c>
      <c r="S6" s="593"/>
      <c r="T6" s="647"/>
      <c r="U6" s="212"/>
      <c r="V6" s="288"/>
      <c r="W6" s="288"/>
      <c r="X6" s="212"/>
      <c r="Y6" s="312"/>
      <c r="AA6" s="593"/>
      <c r="AB6" s="629"/>
      <c r="AC6" s="231" t="s">
        <v>115</v>
      </c>
      <c r="AD6" s="272">
        <v>12</v>
      </c>
      <c r="AE6" s="273">
        <v>80</v>
      </c>
      <c r="AF6" s="108"/>
      <c r="AG6" s="219">
        <f>AE6+AF6</f>
        <v>80</v>
      </c>
      <c r="AI6" s="659"/>
      <c r="AJ6" s="655"/>
      <c r="AK6" s="231" t="s">
        <v>100</v>
      </c>
      <c r="AL6" s="272">
        <v>12</v>
      </c>
      <c r="AM6" s="273">
        <v>42</v>
      </c>
      <c r="AN6" s="294">
        <v>10</v>
      </c>
      <c r="AO6" s="219">
        <f>AM6+AN6</f>
        <v>52</v>
      </c>
      <c r="AQ6" s="657"/>
      <c r="AR6" s="629"/>
      <c r="AS6" s="107" t="s">
        <v>115</v>
      </c>
      <c r="AT6" s="272">
        <v>16</v>
      </c>
      <c r="AU6" s="273">
        <v>70</v>
      </c>
      <c r="AV6" s="294">
        <v>15</v>
      </c>
      <c r="AW6" s="219">
        <f>AU6+AV6</f>
        <v>85</v>
      </c>
      <c r="AY6" s="650"/>
      <c r="AZ6" s="645"/>
      <c r="BA6" s="116"/>
      <c r="BB6" s="291"/>
      <c r="BC6" s="292"/>
      <c r="BD6" s="293"/>
      <c r="BE6" s="222">
        <f t="shared" ref="BE6" si="5">BC6+BD6</f>
        <v>0</v>
      </c>
      <c r="BG6" s="593"/>
      <c r="BH6" s="632"/>
      <c r="BI6" s="107" t="s">
        <v>115</v>
      </c>
      <c r="BJ6" s="272"/>
      <c r="BK6" s="273"/>
      <c r="BL6" s="294">
        <v>0</v>
      </c>
      <c r="BM6" s="219">
        <f>BK6+BL6</f>
        <v>0</v>
      </c>
      <c r="BO6" s="580"/>
      <c r="BP6" s="641"/>
      <c r="BQ6" s="242" t="s">
        <v>159</v>
      </c>
      <c r="BR6" s="296">
        <v>42</v>
      </c>
      <c r="BS6" s="297">
        <v>70</v>
      </c>
      <c r="BT6" s="298">
        <v>15</v>
      </c>
      <c r="BU6" s="303">
        <f t="shared" ref="BU6:BU9" si="6">BS6+BT6</f>
        <v>85</v>
      </c>
    </row>
    <row r="7" spans="2:73">
      <c r="B7" s="355" t="s">
        <v>209</v>
      </c>
      <c r="C7" s="355" t="s">
        <v>39</v>
      </c>
      <c r="D7" s="405">
        <f>(21*60)/(W11+X11)*$E$2*V11*$E$3</f>
        <v>3628.8</v>
      </c>
      <c r="E7" s="393">
        <v>964</v>
      </c>
      <c r="F7" s="393">
        <v>575</v>
      </c>
      <c r="G7" s="420">
        <f t="shared" si="3"/>
        <v>0.59647302904564314</v>
      </c>
      <c r="H7" s="394">
        <f t="shared" si="0"/>
        <v>0.26565255731922399</v>
      </c>
      <c r="I7" s="394">
        <f t="shared" si="4"/>
        <v>0.15845458553791886</v>
      </c>
      <c r="J7" s="399" t="s">
        <v>191</v>
      </c>
      <c r="L7" s="137" t="s">
        <v>210</v>
      </c>
      <c r="M7" s="158" t="s">
        <v>211</v>
      </c>
      <c r="N7" s="134">
        <f>Q20*E2</f>
        <v>8960</v>
      </c>
      <c r="O7" s="134">
        <f>6230+4710</f>
        <v>10940</v>
      </c>
      <c r="P7" s="262">
        <f t="shared" ref="P7:P12" si="7">O7/N7</f>
        <v>1.2209821428571428</v>
      </c>
      <c r="Q7" s="148" t="s">
        <v>212</v>
      </c>
      <c r="S7" s="559" t="s">
        <v>189</v>
      </c>
      <c r="T7" s="635" t="s">
        <v>39</v>
      </c>
      <c r="U7" s="230" t="s">
        <v>114</v>
      </c>
      <c r="V7" s="289">
        <v>12</v>
      </c>
      <c r="W7" s="290">
        <v>70</v>
      </c>
      <c r="X7" s="115"/>
      <c r="Y7" s="310">
        <f t="shared" ref="Y7:Y16" si="8">W7+X7</f>
        <v>70</v>
      </c>
      <c r="AA7" s="559" t="s">
        <v>213</v>
      </c>
      <c r="AB7" s="635" t="s">
        <v>142</v>
      </c>
      <c r="AC7" s="230" t="s">
        <v>114</v>
      </c>
      <c r="AD7" s="289">
        <v>8</v>
      </c>
      <c r="AE7" s="290">
        <v>70</v>
      </c>
      <c r="AF7" s="115"/>
      <c r="AG7" s="218">
        <f>AE7+AF7</f>
        <v>70</v>
      </c>
      <c r="AI7" s="675" t="s">
        <v>214</v>
      </c>
      <c r="AJ7" s="625" t="s">
        <v>61</v>
      </c>
      <c r="AK7" s="230" t="s">
        <v>114</v>
      </c>
      <c r="AL7" s="289">
        <v>11</v>
      </c>
      <c r="AM7" s="290">
        <v>51</v>
      </c>
      <c r="AN7" s="295">
        <v>10</v>
      </c>
      <c r="AO7" s="218">
        <f t="shared" si="2"/>
        <v>61</v>
      </c>
      <c r="AQ7" s="633" t="s">
        <v>215</v>
      </c>
      <c r="AR7" s="625" t="s">
        <v>146</v>
      </c>
      <c r="AS7" s="230" t="s">
        <v>116</v>
      </c>
      <c r="AT7" s="289">
        <v>8</v>
      </c>
      <c r="AU7" s="290">
        <v>52</v>
      </c>
      <c r="AV7" s="295">
        <v>15</v>
      </c>
      <c r="AW7" s="218">
        <f>AU7+AV7</f>
        <v>67</v>
      </c>
      <c r="AY7" s="650"/>
      <c r="AZ7" s="647" t="s">
        <v>216</v>
      </c>
      <c r="BA7" s="232" t="s">
        <v>143</v>
      </c>
      <c r="BB7" s="291">
        <v>30</v>
      </c>
      <c r="BC7" s="292">
        <v>35</v>
      </c>
      <c r="BD7" s="293">
        <v>15</v>
      </c>
      <c r="BE7" s="222">
        <f>BC7+BD7</f>
        <v>50</v>
      </c>
      <c r="BG7" s="633" t="s">
        <v>217</v>
      </c>
      <c r="BH7" s="635" t="s">
        <v>121</v>
      </c>
      <c r="BI7" s="230" t="s">
        <v>114</v>
      </c>
      <c r="BJ7" s="289">
        <v>20</v>
      </c>
      <c r="BK7" s="290">
        <v>96</v>
      </c>
      <c r="BL7" s="295">
        <v>15</v>
      </c>
      <c r="BM7" s="218">
        <f>BK7+BL7</f>
        <v>111</v>
      </c>
      <c r="BO7" s="580"/>
      <c r="BP7" s="626" t="s">
        <v>136</v>
      </c>
      <c r="BQ7" s="119" t="s">
        <v>157</v>
      </c>
      <c r="BR7" s="296">
        <v>32</v>
      </c>
      <c r="BS7" s="297">
        <v>62</v>
      </c>
      <c r="BT7" s="298">
        <v>15</v>
      </c>
      <c r="BU7" s="303">
        <f t="shared" si="6"/>
        <v>77</v>
      </c>
    </row>
    <row r="8" spans="2:73" ht="13.5" thickBot="1">
      <c r="B8" s="355" t="s">
        <v>218</v>
      </c>
      <c r="C8" s="355" t="s">
        <v>219</v>
      </c>
      <c r="D8" s="405">
        <f>(21*60)/(W13+X13)*$E$2*V13*$E$3</f>
        <v>2940</v>
      </c>
      <c r="E8" s="393">
        <v>1120</v>
      </c>
      <c r="F8" s="393">
        <v>463</v>
      </c>
      <c r="G8" s="420">
        <f t="shared" si="3"/>
        <v>0.41339285714285712</v>
      </c>
      <c r="H8" s="394">
        <f t="shared" si="0"/>
        <v>0.38095238095238093</v>
      </c>
      <c r="I8" s="394">
        <f t="shared" si="4"/>
        <v>0.1574829931972789</v>
      </c>
      <c r="J8" s="399" t="s">
        <v>191</v>
      </c>
      <c r="L8" s="135" t="s">
        <v>220</v>
      </c>
      <c r="M8" s="58" t="s">
        <v>221</v>
      </c>
      <c r="N8" s="9">
        <f>Q21*E2</f>
        <v>5376</v>
      </c>
      <c r="O8" s="9">
        <f>2800+2280</f>
        <v>5080</v>
      </c>
      <c r="P8" s="249">
        <f t="shared" si="7"/>
        <v>0.94494047619047616</v>
      </c>
      <c r="Q8" s="148" t="s">
        <v>222</v>
      </c>
      <c r="S8" s="559"/>
      <c r="T8" s="646"/>
      <c r="U8" s="107" t="s">
        <v>115</v>
      </c>
      <c r="V8" s="272">
        <v>12</v>
      </c>
      <c r="W8" s="273">
        <v>92</v>
      </c>
      <c r="X8" s="108"/>
      <c r="Y8" s="307">
        <f t="shared" si="8"/>
        <v>92</v>
      </c>
      <c r="AA8" s="674"/>
      <c r="AB8" s="636"/>
      <c r="AC8" s="214" t="s">
        <v>115</v>
      </c>
      <c r="AD8" s="215"/>
      <c r="AE8" s="216"/>
      <c r="AF8" s="217"/>
      <c r="AG8" s="220">
        <f>AE8+AF8</f>
        <v>0</v>
      </c>
      <c r="AI8" s="676"/>
      <c r="AJ8" s="626"/>
      <c r="AK8" s="119" t="s">
        <v>115</v>
      </c>
      <c r="AL8" s="296">
        <v>5</v>
      </c>
      <c r="AM8" s="297">
        <v>59</v>
      </c>
      <c r="AN8" s="298">
        <v>10</v>
      </c>
      <c r="AO8" s="222">
        <f t="shared" si="2"/>
        <v>69</v>
      </c>
      <c r="AQ8" s="673"/>
      <c r="AR8" s="626"/>
      <c r="AS8" s="242" t="s">
        <v>115</v>
      </c>
      <c r="AT8" s="296">
        <v>6</v>
      </c>
      <c r="AU8" s="297">
        <v>51</v>
      </c>
      <c r="AV8" s="298">
        <v>15</v>
      </c>
      <c r="AW8" s="222">
        <f t="shared" ref="AW8:AW9" si="9">AU8+AV8</f>
        <v>66</v>
      </c>
      <c r="AY8" s="650"/>
      <c r="AZ8" s="648"/>
      <c r="BA8" s="367"/>
      <c r="BB8" s="315"/>
      <c r="BC8" s="368"/>
      <c r="BD8" s="361"/>
      <c r="BE8" s="362">
        <f t="shared" ref="BE8:BE21" si="10">BC8+BD8</f>
        <v>0</v>
      </c>
      <c r="BG8" s="634"/>
      <c r="BH8" s="636"/>
      <c r="BI8" s="214" t="s">
        <v>115</v>
      </c>
      <c r="BJ8" s="300"/>
      <c r="BK8" s="301"/>
      <c r="BL8" s="302">
        <v>0</v>
      </c>
      <c r="BM8" s="220">
        <f>BK8+BL8</f>
        <v>0</v>
      </c>
      <c r="BO8" s="580"/>
      <c r="BP8" s="626"/>
      <c r="BQ8" s="242" t="s">
        <v>159</v>
      </c>
      <c r="BR8" s="296">
        <v>34</v>
      </c>
      <c r="BS8" s="297">
        <v>92</v>
      </c>
      <c r="BT8" s="298">
        <v>15</v>
      </c>
      <c r="BU8" s="303">
        <f t="shared" si="6"/>
        <v>107</v>
      </c>
    </row>
    <row r="9" spans="2:73">
      <c r="B9" s="355" t="s">
        <v>195</v>
      </c>
      <c r="C9" s="355" t="s">
        <v>119</v>
      </c>
      <c r="D9" s="405">
        <f>(21*60)/(W5+X5)*$E$2*V5*$E$3</f>
        <v>2854.1123595505619</v>
      </c>
      <c r="E9" s="393">
        <v>288</v>
      </c>
      <c r="F9" s="393">
        <v>35</v>
      </c>
      <c r="G9" s="420">
        <f t="shared" si="3"/>
        <v>0.12152777777777778</v>
      </c>
      <c r="H9" s="394">
        <f t="shared" si="0"/>
        <v>0.10090702947845805</v>
      </c>
      <c r="I9" s="394">
        <f t="shared" si="4"/>
        <v>1.2263007054673722E-2</v>
      </c>
      <c r="J9" s="399" t="s">
        <v>191</v>
      </c>
      <c r="L9" s="136" t="s">
        <v>223</v>
      </c>
      <c r="M9" s="58" t="s">
        <v>83</v>
      </c>
      <c r="N9" s="9">
        <f>Q22*E2</f>
        <v>12096</v>
      </c>
      <c r="O9" s="9">
        <v>8400</v>
      </c>
      <c r="P9" s="25">
        <f t="shared" si="7"/>
        <v>0.69444444444444442</v>
      </c>
      <c r="Q9" s="148" t="s">
        <v>222</v>
      </c>
      <c r="S9" s="559" t="s">
        <v>204</v>
      </c>
      <c r="T9" s="635" t="s">
        <v>224</v>
      </c>
      <c r="U9" s="247" t="s">
        <v>114</v>
      </c>
      <c r="V9" s="289">
        <v>10</v>
      </c>
      <c r="W9" s="290">
        <v>72</v>
      </c>
      <c r="X9" s="115"/>
      <c r="Y9" s="310">
        <f t="shared" si="8"/>
        <v>72</v>
      </c>
      <c r="AB9" s="210"/>
      <c r="AC9" s="221"/>
      <c r="AD9" s="206"/>
      <c r="AE9" s="207"/>
      <c r="AF9" s="205"/>
      <c r="AG9" s="205"/>
      <c r="AI9" s="633" t="s">
        <v>225</v>
      </c>
      <c r="AJ9" s="635" t="s">
        <v>83</v>
      </c>
      <c r="AK9" s="230" t="s">
        <v>114</v>
      </c>
      <c r="AL9" s="289">
        <v>10</v>
      </c>
      <c r="AM9" s="290">
        <v>36</v>
      </c>
      <c r="AN9" s="295">
        <v>10</v>
      </c>
      <c r="AO9" s="218">
        <f>AM9+AN9</f>
        <v>46</v>
      </c>
      <c r="AQ9" s="673"/>
      <c r="AR9" s="677" t="s">
        <v>142</v>
      </c>
      <c r="AS9" s="119" t="s">
        <v>114</v>
      </c>
      <c r="AT9" s="120">
        <v>18</v>
      </c>
      <c r="AU9" s="121">
        <v>75</v>
      </c>
      <c r="AV9" s="122">
        <v>15</v>
      </c>
      <c r="AW9" s="222">
        <f t="shared" si="9"/>
        <v>90</v>
      </c>
      <c r="AY9" s="650"/>
      <c r="AZ9" s="627" t="s">
        <v>81</v>
      </c>
      <c r="BA9" s="242" t="s">
        <v>114</v>
      </c>
      <c r="BB9" s="296">
        <v>18</v>
      </c>
      <c r="BC9" s="297">
        <v>54</v>
      </c>
      <c r="BD9" s="298">
        <v>15</v>
      </c>
      <c r="BE9" s="384">
        <f t="shared" si="10"/>
        <v>69</v>
      </c>
      <c r="BH9" s="210"/>
      <c r="BI9" s="221"/>
      <c r="BJ9" s="206"/>
      <c r="BK9" s="207"/>
      <c r="BL9" s="205"/>
      <c r="BM9" s="205"/>
      <c r="BO9" s="580"/>
      <c r="BP9" s="642" t="s">
        <v>226</v>
      </c>
      <c r="BQ9" s="119" t="s">
        <v>116</v>
      </c>
      <c r="BR9" s="296">
        <v>42</v>
      </c>
      <c r="BS9" s="297">
        <v>101</v>
      </c>
      <c r="BT9" s="298">
        <v>15</v>
      </c>
      <c r="BU9" s="303">
        <f t="shared" si="6"/>
        <v>116</v>
      </c>
    </row>
    <row r="10" spans="2:73" ht="13.5" thickBot="1">
      <c r="B10" s="355" t="s">
        <v>227</v>
      </c>
      <c r="C10" s="355" t="s">
        <v>72</v>
      </c>
      <c r="D10" s="405">
        <f>(21*60)/(W15+X15)*$E$2*V15*$E$3</f>
        <v>3386.8800000000006</v>
      </c>
      <c r="E10" s="393">
        <v>0</v>
      </c>
      <c r="F10" s="393"/>
      <c r="G10" s="420" t="e">
        <f t="shared" si="3"/>
        <v>#DIV/0!</v>
      </c>
      <c r="H10" s="394">
        <f t="shared" si="0"/>
        <v>0</v>
      </c>
      <c r="I10" s="394">
        <f t="shared" si="4"/>
        <v>0</v>
      </c>
      <c r="J10" s="399" t="s">
        <v>191</v>
      </c>
      <c r="L10" s="135" t="s">
        <v>228</v>
      </c>
      <c r="M10" s="58" t="s">
        <v>229</v>
      </c>
      <c r="N10" s="9">
        <f>Q23*E2</f>
        <v>2371.7647058823532</v>
      </c>
      <c r="O10" s="9">
        <f>1140+630+470</f>
        <v>2240</v>
      </c>
      <c r="P10" s="249">
        <f t="shared" si="7"/>
        <v>0.94444444444444431</v>
      </c>
      <c r="Q10" s="149" t="s">
        <v>222</v>
      </c>
      <c r="S10" s="559"/>
      <c r="T10" s="646"/>
      <c r="U10" s="231" t="s">
        <v>115</v>
      </c>
      <c r="V10" s="272">
        <v>10</v>
      </c>
      <c r="W10" s="273">
        <v>87</v>
      </c>
      <c r="X10" s="245"/>
      <c r="Y10" s="307">
        <f t="shared" si="8"/>
        <v>87</v>
      </c>
      <c r="AB10" s="209"/>
      <c r="AC10" s="202"/>
      <c r="AD10" s="206"/>
      <c r="AE10" s="207"/>
      <c r="AF10" s="205"/>
      <c r="AG10" s="205"/>
      <c r="AI10" s="673"/>
      <c r="AJ10" s="646"/>
      <c r="AK10" s="107" t="s">
        <v>115</v>
      </c>
      <c r="AL10" s="272">
        <v>6</v>
      </c>
      <c r="AM10" s="273"/>
      <c r="AN10" s="294">
        <v>0</v>
      </c>
      <c r="AO10" s="219">
        <f>AM10+AN10</f>
        <v>0</v>
      </c>
      <c r="AQ10" s="634"/>
      <c r="AR10" s="678"/>
      <c r="AS10" s="226" t="s">
        <v>115</v>
      </c>
      <c r="AT10" s="227">
        <v>14</v>
      </c>
      <c r="AU10" s="228">
        <v>75</v>
      </c>
      <c r="AV10" s="229">
        <v>15</v>
      </c>
      <c r="AW10" s="220">
        <f>AU10+AV10</f>
        <v>90</v>
      </c>
      <c r="AY10" s="659"/>
      <c r="AZ10" s="629"/>
      <c r="BA10" s="85" t="s">
        <v>115</v>
      </c>
      <c r="BB10" s="272">
        <v>16</v>
      </c>
      <c r="BC10" s="273">
        <v>61</v>
      </c>
      <c r="BD10" s="294">
        <v>15</v>
      </c>
      <c r="BE10" s="219">
        <f t="shared" si="10"/>
        <v>76</v>
      </c>
      <c r="BH10" s="209"/>
      <c r="BI10" s="202"/>
      <c r="BJ10" s="206"/>
      <c r="BK10" s="207"/>
      <c r="BL10" s="205"/>
      <c r="BM10" s="205"/>
      <c r="BO10" s="580"/>
      <c r="BP10" s="643"/>
      <c r="BQ10" s="113" t="s">
        <v>135</v>
      </c>
      <c r="BR10" s="304">
        <v>42</v>
      </c>
      <c r="BS10" s="305">
        <v>101</v>
      </c>
      <c r="BT10" s="306">
        <v>15</v>
      </c>
      <c r="BU10" s="307">
        <f>BS10+BT10</f>
        <v>116</v>
      </c>
    </row>
    <row r="11" spans="2:73">
      <c r="B11" s="355" t="s">
        <v>230</v>
      </c>
      <c r="C11" s="401" t="s">
        <v>134</v>
      </c>
      <c r="D11" s="405">
        <f>(21*60)/(BS18+BT18)*$E$2*BR18*E3</f>
        <v>6756.5093378607799</v>
      </c>
      <c r="E11" s="393">
        <v>0</v>
      </c>
      <c r="F11" s="393"/>
      <c r="G11" s="420" t="e">
        <f t="shared" si="3"/>
        <v>#DIV/0!</v>
      </c>
      <c r="H11" s="394">
        <f t="shared" si="0"/>
        <v>0</v>
      </c>
      <c r="I11" s="394">
        <f t="shared" si="4"/>
        <v>0</v>
      </c>
      <c r="J11" s="396" t="s">
        <v>231</v>
      </c>
      <c r="L11" s="175" t="s">
        <v>232</v>
      </c>
      <c r="M11" s="179" t="s">
        <v>233</v>
      </c>
      <c r="N11" s="176">
        <f>Q26*E2</f>
        <v>29767.5</v>
      </c>
      <c r="O11" s="176">
        <f>1900+1130+1800+3500+3200+3200</f>
        <v>14730</v>
      </c>
      <c r="P11" s="177">
        <f t="shared" si="7"/>
        <v>0.49483497102544721</v>
      </c>
      <c r="Q11" s="178" t="s">
        <v>234</v>
      </c>
      <c r="S11" s="559" t="s">
        <v>209</v>
      </c>
      <c r="T11" s="635" t="s">
        <v>39</v>
      </c>
      <c r="U11" s="230" t="s">
        <v>114</v>
      </c>
      <c r="V11" s="289">
        <v>12</v>
      </c>
      <c r="W11" s="290">
        <v>70</v>
      </c>
      <c r="X11" s="115"/>
      <c r="Y11" s="310">
        <f t="shared" si="8"/>
        <v>70</v>
      </c>
      <c r="Z11" s="237" t="s">
        <v>235</v>
      </c>
      <c r="AB11" s="210"/>
      <c r="AC11" s="202"/>
      <c r="AD11" s="206"/>
      <c r="AE11" s="207"/>
      <c r="AF11" s="205"/>
      <c r="AG11" s="205"/>
      <c r="AI11" s="649" t="s">
        <v>236</v>
      </c>
      <c r="AJ11" s="246" t="s">
        <v>237</v>
      </c>
      <c r="AK11" s="230" t="s">
        <v>143</v>
      </c>
      <c r="AL11" s="289">
        <v>12</v>
      </c>
      <c r="AM11" s="290">
        <v>42</v>
      </c>
      <c r="AN11" s="295">
        <v>10</v>
      </c>
      <c r="AO11" s="218">
        <f>AM11+AN11</f>
        <v>52</v>
      </c>
      <c r="AR11" s="210"/>
      <c r="AS11" s="202"/>
      <c r="AT11" s="206"/>
      <c r="AU11" s="207"/>
      <c r="AV11" s="205"/>
      <c r="AW11" s="205"/>
      <c r="AY11" s="633" t="s">
        <v>238</v>
      </c>
      <c r="AZ11" s="635" t="s">
        <v>113</v>
      </c>
      <c r="BA11" s="230" t="s">
        <v>114</v>
      </c>
      <c r="BB11" s="289">
        <v>16</v>
      </c>
      <c r="BC11" s="290">
        <v>39</v>
      </c>
      <c r="BD11" s="295">
        <v>15</v>
      </c>
      <c r="BE11" s="218">
        <f t="shared" si="10"/>
        <v>54</v>
      </c>
      <c r="BH11" s="210"/>
      <c r="BI11" s="202"/>
      <c r="BJ11" s="206"/>
      <c r="BK11" s="207"/>
      <c r="BL11" s="205"/>
      <c r="BM11" s="205"/>
      <c r="BR11" s="308">
        <f>AVERAGE(BR5:BR10)</f>
        <v>39</v>
      </c>
      <c r="BS11" s="309">
        <f>AVERAGE(BS5:BS10)</f>
        <v>85</v>
      </c>
      <c r="BT11" s="309">
        <f>AVERAGE(BT5:BT10)</f>
        <v>15</v>
      </c>
      <c r="BU11" s="308"/>
    </row>
    <row r="12" spans="2:73" ht="14.25" thickBot="1">
      <c r="B12" s="355" t="s">
        <v>203</v>
      </c>
      <c r="C12" s="401" t="s">
        <v>136</v>
      </c>
      <c r="D12" s="405">
        <f>(21*60)/(BS11+BT11)*$E$2*BR11*E3</f>
        <v>8255.5199999999986</v>
      </c>
      <c r="E12" s="393">
        <v>0</v>
      </c>
      <c r="F12" s="393"/>
      <c r="G12" s="420" t="e">
        <f t="shared" si="3"/>
        <v>#DIV/0!</v>
      </c>
      <c r="H12" s="394">
        <f t="shared" si="0"/>
        <v>0</v>
      </c>
      <c r="I12" s="394">
        <f t="shared" si="4"/>
        <v>0</v>
      </c>
      <c r="J12" s="396" t="s">
        <v>231</v>
      </c>
      <c r="L12" s="12"/>
      <c r="M12" s="13" t="s">
        <v>21</v>
      </c>
      <c r="N12" s="14">
        <f>SUM(N5:N11)</f>
        <v>70571.26470588235</v>
      </c>
      <c r="O12" s="14">
        <f>SUM(O5:O11)</f>
        <v>0</v>
      </c>
      <c r="P12" s="140">
        <f t="shared" si="7"/>
        <v>0</v>
      </c>
      <c r="Q12" s="150"/>
      <c r="S12" s="559"/>
      <c r="T12" s="646"/>
      <c r="U12" s="107" t="s">
        <v>115</v>
      </c>
      <c r="V12" s="272">
        <v>12</v>
      </c>
      <c r="W12" s="273">
        <v>92</v>
      </c>
      <c r="X12" s="108"/>
      <c r="Y12" s="219">
        <f t="shared" si="8"/>
        <v>92</v>
      </c>
      <c r="AB12" s="209"/>
      <c r="AC12" s="202"/>
      <c r="AD12" s="206"/>
      <c r="AE12" s="207"/>
      <c r="AF12" s="205"/>
      <c r="AG12" s="205"/>
      <c r="AI12" s="650"/>
      <c r="AJ12" s="246" t="s">
        <v>132</v>
      </c>
      <c r="AK12" s="242" t="s">
        <v>143</v>
      </c>
      <c r="AL12" s="296">
        <v>12</v>
      </c>
      <c r="AM12" s="297">
        <v>42</v>
      </c>
      <c r="AN12" s="298">
        <v>10</v>
      </c>
      <c r="AO12" s="222">
        <f t="shared" ref="AO12:AO25" si="11">AM12+AN12</f>
        <v>52</v>
      </c>
      <c r="AR12" s="209"/>
      <c r="AS12" s="202"/>
      <c r="AT12" s="206"/>
      <c r="AU12" s="207"/>
      <c r="AV12" s="205"/>
      <c r="AW12" s="205"/>
      <c r="AY12" s="633"/>
      <c r="AZ12" s="646"/>
      <c r="BA12" s="85" t="s">
        <v>115</v>
      </c>
      <c r="BB12" s="272">
        <v>12</v>
      </c>
      <c r="BC12" s="273">
        <v>61</v>
      </c>
      <c r="BD12" s="294">
        <v>15</v>
      </c>
      <c r="BE12" s="219">
        <f t="shared" si="10"/>
        <v>76</v>
      </c>
      <c r="BH12" s="209"/>
      <c r="BI12" s="202"/>
      <c r="BJ12" s="206"/>
      <c r="BK12" s="207"/>
      <c r="BL12" s="205"/>
      <c r="BM12" s="205"/>
      <c r="BO12" s="649" t="s">
        <v>230</v>
      </c>
      <c r="BP12" s="625" t="s">
        <v>239</v>
      </c>
      <c r="BQ12" s="114" t="s">
        <v>116</v>
      </c>
      <c r="BR12" s="289">
        <v>34</v>
      </c>
      <c r="BS12" s="290">
        <v>90</v>
      </c>
      <c r="BT12" s="295">
        <v>15</v>
      </c>
      <c r="BU12" s="310">
        <f>BS12+BT12</f>
        <v>105</v>
      </c>
    </row>
    <row r="13" spans="2:73">
      <c r="B13" s="355" t="s">
        <v>240</v>
      </c>
      <c r="C13" s="401" t="s">
        <v>139</v>
      </c>
      <c r="D13" s="405">
        <f>(21*60)/(BS20+BT20)*$E$2*BR20*E3</f>
        <v>8890.56</v>
      </c>
      <c r="E13" s="393">
        <v>0</v>
      </c>
      <c r="F13" s="393"/>
      <c r="G13" s="420" t="e">
        <f t="shared" si="3"/>
        <v>#DIV/0!</v>
      </c>
      <c r="H13" s="394">
        <f t="shared" si="0"/>
        <v>0</v>
      </c>
      <c r="I13" s="394">
        <f t="shared" si="4"/>
        <v>0</v>
      </c>
      <c r="J13" s="396" t="s">
        <v>231</v>
      </c>
      <c r="O13" s="18">
        <f>SUM(O7:O11)</f>
        <v>41390</v>
      </c>
      <c r="S13" s="559" t="s">
        <v>218</v>
      </c>
      <c r="T13" s="635" t="s">
        <v>37</v>
      </c>
      <c r="U13" s="230" t="s">
        <v>114</v>
      </c>
      <c r="V13" s="289">
        <v>10</v>
      </c>
      <c r="W13" s="290">
        <v>72</v>
      </c>
      <c r="X13" s="115"/>
      <c r="Y13" s="218">
        <f t="shared" si="8"/>
        <v>72</v>
      </c>
      <c r="Z13" s="237"/>
      <c r="AB13" s="210"/>
      <c r="AC13" s="202"/>
      <c r="AD13" s="206"/>
      <c r="AE13" s="207"/>
      <c r="AF13" s="205"/>
      <c r="AG13" s="205"/>
      <c r="AI13" s="650"/>
      <c r="AJ13" s="239" t="s">
        <v>133</v>
      </c>
      <c r="AK13" s="119" t="s">
        <v>114</v>
      </c>
      <c r="AL13" s="296"/>
      <c r="AM13" s="297"/>
      <c r="AN13" s="298">
        <v>0</v>
      </c>
      <c r="AO13" s="222">
        <f t="shared" si="11"/>
        <v>0</v>
      </c>
      <c r="AR13" s="210"/>
      <c r="AS13" s="202"/>
      <c r="AT13" s="206"/>
      <c r="AU13" s="207"/>
      <c r="AV13" s="205"/>
      <c r="AW13" s="205"/>
      <c r="AY13" s="652" t="s">
        <v>241</v>
      </c>
      <c r="AZ13" s="635" t="s">
        <v>121</v>
      </c>
      <c r="BA13" s="114" t="s">
        <v>114</v>
      </c>
      <c r="BB13" s="289">
        <v>16</v>
      </c>
      <c r="BC13" s="290">
        <v>61</v>
      </c>
      <c r="BD13" s="295">
        <v>15</v>
      </c>
      <c r="BE13" s="218">
        <f t="shared" si="10"/>
        <v>76</v>
      </c>
      <c r="BH13" s="210"/>
      <c r="BI13" s="202"/>
      <c r="BJ13" s="206"/>
      <c r="BK13" s="207"/>
      <c r="BL13" s="205"/>
      <c r="BM13" s="205"/>
      <c r="BO13" s="650"/>
      <c r="BP13" s="626"/>
      <c r="BQ13" s="119" t="s">
        <v>135</v>
      </c>
      <c r="BR13" s="296">
        <v>34</v>
      </c>
      <c r="BS13" s="297">
        <v>92</v>
      </c>
      <c r="BT13" s="298">
        <v>15</v>
      </c>
      <c r="BU13" s="303">
        <f t="shared" ref="BU13:BU16" si="12">BS13+BT13</f>
        <v>107</v>
      </c>
    </row>
    <row r="14" spans="2:73">
      <c r="B14" s="355" t="s">
        <v>198</v>
      </c>
      <c r="C14" s="401" t="s">
        <v>81</v>
      </c>
      <c r="D14" s="405">
        <f>(21*60)/(AM5+AN5)*$E$2*AL5*$E$3</f>
        <v>3780</v>
      </c>
      <c r="E14" s="393">
        <v>1287</v>
      </c>
      <c r="F14" s="393">
        <v>408</v>
      </c>
      <c r="G14" s="420">
        <f t="shared" si="3"/>
        <v>0.317016317016317</v>
      </c>
      <c r="H14" s="394">
        <f t="shared" si="0"/>
        <v>0.34047619047619049</v>
      </c>
      <c r="I14" s="394">
        <f t="shared" si="4"/>
        <v>0.10793650793650794</v>
      </c>
      <c r="J14" s="396" t="s">
        <v>242</v>
      </c>
      <c r="S14" s="580"/>
      <c r="T14" s="646"/>
      <c r="U14" s="107" t="s">
        <v>115</v>
      </c>
      <c r="V14" s="272">
        <v>10</v>
      </c>
      <c r="W14" s="273">
        <v>87</v>
      </c>
      <c r="X14" s="108"/>
      <c r="Y14" s="219">
        <f t="shared" si="8"/>
        <v>87</v>
      </c>
      <c r="AB14" s="209"/>
      <c r="AC14" s="202"/>
      <c r="AD14" s="206"/>
      <c r="AE14" s="207"/>
      <c r="AF14" s="205"/>
      <c r="AG14" s="205"/>
      <c r="AI14" s="650"/>
      <c r="AJ14" s="359" t="s">
        <v>149</v>
      </c>
      <c r="AK14" s="360" t="s">
        <v>114</v>
      </c>
      <c r="AL14" s="363">
        <v>4</v>
      </c>
      <c r="AM14" s="364">
        <v>54</v>
      </c>
      <c r="AN14" s="361">
        <v>10</v>
      </c>
      <c r="AO14" s="362">
        <f t="shared" si="11"/>
        <v>64</v>
      </c>
      <c r="AR14" s="209"/>
      <c r="AS14" s="202"/>
      <c r="AT14" s="206"/>
      <c r="AU14" s="207"/>
      <c r="AV14" s="205"/>
      <c r="AW14" s="205"/>
      <c r="AY14" s="653"/>
      <c r="AZ14" s="630"/>
      <c r="BA14" s="232" t="s">
        <v>115</v>
      </c>
      <c r="BB14" s="291">
        <v>12</v>
      </c>
      <c r="BC14" s="292">
        <v>61</v>
      </c>
      <c r="BD14" s="293">
        <v>15</v>
      </c>
      <c r="BE14" s="222">
        <f t="shared" si="10"/>
        <v>76</v>
      </c>
      <c r="BH14" s="209"/>
      <c r="BI14" s="202"/>
      <c r="BJ14" s="206"/>
      <c r="BK14" s="207"/>
      <c r="BL14" s="205"/>
      <c r="BM14" s="205"/>
      <c r="BO14" s="650"/>
      <c r="BP14" s="626" t="s">
        <v>243</v>
      </c>
      <c r="BQ14" s="119" t="s">
        <v>116</v>
      </c>
      <c r="BR14" s="296">
        <v>30</v>
      </c>
      <c r="BS14" s="297">
        <v>96</v>
      </c>
      <c r="BT14" s="298">
        <v>15</v>
      </c>
      <c r="BU14" s="303">
        <f t="shared" si="12"/>
        <v>111</v>
      </c>
    </row>
    <row r="15" spans="2:73">
      <c r="B15" s="355" t="s">
        <v>214</v>
      </c>
      <c r="C15" s="401" t="s">
        <v>61</v>
      </c>
      <c r="D15" s="405">
        <f>(21*60)/(AM7+AN7)*$E$2*AL7*$E$3</f>
        <v>3817.1803278688526</v>
      </c>
      <c r="E15" s="393">
        <v>15</v>
      </c>
      <c r="F15" s="393">
        <v>355</v>
      </c>
      <c r="G15" s="420">
        <f t="shared" si="3"/>
        <v>23.666666666666668</v>
      </c>
      <c r="H15" s="394">
        <f t="shared" si="0"/>
        <v>3.9296021438878581E-3</v>
      </c>
      <c r="I15" s="394">
        <f t="shared" si="4"/>
        <v>9.3000584072012643E-2</v>
      </c>
      <c r="J15" s="396" t="s">
        <v>242</v>
      </c>
      <c r="S15" s="649" t="s">
        <v>227</v>
      </c>
      <c r="T15" s="668" t="s">
        <v>72</v>
      </c>
      <c r="U15" s="114" t="s">
        <v>114</v>
      </c>
      <c r="V15" s="289">
        <v>12</v>
      </c>
      <c r="W15" s="290">
        <v>75</v>
      </c>
      <c r="X15" s="115"/>
      <c r="Y15" s="218">
        <f t="shared" si="8"/>
        <v>75</v>
      </c>
      <c r="AB15" s="210"/>
      <c r="AC15" s="202"/>
      <c r="AD15" s="206"/>
      <c r="AE15" s="207"/>
      <c r="AF15" s="205"/>
      <c r="AG15" s="205"/>
      <c r="AI15" s="650"/>
      <c r="AJ15" s="627" t="s">
        <v>150</v>
      </c>
      <c r="AK15" s="369" t="s">
        <v>115</v>
      </c>
      <c r="AL15" s="363">
        <v>3</v>
      </c>
      <c r="AM15" s="305">
        <v>37</v>
      </c>
      <c r="AN15" s="306">
        <v>10</v>
      </c>
      <c r="AO15" s="366">
        <f t="shared" si="11"/>
        <v>47</v>
      </c>
      <c r="AR15" s="210"/>
      <c r="AS15" s="202"/>
      <c r="AT15" s="206"/>
      <c r="AU15" s="207"/>
      <c r="AV15" s="205"/>
      <c r="AW15" s="205"/>
      <c r="AY15" s="653"/>
      <c r="AZ15" s="629" t="s">
        <v>37</v>
      </c>
      <c r="BA15" s="116" t="s">
        <v>114</v>
      </c>
      <c r="BB15" s="291">
        <v>8</v>
      </c>
      <c r="BC15" s="292">
        <v>61</v>
      </c>
      <c r="BD15" s="293">
        <v>15</v>
      </c>
      <c r="BE15" s="222">
        <f t="shared" si="10"/>
        <v>76</v>
      </c>
      <c r="BH15" s="210"/>
      <c r="BI15" s="202"/>
      <c r="BJ15" s="206"/>
      <c r="BK15" s="207"/>
      <c r="BL15" s="205"/>
      <c r="BM15" s="205"/>
      <c r="BO15" s="650"/>
      <c r="BP15" s="626"/>
      <c r="BQ15" s="242" t="s">
        <v>135</v>
      </c>
      <c r="BR15" s="296">
        <v>30</v>
      </c>
      <c r="BS15" s="297">
        <v>101</v>
      </c>
      <c r="BT15" s="298">
        <v>15</v>
      </c>
      <c r="BU15" s="303">
        <f t="shared" si="12"/>
        <v>116</v>
      </c>
    </row>
    <row r="16" spans="2:73" ht="13.5" thickBot="1">
      <c r="B16" s="355" t="s">
        <v>225</v>
      </c>
      <c r="C16" s="401" t="s">
        <v>83</v>
      </c>
      <c r="D16" s="405">
        <f>(21*60)/(AM9+AN9)*$E$2*AL9*$E$3</f>
        <v>4601.739130434783</v>
      </c>
      <c r="E16" s="393">
        <v>295</v>
      </c>
      <c r="F16" s="393">
        <v>525</v>
      </c>
      <c r="G16" s="420">
        <f t="shared" si="3"/>
        <v>1.7796610169491525</v>
      </c>
      <c r="H16" s="394">
        <f t="shared" si="0"/>
        <v>6.4106198034769454E-2</v>
      </c>
      <c r="I16" s="394">
        <f t="shared" si="4"/>
        <v>0.11408730158730158</v>
      </c>
      <c r="J16" s="396" t="s">
        <v>242</v>
      </c>
      <c r="S16" s="651"/>
      <c r="T16" s="628"/>
      <c r="U16" s="214" t="s">
        <v>115</v>
      </c>
      <c r="V16" s="215"/>
      <c r="W16" s="216"/>
      <c r="X16" s="217"/>
      <c r="Y16" s="220">
        <f t="shared" si="8"/>
        <v>0</v>
      </c>
      <c r="AB16" s="210"/>
      <c r="AC16" s="202"/>
      <c r="AD16" s="206"/>
      <c r="AE16" s="207"/>
      <c r="AF16" s="205"/>
      <c r="AG16" s="205"/>
      <c r="AI16" s="659"/>
      <c r="AJ16" s="629"/>
      <c r="AK16" s="365" t="s">
        <v>114</v>
      </c>
      <c r="AL16" s="304">
        <v>4</v>
      </c>
      <c r="AM16" s="305">
        <v>37</v>
      </c>
      <c r="AN16" s="306">
        <v>10</v>
      </c>
      <c r="AO16" s="366">
        <f t="shared" si="11"/>
        <v>47</v>
      </c>
      <c r="AR16" s="210"/>
      <c r="AS16" s="202"/>
      <c r="AT16" s="206"/>
      <c r="AU16" s="207"/>
      <c r="AV16" s="205"/>
      <c r="AW16" s="205"/>
      <c r="AY16" s="653"/>
      <c r="AZ16" s="630"/>
      <c r="BA16" s="232" t="s">
        <v>115</v>
      </c>
      <c r="BB16" s="291">
        <v>16</v>
      </c>
      <c r="BC16" s="292">
        <v>34</v>
      </c>
      <c r="BD16" s="293">
        <v>15</v>
      </c>
      <c r="BE16" s="222">
        <f t="shared" si="10"/>
        <v>49</v>
      </c>
      <c r="BH16" s="210"/>
      <c r="BI16" s="202"/>
      <c r="BJ16" s="206"/>
      <c r="BK16" s="207"/>
      <c r="BL16" s="205"/>
      <c r="BM16" s="205"/>
      <c r="BO16" s="650"/>
      <c r="BP16" s="627" t="s">
        <v>134</v>
      </c>
      <c r="BQ16" s="119" t="s">
        <v>157</v>
      </c>
      <c r="BR16" s="296">
        <v>30</v>
      </c>
      <c r="BS16" s="297">
        <v>60</v>
      </c>
      <c r="BT16" s="298">
        <v>15</v>
      </c>
      <c r="BU16" s="303">
        <f t="shared" si="12"/>
        <v>75</v>
      </c>
    </row>
    <row r="17" spans="2:73" ht="13.5" thickBot="1">
      <c r="B17" s="355" t="s">
        <v>236</v>
      </c>
      <c r="C17" s="401" t="s">
        <v>149</v>
      </c>
      <c r="D17" s="405">
        <f>(21*60)/(AM14+AN14)*$E$2*AL14*$E$3</f>
        <v>1323</v>
      </c>
      <c r="E17" s="393">
        <v>114</v>
      </c>
      <c r="F17" s="393">
        <v>25</v>
      </c>
      <c r="G17" s="420">
        <f t="shared" si="3"/>
        <v>0.21929824561403508</v>
      </c>
      <c r="H17" s="394">
        <f t="shared" si="0"/>
        <v>8.6167800453514742E-2</v>
      </c>
      <c r="I17" s="394">
        <f t="shared" si="4"/>
        <v>1.889644746787604E-2</v>
      </c>
      <c r="J17" s="396" t="s">
        <v>242</v>
      </c>
      <c r="N17" s="18"/>
      <c r="T17" s="211"/>
      <c r="U17" s="202"/>
      <c r="V17" s="203"/>
      <c r="W17" s="204"/>
      <c r="X17" s="205"/>
      <c r="Y17" s="205"/>
      <c r="AB17" s="208"/>
      <c r="AC17" s="202"/>
      <c r="AD17" s="206"/>
      <c r="AE17" s="207"/>
      <c r="AF17" s="205"/>
      <c r="AG17" s="205"/>
      <c r="AI17" s="601" t="s">
        <v>245</v>
      </c>
      <c r="AJ17" s="240" t="s">
        <v>145</v>
      </c>
      <c r="AK17" s="114" t="s">
        <v>114</v>
      </c>
      <c r="AL17" s="289">
        <v>5</v>
      </c>
      <c r="AM17" s="290">
        <v>54</v>
      </c>
      <c r="AN17" s="295">
        <v>10</v>
      </c>
      <c r="AO17" s="218">
        <f t="shared" si="11"/>
        <v>64</v>
      </c>
      <c r="AR17" s="208"/>
      <c r="AS17" s="202"/>
      <c r="AT17" s="206"/>
      <c r="AU17" s="207"/>
      <c r="AV17" s="205"/>
      <c r="AW17" s="205"/>
      <c r="AY17" s="654"/>
      <c r="AZ17" s="383" t="s">
        <v>246</v>
      </c>
      <c r="BA17" s="360" t="s">
        <v>247</v>
      </c>
      <c r="BB17" s="315">
        <v>28</v>
      </c>
      <c r="BC17" s="368">
        <v>34</v>
      </c>
      <c r="BD17" s="361">
        <v>15</v>
      </c>
      <c r="BE17" s="362">
        <f t="shared" si="10"/>
        <v>49</v>
      </c>
      <c r="BO17" s="651"/>
      <c r="BP17" s="628"/>
      <c r="BQ17" s="226" t="s">
        <v>159</v>
      </c>
      <c r="BR17" s="227">
        <v>30</v>
      </c>
      <c r="BS17" s="228">
        <v>60</v>
      </c>
      <c r="BT17" s="229">
        <v>15</v>
      </c>
      <c r="BU17" s="220">
        <f>BS17+BT17</f>
        <v>75</v>
      </c>
    </row>
    <row r="18" spans="2:73" ht="13.5" thickBot="1">
      <c r="B18" s="355" t="s">
        <v>245</v>
      </c>
      <c r="C18" s="401" t="s">
        <v>145</v>
      </c>
      <c r="D18" s="405">
        <f>(21*60)/(AM17+AN17)*$E$2*AL17*$E$3</f>
        <v>1653.75</v>
      </c>
      <c r="E18" s="393">
        <v>368</v>
      </c>
      <c r="F18" s="393">
        <v>68</v>
      </c>
      <c r="G18" s="420">
        <f t="shared" si="3"/>
        <v>0.18478260869565216</v>
      </c>
      <c r="H18" s="394">
        <f t="shared" si="0"/>
        <v>0.22252456538170823</v>
      </c>
      <c r="I18" s="394">
        <f t="shared" si="4"/>
        <v>4.111866969009826E-2</v>
      </c>
      <c r="J18" s="396" t="s">
        <v>242</v>
      </c>
      <c r="AB18" s="211"/>
      <c r="AC18" s="202"/>
      <c r="AD18" s="203"/>
      <c r="AE18" s="204"/>
      <c r="AF18" s="205"/>
      <c r="AG18" s="205"/>
      <c r="AI18" s="581"/>
      <c r="AJ18" s="235" t="s">
        <v>246</v>
      </c>
      <c r="AK18" s="231" t="s">
        <v>114</v>
      </c>
      <c r="AL18" s="291">
        <v>15</v>
      </c>
      <c r="AM18" s="273">
        <v>57</v>
      </c>
      <c r="AN18" s="294">
        <v>10</v>
      </c>
      <c r="AO18" s="219">
        <f t="shared" si="11"/>
        <v>67</v>
      </c>
      <c r="AR18" s="211"/>
      <c r="AS18" s="202"/>
      <c r="AT18" s="203"/>
      <c r="AU18" s="204"/>
      <c r="AV18" s="205"/>
      <c r="AW18" s="205"/>
      <c r="AY18" s="633" t="s">
        <v>248</v>
      </c>
      <c r="AZ18" s="635" t="s">
        <v>83</v>
      </c>
      <c r="BA18" s="230" t="s">
        <v>114</v>
      </c>
      <c r="BB18" s="289">
        <v>18</v>
      </c>
      <c r="BC18" s="290">
        <v>61</v>
      </c>
      <c r="BD18" s="295">
        <v>15</v>
      </c>
      <c r="BE18" s="218">
        <f t="shared" si="10"/>
        <v>76</v>
      </c>
      <c r="BR18" s="233">
        <f>AVERAGE(BR12:BR17)</f>
        <v>31.333333333333332</v>
      </c>
      <c r="BS18" s="234">
        <f>AVERAGE(BS12:BS17)</f>
        <v>83.166666666666671</v>
      </c>
      <c r="BT18" s="234">
        <f>AVERAGE(BT12:BT17)</f>
        <v>15</v>
      </c>
    </row>
    <row r="19" spans="2:73" ht="13.5" thickBot="1">
      <c r="B19" s="355" t="s">
        <v>249</v>
      </c>
      <c r="C19" s="401" t="s">
        <v>146</v>
      </c>
      <c r="D19" s="405">
        <f>(21*60)/(AM21+AN21)*$E$2*AL21*$E$3</f>
        <v>1323</v>
      </c>
      <c r="E19" s="393">
        <v>957</v>
      </c>
      <c r="F19" s="393">
        <v>168</v>
      </c>
      <c r="G19" s="420">
        <f t="shared" si="3"/>
        <v>0.17554858934169279</v>
      </c>
      <c r="H19" s="394">
        <f t="shared" si="0"/>
        <v>0.72335600907029474</v>
      </c>
      <c r="I19" s="394">
        <f t="shared" si="4"/>
        <v>0.12698412698412698</v>
      </c>
      <c r="J19" s="396" t="s">
        <v>242</v>
      </c>
      <c r="L19" s="3" t="s">
        <v>3</v>
      </c>
      <c r="M19" s="4" t="s">
        <v>4</v>
      </c>
      <c r="N19" s="4" t="s">
        <v>22</v>
      </c>
      <c r="O19" s="4" t="s">
        <v>187</v>
      </c>
      <c r="P19" s="26" t="s">
        <v>175</v>
      </c>
      <c r="Q19" s="1">
        <v>0.8</v>
      </c>
      <c r="AB19" s="209"/>
      <c r="AC19" s="202"/>
      <c r="AD19" s="203"/>
      <c r="AE19" s="204"/>
      <c r="AF19" s="205"/>
      <c r="AG19" s="205"/>
      <c r="AI19" s="236" t="s">
        <v>249</v>
      </c>
      <c r="AJ19" s="668" t="s">
        <v>145</v>
      </c>
      <c r="AK19" s="114" t="s">
        <v>114</v>
      </c>
      <c r="AL19" s="289">
        <v>4</v>
      </c>
      <c r="AM19" s="290">
        <v>54</v>
      </c>
      <c r="AN19" s="295">
        <v>10</v>
      </c>
      <c r="AO19" s="218">
        <f t="shared" si="11"/>
        <v>64</v>
      </c>
      <c r="AR19" s="209"/>
      <c r="AS19" s="202"/>
      <c r="AT19" s="203"/>
      <c r="AU19" s="204"/>
      <c r="AV19" s="205"/>
      <c r="AW19" s="205"/>
      <c r="AY19" s="633"/>
      <c r="AZ19" s="646"/>
      <c r="BA19" s="85" t="s">
        <v>115</v>
      </c>
      <c r="BB19" s="272">
        <v>18</v>
      </c>
      <c r="BC19" s="273">
        <v>61</v>
      </c>
      <c r="BD19" s="294">
        <v>15</v>
      </c>
      <c r="BE19" s="219">
        <f t="shared" si="10"/>
        <v>76</v>
      </c>
      <c r="BO19" s="649" t="s">
        <v>240</v>
      </c>
      <c r="BP19" s="625" t="s">
        <v>139</v>
      </c>
      <c r="BQ19" s="114" t="s">
        <v>116</v>
      </c>
      <c r="BR19" s="289">
        <v>42</v>
      </c>
      <c r="BS19" s="290">
        <v>85</v>
      </c>
      <c r="BT19" s="295">
        <v>15</v>
      </c>
      <c r="BU19" s="310">
        <f>BS19+BT19</f>
        <v>100</v>
      </c>
    </row>
    <row r="20" spans="2:73" ht="14.25" thickTop="1" thickBot="1">
      <c r="B20" s="355" t="s">
        <v>199</v>
      </c>
      <c r="C20" s="401" t="s">
        <v>58</v>
      </c>
      <c r="D20" s="405">
        <f>(21*60)/(AU5+AV5)*$E$2*AT5*$E$3</f>
        <v>4053.4468085106382</v>
      </c>
      <c r="E20" s="393">
        <v>38</v>
      </c>
      <c r="F20" s="393">
        <v>324</v>
      </c>
      <c r="G20" s="420">
        <f t="shared" si="3"/>
        <v>8.526315789473685</v>
      </c>
      <c r="H20" s="394">
        <f t="shared" si="0"/>
        <v>9.3747375493407233E-3</v>
      </c>
      <c r="I20" s="394">
        <f t="shared" si="4"/>
        <v>7.9931972789115652E-2</v>
      </c>
      <c r="J20" s="396" t="s">
        <v>250</v>
      </c>
      <c r="L20" s="132" t="s">
        <v>210</v>
      </c>
      <c r="M20" s="133" t="s">
        <v>211</v>
      </c>
      <c r="N20" s="155">
        <v>22</v>
      </c>
      <c r="O20" s="155">
        <v>5</v>
      </c>
      <c r="P20" s="156">
        <v>12</v>
      </c>
      <c r="Q20" s="159">
        <f>60*20/(N20+O20)*P20*Q19</f>
        <v>426.66666666666663</v>
      </c>
      <c r="AB20" s="210"/>
      <c r="AC20" s="202"/>
      <c r="AD20" s="203"/>
      <c r="AE20" s="204"/>
      <c r="AF20" s="205"/>
      <c r="AG20" s="205"/>
      <c r="AI20" s="63"/>
      <c r="AJ20" s="641"/>
      <c r="AK20" s="242" t="s">
        <v>115</v>
      </c>
      <c r="AL20" s="296">
        <v>5</v>
      </c>
      <c r="AM20" s="297">
        <v>55</v>
      </c>
      <c r="AN20" s="298">
        <v>10</v>
      </c>
      <c r="AO20" s="222">
        <f t="shared" si="11"/>
        <v>65</v>
      </c>
      <c r="AR20" s="210"/>
      <c r="AS20" s="202"/>
      <c r="AT20" s="203"/>
      <c r="AU20" s="204"/>
      <c r="AV20" s="205"/>
      <c r="AW20" s="205"/>
      <c r="AY20" s="675" t="s">
        <v>251</v>
      </c>
      <c r="AZ20" s="668" t="s">
        <v>81</v>
      </c>
      <c r="BA20" s="230" t="s">
        <v>114</v>
      </c>
      <c r="BB20" s="289">
        <v>16</v>
      </c>
      <c r="BC20" s="290">
        <v>61</v>
      </c>
      <c r="BD20" s="295">
        <v>15</v>
      </c>
      <c r="BE20" s="218">
        <f t="shared" si="10"/>
        <v>76</v>
      </c>
      <c r="BO20" s="650"/>
      <c r="BP20" s="679"/>
      <c r="BQ20" s="371" t="s">
        <v>159</v>
      </c>
      <c r="BR20" s="363">
        <v>42</v>
      </c>
      <c r="BS20" s="364">
        <v>85</v>
      </c>
      <c r="BT20" s="372">
        <v>15</v>
      </c>
      <c r="BU20" s="373">
        <f t="shared" ref="BU20" si="13">BS20+BT20</f>
        <v>100</v>
      </c>
    </row>
    <row r="21" spans="2:73">
      <c r="B21" s="355" t="s">
        <v>215</v>
      </c>
      <c r="C21" s="401" t="s">
        <v>142</v>
      </c>
      <c r="D21" s="405">
        <f>(21*60)/(AU9+AV9)*$E$2*AT9*$E$3</f>
        <v>4233.6000000000004</v>
      </c>
      <c r="E21" s="393">
        <v>0</v>
      </c>
      <c r="F21" s="393"/>
      <c r="G21" s="420" t="e">
        <f t="shared" si="3"/>
        <v>#DIV/0!</v>
      </c>
      <c r="H21" s="394">
        <f t="shared" si="0"/>
        <v>0</v>
      </c>
      <c r="I21" s="394">
        <f t="shared" si="4"/>
        <v>0</v>
      </c>
      <c r="J21" s="396" t="s">
        <v>250</v>
      </c>
      <c r="L21" s="135" t="s">
        <v>220</v>
      </c>
      <c r="M21" s="58" t="s">
        <v>221</v>
      </c>
      <c r="N21" s="157">
        <v>10</v>
      </c>
      <c r="O21" s="157">
        <v>5</v>
      </c>
      <c r="P21" s="139">
        <v>4</v>
      </c>
      <c r="Q21" s="159">
        <f>60*20/(N21+O21)*P21*Q19</f>
        <v>256</v>
      </c>
      <c r="AB21" s="209"/>
      <c r="AC21" s="202"/>
      <c r="AD21" s="206"/>
      <c r="AE21" s="207"/>
      <c r="AF21" s="205"/>
      <c r="AG21" s="205"/>
      <c r="AI21" s="63"/>
      <c r="AJ21" s="669" t="s">
        <v>146</v>
      </c>
      <c r="AK21" s="119" t="s">
        <v>114</v>
      </c>
      <c r="AL21" s="296">
        <v>4</v>
      </c>
      <c r="AM21" s="297">
        <v>54</v>
      </c>
      <c r="AN21" s="298">
        <v>10</v>
      </c>
      <c r="AO21" s="222">
        <f t="shared" si="11"/>
        <v>64</v>
      </c>
      <c r="AR21" s="209"/>
      <c r="AS21" s="202"/>
      <c r="AT21" s="206"/>
      <c r="AU21" s="207"/>
      <c r="AV21" s="205"/>
      <c r="AW21" s="205"/>
      <c r="AY21" s="657"/>
      <c r="AZ21" s="629"/>
      <c r="BA21" s="85" t="s">
        <v>115</v>
      </c>
      <c r="BB21" s="272">
        <v>16</v>
      </c>
      <c r="BC21" s="273">
        <v>61</v>
      </c>
      <c r="BD21" s="294">
        <v>15</v>
      </c>
      <c r="BE21" s="219">
        <f t="shared" si="10"/>
        <v>76</v>
      </c>
      <c r="BH21" s="209"/>
      <c r="BI21" s="202"/>
      <c r="BJ21" s="206"/>
      <c r="BK21" s="207"/>
      <c r="BL21" s="205"/>
      <c r="BM21" s="205"/>
      <c r="BO21" s="374"/>
      <c r="BP21" s="680"/>
      <c r="BQ21" s="375"/>
      <c r="BR21" s="376"/>
      <c r="BS21" s="377"/>
      <c r="BT21" s="378"/>
      <c r="BU21" s="378"/>
    </row>
    <row r="22" spans="2:73">
      <c r="B22" s="355" t="s">
        <v>200</v>
      </c>
      <c r="C22" s="401" t="s">
        <v>81</v>
      </c>
      <c r="D22" s="405">
        <f>(21*60)/(BC9+BD9)*$E$2*BB9*$E$3</f>
        <v>5522.086956521739</v>
      </c>
      <c r="E22" s="393">
        <v>0</v>
      </c>
      <c r="F22" s="393">
        <v>48</v>
      </c>
      <c r="G22" s="420" t="e">
        <f t="shared" si="3"/>
        <v>#DIV/0!</v>
      </c>
      <c r="H22" s="394">
        <f t="shared" si="0"/>
        <v>0</v>
      </c>
      <c r="I22" s="394">
        <f t="shared" si="4"/>
        <v>8.6923658352229781E-3</v>
      </c>
      <c r="J22" s="396" t="s">
        <v>561</v>
      </c>
      <c r="L22" s="136" t="s">
        <v>223</v>
      </c>
      <c r="M22" s="58" t="s">
        <v>83</v>
      </c>
      <c r="N22" s="157">
        <v>10</v>
      </c>
      <c r="O22" s="157">
        <v>5</v>
      </c>
      <c r="P22" s="139">
        <v>9</v>
      </c>
      <c r="Q22" s="159">
        <f>60*20/(N22+O22)*P22*Q19</f>
        <v>576</v>
      </c>
      <c r="AB22" s="210"/>
      <c r="AC22" s="202"/>
      <c r="AD22" s="206"/>
      <c r="AE22" s="204"/>
      <c r="AF22" s="205"/>
      <c r="AG22" s="205"/>
      <c r="AI22" s="63"/>
      <c r="AJ22" s="670"/>
      <c r="AK22" s="119" t="s">
        <v>115</v>
      </c>
      <c r="AL22" s="296">
        <v>3</v>
      </c>
      <c r="AM22" s="297">
        <v>56</v>
      </c>
      <c r="AN22" s="298">
        <v>10</v>
      </c>
      <c r="AO22" s="222">
        <f t="shared" si="11"/>
        <v>66</v>
      </c>
      <c r="AR22" s="210"/>
      <c r="AS22" s="202"/>
      <c r="AT22" s="206"/>
      <c r="AU22" s="204"/>
      <c r="AV22" s="205"/>
      <c r="AW22" s="205"/>
      <c r="AZ22" s="211"/>
      <c r="BA22" s="202"/>
      <c r="BB22" s="203"/>
      <c r="BC22" s="204"/>
      <c r="BD22" s="205"/>
      <c r="BE22" s="205"/>
      <c r="BH22" s="210"/>
      <c r="BI22" s="202"/>
      <c r="BJ22" s="206"/>
      <c r="BK22" s="204"/>
      <c r="BL22" s="205"/>
      <c r="BM22" s="205"/>
      <c r="BO22" s="370"/>
      <c r="BP22" s="663"/>
      <c r="BQ22" s="379"/>
      <c r="BR22" s="380"/>
      <c r="BS22" s="381"/>
      <c r="BT22" s="382"/>
      <c r="BU22" s="382"/>
    </row>
    <row r="23" spans="2:73">
      <c r="B23" s="355" t="s">
        <v>238</v>
      </c>
      <c r="C23" s="401" t="s">
        <v>113</v>
      </c>
      <c r="D23" s="405">
        <f>(21*60)/(BC11+BD11)*$E$2*BB11*$E$3</f>
        <v>6272</v>
      </c>
      <c r="E23" s="393">
        <v>412</v>
      </c>
      <c r="F23" s="393">
        <v>325</v>
      </c>
      <c r="G23" s="420">
        <f t="shared" si="3"/>
        <v>0.78883495145631066</v>
      </c>
      <c r="H23" s="394">
        <f t="shared" si="0"/>
        <v>6.5688775510204078E-2</v>
      </c>
      <c r="I23" s="394">
        <f t="shared" si="4"/>
        <v>5.1817602040816327E-2</v>
      </c>
      <c r="J23" s="396" t="s">
        <v>561</v>
      </c>
      <c r="L23" s="135" t="s">
        <v>228</v>
      </c>
      <c r="M23" s="58" t="s">
        <v>252</v>
      </c>
      <c r="N23" s="157">
        <v>14</v>
      </c>
      <c r="O23" s="157">
        <v>3</v>
      </c>
      <c r="P23" s="139">
        <v>2</v>
      </c>
      <c r="Q23" s="159">
        <f>60*20/(N23+O23)*P23*Q19</f>
        <v>112.94117647058825</v>
      </c>
      <c r="AB23" s="208"/>
      <c r="AC23" s="202"/>
      <c r="AD23" s="203"/>
      <c r="AE23" s="204"/>
      <c r="AF23" s="205"/>
      <c r="AG23" s="205"/>
      <c r="AI23" s="63"/>
      <c r="AJ23" s="627" t="s">
        <v>149</v>
      </c>
      <c r="AK23" s="242" t="s">
        <v>98</v>
      </c>
      <c r="AL23" s="296">
        <v>3</v>
      </c>
      <c r="AM23" s="297">
        <v>41</v>
      </c>
      <c r="AN23" s="298">
        <v>10</v>
      </c>
      <c r="AO23" s="222">
        <f t="shared" si="11"/>
        <v>51</v>
      </c>
      <c r="AR23" s="208"/>
      <c r="AS23" s="202"/>
      <c r="AT23" s="203"/>
      <c r="AU23" s="204"/>
      <c r="AV23" s="205"/>
      <c r="AW23" s="205"/>
      <c r="AZ23" s="209"/>
      <c r="BA23" s="202"/>
      <c r="BB23" s="203"/>
      <c r="BC23" s="204"/>
      <c r="BD23" s="205"/>
      <c r="BE23" s="205"/>
      <c r="BH23" s="208"/>
      <c r="BI23" s="202"/>
      <c r="BJ23" s="203"/>
      <c r="BK23" s="204"/>
      <c r="BL23" s="205"/>
      <c r="BM23" s="205"/>
      <c r="BO23" s="370"/>
      <c r="BP23" s="210"/>
      <c r="BQ23" s="379"/>
      <c r="BR23" s="380"/>
      <c r="BS23" s="381"/>
      <c r="BT23" s="382"/>
      <c r="BU23" s="382"/>
    </row>
    <row r="24" spans="2:73">
      <c r="B24" s="355" t="s">
        <v>197</v>
      </c>
      <c r="C24" s="401" t="s">
        <v>34</v>
      </c>
      <c r="D24" s="405">
        <f>(21*60)/(AE6+AF6)*$E$2*AD6*$E$3</f>
        <v>3175.2000000000003</v>
      </c>
      <c r="E24" s="393">
        <v>26</v>
      </c>
      <c r="F24" s="393"/>
      <c r="G24" s="420">
        <f t="shared" si="3"/>
        <v>0</v>
      </c>
      <c r="H24" s="394">
        <f t="shared" si="0"/>
        <v>8.1884605694129489E-3</v>
      </c>
      <c r="I24" s="394">
        <f t="shared" si="4"/>
        <v>0</v>
      </c>
      <c r="J24" s="399" t="s">
        <v>253</v>
      </c>
      <c r="L24" s="135" t="s">
        <v>254</v>
      </c>
      <c r="M24" s="16" t="s">
        <v>255</v>
      </c>
      <c r="N24" s="157">
        <v>20</v>
      </c>
      <c r="O24" s="157">
        <v>5</v>
      </c>
      <c r="P24" s="139">
        <v>16</v>
      </c>
      <c r="Q24" s="159">
        <f>60*6/(N24+O24)*P24*Q19</f>
        <v>184.32000000000002</v>
      </c>
      <c r="R24" s="1" t="s">
        <v>256</v>
      </c>
      <c r="AB24" s="209"/>
      <c r="AC24" s="202"/>
      <c r="AD24" s="206"/>
      <c r="AE24" s="207"/>
      <c r="AF24" s="205"/>
      <c r="AG24" s="205"/>
      <c r="AI24" s="63"/>
      <c r="AJ24" s="641"/>
      <c r="AK24" s="119" t="s">
        <v>115</v>
      </c>
      <c r="AL24" s="296">
        <v>4</v>
      </c>
      <c r="AM24" s="297"/>
      <c r="AN24" s="298">
        <v>0</v>
      </c>
      <c r="AO24" s="222">
        <f t="shared" si="11"/>
        <v>0</v>
      </c>
      <c r="AR24" s="209"/>
      <c r="AS24" s="202"/>
      <c r="AT24" s="206"/>
      <c r="AU24" s="207"/>
      <c r="AV24" s="205"/>
      <c r="AW24" s="205"/>
      <c r="AZ24" s="210"/>
      <c r="BA24" s="202"/>
      <c r="BB24" s="203"/>
      <c r="BC24" s="204"/>
      <c r="BD24" s="205"/>
      <c r="BE24" s="205"/>
      <c r="BH24" s="209"/>
      <c r="BI24" s="202"/>
      <c r="BJ24" s="206"/>
      <c r="BK24" s="207"/>
      <c r="BL24" s="205"/>
      <c r="BM24" s="205"/>
      <c r="BO24" s="370"/>
      <c r="BP24" s="662"/>
      <c r="BQ24" s="202"/>
      <c r="BR24" s="380"/>
      <c r="BS24" s="381"/>
      <c r="BT24" s="382"/>
      <c r="BU24" s="382"/>
    </row>
    <row r="25" spans="2:73">
      <c r="B25" s="355" t="s">
        <v>213</v>
      </c>
      <c r="C25" s="401" t="s">
        <v>142</v>
      </c>
      <c r="D25" s="405">
        <f>(21*60)/(AE7+AF7)*$E$2*AD7*$E$3</f>
        <v>2419.2000000000003</v>
      </c>
      <c r="E25" s="393">
        <v>1872</v>
      </c>
      <c r="F25" s="393">
        <v>595</v>
      </c>
      <c r="G25" s="420">
        <f t="shared" si="3"/>
        <v>0.31784188034188032</v>
      </c>
      <c r="H25" s="394">
        <f t="shared" si="0"/>
        <v>0.77380952380952372</v>
      </c>
      <c r="I25" s="394">
        <f t="shared" si="4"/>
        <v>0.24594907407407404</v>
      </c>
      <c r="J25" s="399" t="s">
        <v>253</v>
      </c>
      <c r="L25" s="135" t="s">
        <v>254</v>
      </c>
      <c r="M25" s="16" t="s">
        <v>257</v>
      </c>
      <c r="N25" s="157">
        <v>25</v>
      </c>
      <c r="O25" s="157">
        <v>5</v>
      </c>
      <c r="P25" s="139">
        <v>12</v>
      </c>
      <c r="Q25" s="159">
        <f>60*8/(N25+O25)*P25*Q19</f>
        <v>153.60000000000002</v>
      </c>
      <c r="R25" s="1" t="s">
        <v>258</v>
      </c>
      <c r="AB25" s="210"/>
      <c r="AC25" s="202"/>
      <c r="AD25" s="206"/>
      <c r="AE25" s="207"/>
      <c r="AF25" s="205"/>
      <c r="AG25" s="205"/>
      <c r="AI25" s="63"/>
      <c r="AJ25" s="671" t="s">
        <v>150</v>
      </c>
      <c r="AK25" s="116" t="s">
        <v>114</v>
      </c>
      <c r="AL25" s="117">
        <v>4</v>
      </c>
      <c r="AM25" s="125"/>
      <c r="AN25" s="118">
        <v>0</v>
      </c>
      <c r="AO25" s="222">
        <f t="shared" si="11"/>
        <v>0</v>
      </c>
      <c r="AR25" s="210"/>
      <c r="AS25" s="202"/>
      <c r="AT25" s="206"/>
      <c r="AU25" s="207"/>
      <c r="AV25" s="205"/>
      <c r="AW25" s="205"/>
      <c r="AZ25" s="209"/>
      <c r="BA25" s="202"/>
      <c r="BB25" s="206"/>
      <c r="BC25" s="207"/>
      <c r="BD25" s="205"/>
      <c r="BE25" s="205"/>
      <c r="BH25" s="210"/>
      <c r="BI25" s="202"/>
      <c r="BJ25" s="206"/>
      <c r="BK25" s="207"/>
      <c r="BL25" s="205"/>
      <c r="BM25" s="205"/>
      <c r="BO25" s="370"/>
      <c r="BP25" s="663"/>
      <c r="BQ25" s="202"/>
      <c r="BR25" s="206"/>
      <c r="BS25" s="207"/>
      <c r="BT25" s="205"/>
      <c r="BU25" s="205"/>
    </row>
    <row r="26" spans="2:73" ht="13.5" thickBot="1">
      <c r="B26" s="355" t="s">
        <v>241</v>
      </c>
      <c r="C26" s="401" t="s">
        <v>121</v>
      </c>
      <c r="D26" s="405">
        <f>(21*60)/(BC14+BD14)*$E$2*BB14*$E$3</f>
        <v>3342.3157894736842</v>
      </c>
      <c r="E26" s="393">
        <v>1561</v>
      </c>
      <c r="F26" s="393">
        <v>912</v>
      </c>
      <c r="G26" s="420">
        <f t="shared" si="3"/>
        <v>0.5842408712363869</v>
      </c>
      <c r="H26" s="394">
        <f t="shared" si="0"/>
        <v>0.46704144620811289</v>
      </c>
      <c r="I26" s="394">
        <f t="shared" si="4"/>
        <v>0.27286470143613001</v>
      </c>
      <c r="J26" s="355" t="s">
        <v>561</v>
      </c>
      <c r="L26" s="180" t="s">
        <v>232</v>
      </c>
      <c r="M26" s="181" t="s">
        <v>233</v>
      </c>
      <c r="N26" s="153">
        <v>22</v>
      </c>
      <c r="O26" s="153">
        <v>10</v>
      </c>
      <c r="P26" s="154">
        <v>45</v>
      </c>
      <c r="Q26" s="159">
        <f>60*21/(N26+O26)*P26*Q19</f>
        <v>1417.5</v>
      </c>
      <c r="AB26" s="208"/>
      <c r="AC26" s="202"/>
      <c r="AD26" s="206"/>
      <c r="AE26" s="204"/>
      <c r="AF26" s="205"/>
      <c r="AG26" s="205"/>
      <c r="AI26" s="12"/>
      <c r="AJ26" s="672"/>
      <c r="AK26" s="214" t="s">
        <v>115</v>
      </c>
      <c r="AL26" s="215">
        <v>3</v>
      </c>
      <c r="AM26" s="225"/>
      <c r="AN26" s="217">
        <v>0</v>
      </c>
      <c r="AO26" s="220">
        <f>AM26+AN26</f>
        <v>0</v>
      </c>
      <c r="AR26" s="208"/>
      <c r="AS26" s="202"/>
      <c r="AT26" s="206"/>
      <c r="AU26" s="204"/>
      <c r="AV26" s="205"/>
      <c r="AW26" s="205"/>
      <c r="AZ26" s="210"/>
      <c r="BA26" s="202"/>
      <c r="BB26" s="206"/>
      <c r="BC26" s="204"/>
      <c r="BD26" s="205"/>
      <c r="BE26" s="205"/>
      <c r="BH26" s="208"/>
      <c r="BI26" s="202"/>
      <c r="BJ26" s="206"/>
      <c r="BK26" s="204"/>
      <c r="BL26" s="205"/>
      <c r="BM26" s="205"/>
      <c r="BP26" s="211"/>
      <c r="BQ26" s="202"/>
      <c r="BR26" s="206"/>
      <c r="BS26" s="204"/>
      <c r="BT26" s="205"/>
      <c r="BU26" s="205"/>
    </row>
    <row r="27" spans="2:73">
      <c r="B27" s="355" t="s">
        <v>248</v>
      </c>
      <c r="C27" s="401" t="s">
        <v>83</v>
      </c>
      <c r="D27" s="405">
        <f>(21*60)/(BC18+BD18)*$E$2*BB18*$E$3</f>
        <v>5013.4736842105267</v>
      </c>
      <c r="E27" s="393">
        <v>0</v>
      </c>
      <c r="F27" s="393"/>
      <c r="G27" s="420" t="e">
        <f t="shared" si="3"/>
        <v>#DIV/0!</v>
      </c>
      <c r="H27" s="394">
        <f t="shared" si="0"/>
        <v>0</v>
      </c>
      <c r="I27" s="394">
        <f t="shared" si="4"/>
        <v>0</v>
      </c>
      <c r="J27" s="355" t="s">
        <v>561</v>
      </c>
      <c r="AB27" s="211"/>
      <c r="AC27" s="202"/>
      <c r="AD27" s="206"/>
      <c r="AE27" s="204"/>
      <c r="AF27" s="205"/>
      <c r="AG27" s="205"/>
      <c r="AR27" s="211"/>
      <c r="AS27" s="202"/>
      <c r="AT27" s="206"/>
      <c r="AU27" s="204"/>
      <c r="AV27" s="205"/>
      <c r="AW27" s="205"/>
      <c r="AZ27" s="208"/>
      <c r="BA27" s="202"/>
      <c r="BB27" s="203"/>
      <c r="BC27" s="204"/>
      <c r="BD27" s="205"/>
      <c r="BE27" s="205"/>
      <c r="BH27" s="211"/>
      <c r="BI27" s="202"/>
      <c r="BJ27" s="206"/>
      <c r="BK27" s="204"/>
      <c r="BL27" s="205"/>
      <c r="BM27" s="205"/>
      <c r="BP27" s="208"/>
      <c r="BQ27" s="202"/>
      <c r="BR27" s="206"/>
      <c r="BS27" s="204"/>
      <c r="BT27" s="205"/>
      <c r="BU27" s="205"/>
    </row>
    <row r="28" spans="2:73">
      <c r="B28" s="355" t="s">
        <v>251</v>
      </c>
      <c r="C28" s="401" t="s">
        <v>81</v>
      </c>
      <c r="D28" s="405">
        <f>(21*60)/(BC20+BD20)*$E$2*BB20*$E$3</f>
        <v>4456.4210526315792</v>
      </c>
      <c r="E28" s="393">
        <v>0</v>
      </c>
      <c r="F28" s="393"/>
      <c r="G28" s="420" t="e">
        <f t="shared" si="3"/>
        <v>#DIV/0!</v>
      </c>
      <c r="H28" s="394">
        <f t="shared" si="0"/>
        <v>0</v>
      </c>
      <c r="I28" s="394">
        <f t="shared" si="4"/>
        <v>0</v>
      </c>
      <c r="J28" s="355" t="s">
        <v>561</v>
      </c>
      <c r="T28" s="211"/>
      <c r="U28" s="202"/>
      <c r="V28" s="206"/>
      <c r="W28" s="204"/>
      <c r="X28" s="205"/>
      <c r="Y28" s="205"/>
      <c r="AB28" s="208"/>
      <c r="AC28" s="202"/>
      <c r="AD28" s="206"/>
      <c r="AE28" s="204"/>
      <c r="AF28" s="205"/>
      <c r="AG28" s="205"/>
      <c r="AR28" s="208"/>
      <c r="AS28" s="202"/>
      <c r="AT28" s="206"/>
      <c r="AU28" s="204"/>
      <c r="AV28" s="205"/>
      <c r="AW28" s="205"/>
      <c r="AZ28" s="209"/>
      <c r="BA28" s="202"/>
      <c r="BB28" s="206"/>
      <c r="BC28" s="207"/>
      <c r="BD28" s="205"/>
      <c r="BE28" s="205"/>
      <c r="BH28" s="208"/>
      <c r="BI28" s="202"/>
      <c r="BJ28" s="206"/>
      <c r="BK28" s="204"/>
      <c r="BL28" s="205"/>
      <c r="BM28" s="205"/>
      <c r="BP28" s="211"/>
      <c r="BQ28" s="202"/>
      <c r="BR28" s="206"/>
      <c r="BS28" s="204"/>
      <c r="BT28" s="205"/>
      <c r="BU28" s="205"/>
    </row>
    <row r="29" spans="2:73" ht="13.5">
      <c r="B29" s="355"/>
      <c r="C29" s="404" t="s">
        <v>21</v>
      </c>
      <c r="D29" s="393">
        <f>SUM(D5:D23)</f>
        <v>79860.98492074736</v>
      </c>
      <c r="E29" s="393">
        <f>SUM(E5:E28)</f>
        <v>9317</v>
      </c>
      <c r="F29" s="393">
        <v>5123</v>
      </c>
      <c r="G29" s="420">
        <f>F29/E29</f>
        <v>0.54985510357411183</v>
      </c>
      <c r="H29" s="388">
        <f t="shared" si="0"/>
        <v>0.11666522782364915</v>
      </c>
      <c r="I29" s="394">
        <f t="shared" si="4"/>
        <v>6.4148970928469953E-2</v>
      </c>
      <c r="J29" s="355"/>
      <c r="S29" s="665"/>
      <c r="T29" s="667"/>
      <c r="U29" s="202"/>
      <c r="V29" s="206"/>
      <c r="W29" s="207"/>
      <c r="X29" s="205"/>
      <c r="Y29" s="205"/>
      <c r="AB29" s="211"/>
      <c r="AC29" s="202"/>
      <c r="AD29" s="206"/>
      <c r="AE29" s="204"/>
      <c r="AF29" s="205"/>
      <c r="AG29" s="205"/>
      <c r="AR29" s="211"/>
      <c r="AS29" s="202"/>
      <c r="AT29" s="206"/>
      <c r="AU29" s="204"/>
      <c r="AV29" s="205"/>
      <c r="AW29" s="205"/>
      <c r="AZ29" s="210"/>
      <c r="BA29" s="202"/>
      <c r="BB29" s="206"/>
      <c r="BC29" s="207"/>
      <c r="BD29" s="205"/>
      <c r="BE29" s="205"/>
      <c r="BH29" s="211"/>
      <c r="BI29" s="202"/>
      <c r="BJ29" s="206"/>
      <c r="BK29" s="204"/>
      <c r="BL29" s="205"/>
      <c r="BM29" s="205"/>
      <c r="BP29" s="208"/>
      <c r="BQ29" s="202"/>
      <c r="BR29" s="206"/>
      <c r="BS29" s="207"/>
      <c r="BT29" s="205"/>
      <c r="BU29" s="205"/>
    </row>
    <row r="30" spans="2:73" ht="13.5" customHeight="1">
      <c r="C30" s="17"/>
      <c r="D30" s="18"/>
      <c r="E30" s="18"/>
      <c r="F30" s="18"/>
      <c r="G30" s="18"/>
      <c r="H30" s="19"/>
      <c r="I30" s="19"/>
      <c r="S30" s="666"/>
      <c r="T30" s="664"/>
      <c r="U30" s="202"/>
      <c r="V30" s="206"/>
      <c r="W30" s="204"/>
      <c r="X30" s="205"/>
      <c r="Y30" s="205"/>
      <c r="AB30" s="208"/>
      <c r="AC30" s="202"/>
      <c r="AD30" s="206"/>
      <c r="AE30" s="207"/>
      <c r="AF30" s="205"/>
      <c r="AG30" s="205"/>
      <c r="AR30" s="208"/>
      <c r="AS30" s="202"/>
      <c r="AT30" s="206"/>
      <c r="AU30" s="207"/>
      <c r="AV30" s="205"/>
      <c r="AW30" s="205"/>
      <c r="AZ30" s="208"/>
      <c r="BA30" s="202"/>
      <c r="BB30" s="206"/>
      <c r="BC30" s="204"/>
      <c r="BD30" s="205"/>
      <c r="BE30" s="205"/>
      <c r="BH30" s="208"/>
      <c r="BI30" s="202"/>
      <c r="BJ30" s="206"/>
      <c r="BK30" s="207"/>
      <c r="BL30" s="205"/>
      <c r="BM30" s="205"/>
      <c r="BP30" s="211"/>
      <c r="BQ30" s="202"/>
      <c r="BR30" s="206"/>
      <c r="BS30" s="204"/>
      <c r="BT30" s="205"/>
      <c r="BU30" s="205"/>
    </row>
    <row r="31" spans="2:73" ht="13.5" thickBot="1">
      <c r="S31" s="665"/>
      <c r="T31" s="208"/>
      <c r="U31" s="202"/>
      <c r="V31" s="203"/>
      <c r="W31" s="204"/>
      <c r="X31" s="205"/>
      <c r="Y31" s="205"/>
      <c r="AB31" s="211"/>
      <c r="AC31" s="202"/>
      <c r="AD31" s="206"/>
      <c r="AE31" s="204"/>
      <c r="AF31" s="205"/>
      <c r="AG31" s="205"/>
      <c r="AR31" s="211"/>
      <c r="AS31" s="202"/>
      <c r="AT31" s="206"/>
      <c r="AU31" s="204"/>
      <c r="AV31" s="205"/>
      <c r="AW31" s="205"/>
      <c r="AZ31" s="211"/>
      <c r="BA31" s="202"/>
      <c r="BB31" s="206"/>
      <c r="BC31" s="204"/>
      <c r="BD31" s="205"/>
      <c r="BE31" s="205"/>
      <c r="BH31" s="211"/>
      <c r="BI31" s="202"/>
      <c r="BJ31" s="206"/>
      <c r="BK31" s="204"/>
      <c r="BL31" s="205"/>
      <c r="BM31" s="205"/>
      <c r="BP31" s="208"/>
      <c r="BQ31" s="202"/>
      <c r="BR31" s="203"/>
      <c r="BS31" s="204"/>
      <c r="BT31" s="205"/>
      <c r="BU31" s="205"/>
    </row>
    <row r="32" spans="2:73" ht="45.75" customHeight="1" thickBot="1">
      <c r="L32" s="3" t="s">
        <v>3</v>
      </c>
      <c r="M32" s="4" t="s">
        <v>4</v>
      </c>
      <c r="N32" s="5" t="s">
        <v>29</v>
      </c>
      <c r="O32" s="5" t="s">
        <v>183</v>
      </c>
      <c r="P32" s="24" t="s">
        <v>9</v>
      </c>
      <c r="Q32" s="24" t="s">
        <v>11</v>
      </c>
      <c r="S32" s="666"/>
      <c r="T32" s="208"/>
      <c r="U32" s="202"/>
      <c r="V32" s="203"/>
      <c r="W32" s="204"/>
      <c r="X32" s="205"/>
      <c r="Y32" s="205"/>
      <c r="AB32" s="208"/>
      <c r="AC32" s="202"/>
      <c r="AD32" s="203"/>
      <c r="AE32" s="204"/>
      <c r="AF32" s="205"/>
      <c r="AG32" s="205"/>
      <c r="AJ32" s="208"/>
      <c r="AK32" s="202"/>
      <c r="AL32" s="203"/>
      <c r="AM32" s="204"/>
      <c r="AN32" s="205"/>
      <c r="AO32" s="205"/>
      <c r="AR32" s="208"/>
      <c r="AS32" s="202"/>
      <c r="AT32" s="203"/>
      <c r="AU32" s="204"/>
      <c r="AV32" s="205"/>
      <c r="AW32" s="205"/>
      <c r="AZ32" s="208"/>
      <c r="BA32" s="202"/>
      <c r="BB32" s="206"/>
      <c r="BC32" s="204"/>
      <c r="BD32" s="205"/>
      <c r="BE32" s="205"/>
      <c r="BH32" s="208"/>
      <c r="BI32" s="202"/>
      <c r="BJ32" s="203"/>
      <c r="BK32" s="204"/>
      <c r="BL32" s="205"/>
      <c r="BM32" s="205"/>
      <c r="BP32" s="208"/>
      <c r="BQ32" s="202"/>
      <c r="BR32" s="203"/>
      <c r="BS32" s="204"/>
      <c r="BT32" s="205"/>
      <c r="BU32" s="205"/>
    </row>
    <row r="33" spans="3:73" ht="14.25" thickTop="1">
      <c r="C33" s="17"/>
      <c r="D33" s="18"/>
      <c r="E33" s="18"/>
      <c r="F33" s="18"/>
      <c r="G33" s="18"/>
      <c r="H33" s="19"/>
      <c r="I33" s="19"/>
      <c r="L33" s="135" t="s">
        <v>260</v>
      </c>
      <c r="M33" s="16" t="s">
        <v>261</v>
      </c>
      <c r="N33" s="16"/>
      <c r="O33" s="9"/>
      <c r="P33" s="25"/>
      <c r="Q33" s="152" t="s">
        <v>262</v>
      </c>
      <c r="S33" s="666"/>
      <c r="T33" s="208"/>
      <c r="U33" s="202"/>
      <c r="V33" s="203"/>
      <c r="W33" s="204"/>
      <c r="X33" s="205"/>
      <c r="Y33" s="205"/>
      <c r="AB33" s="208"/>
      <c r="AC33" s="202"/>
      <c r="AD33" s="203"/>
      <c r="AE33" s="204"/>
      <c r="AF33" s="205"/>
      <c r="AG33" s="205"/>
      <c r="AJ33" s="208"/>
      <c r="AK33" s="202"/>
      <c r="AL33" s="203"/>
      <c r="AM33" s="204"/>
      <c r="AN33" s="205"/>
      <c r="AO33" s="205"/>
      <c r="AR33" s="208"/>
      <c r="AS33" s="202"/>
      <c r="AT33" s="203"/>
      <c r="AU33" s="204"/>
      <c r="AV33" s="205"/>
      <c r="AW33" s="205"/>
      <c r="AZ33" s="211"/>
      <c r="BA33" s="202"/>
      <c r="BB33" s="206"/>
      <c r="BC33" s="204"/>
      <c r="BD33" s="205"/>
      <c r="BE33" s="205"/>
      <c r="BH33" s="208"/>
      <c r="BI33" s="202"/>
      <c r="BJ33" s="203"/>
      <c r="BK33" s="204"/>
      <c r="BL33" s="205"/>
      <c r="BM33" s="205"/>
      <c r="BP33" s="208"/>
      <c r="BQ33" s="202"/>
      <c r="BR33" s="203"/>
      <c r="BS33" s="204"/>
      <c r="BT33" s="205"/>
      <c r="BU33" s="205"/>
    </row>
    <row r="34" spans="3:73">
      <c r="D34" s="18"/>
      <c r="E34" s="18"/>
      <c r="F34" s="18"/>
      <c r="G34" s="18"/>
      <c r="L34" s="135" t="s">
        <v>263</v>
      </c>
      <c r="M34" s="16" t="s">
        <v>261</v>
      </c>
      <c r="N34" s="16"/>
      <c r="O34" s="16"/>
      <c r="P34" s="25"/>
      <c r="Q34" s="152" t="s">
        <v>264</v>
      </c>
      <c r="S34" s="666"/>
      <c r="T34" s="208"/>
      <c r="U34" s="202"/>
      <c r="V34" s="203"/>
      <c r="W34" s="204"/>
      <c r="X34" s="205"/>
      <c r="Y34" s="205"/>
      <c r="AB34" s="208"/>
      <c r="AC34" s="202"/>
      <c r="AD34" s="203"/>
      <c r="AE34" s="204"/>
      <c r="AF34" s="205"/>
      <c r="AG34" s="205"/>
      <c r="AJ34" s="208"/>
      <c r="AK34" s="202"/>
      <c r="AL34" s="203"/>
      <c r="AM34" s="204"/>
      <c r="AN34" s="205"/>
      <c r="AO34" s="205"/>
      <c r="AR34" s="208"/>
      <c r="AS34" s="202"/>
      <c r="AT34" s="203"/>
      <c r="AU34" s="204"/>
      <c r="AV34" s="205"/>
      <c r="AW34" s="205"/>
      <c r="AZ34" s="208"/>
      <c r="BA34" s="202"/>
      <c r="BB34" s="206"/>
      <c r="BC34" s="207"/>
      <c r="BD34" s="205"/>
      <c r="BE34" s="205"/>
      <c r="BH34" s="208"/>
      <c r="BI34" s="202"/>
      <c r="BJ34" s="203"/>
      <c r="BK34" s="204"/>
      <c r="BL34" s="205"/>
      <c r="BM34" s="205"/>
      <c r="BP34" s="208"/>
      <c r="BQ34" s="202"/>
      <c r="BR34" s="203"/>
      <c r="BS34" s="204"/>
      <c r="BT34" s="205"/>
      <c r="BU34" s="205"/>
    </row>
    <row r="35" spans="3:73">
      <c r="D35" s="18"/>
      <c r="E35" s="18"/>
      <c r="F35" s="18"/>
      <c r="G35" s="18"/>
      <c r="L35" s="135" t="s">
        <v>265</v>
      </c>
      <c r="M35" s="16" t="s">
        <v>261</v>
      </c>
      <c r="N35" s="16"/>
      <c r="O35" s="16"/>
      <c r="P35" s="25"/>
      <c r="Q35" s="152" t="s">
        <v>266</v>
      </c>
      <c r="S35" s="666"/>
      <c r="T35" s="208"/>
      <c r="U35" s="202"/>
      <c r="V35" s="203"/>
      <c r="W35" s="204"/>
      <c r="X35" s="205"/>
      <c r="Y35" s="205"/>
      <c r="AB35" s="208"/>
      <c r="AC35" s="202"/>
      <c r="AD35" s="203"/>
      <c r="AE35" s="204"/>
      <c r="AF35" s="205"/>
      <c r="AG35" s="205"/>
      <c r="AJ35" s="208"/>
      <c r="AK35" s="202"/>
      <c r="AL35" s="203"/>
      <c r="AM35" s="204"/>
      <c r="AN35" s="205"/>
      <c r="AO35" s="205"/>
      <c r="AR35" s="208"/>
      <c r="AS35" s="202"/>
      <c r="AT35" s="203"/>
      <c r="AU35" s="204"/>
      <c r="AV35" s="205"/>
      <c r="AW35" s="205"/>
      <c r="AZ35" s="211"/>
      <c r="BA35" s="202"/>
      <c r="BB35" s="206"/>
      <c r="BC35" s="204"/>
      <c r="BD35" s="205"/>
      <c r="BE35" s="205"/>
      <c r="BH35" s="208"/>
      <c r="BI35" s="202"/>
      <c r="BJ35" s="203"/>
      <c r="BK35" s="204"/>
      <c r="BL35" s="205"/>
      <c r="BM35" s="205"/>
      <c r="BP35" s="208"/>
      <c r="BQ35" s="202"/>
      <c r="BR35" s="203"/>
      <c r="BS35" s="204"/>
      <c r="BT35" s="205"/>
      <c r="BU35" s="205"/>
    </row>
    <row r="36" spans="3:73">
      <c r="D36" s="18"/>
      <c r="E36" s="18"/>
      <c r="F36" s="18"/>
      <c r="G36" s="18"/>
      <c r="L36" s="135" t="s">
        <v>267</v>
      </c>
      <c r="M36" s="16" t="s">
        <v>261</v>
      </c>
      <c r="N36" s="16"/>
      <c r="O36" s="16"/>
      <c r="P36" s="25"/>
      <c r="Q36" s="152" t="s">
        <v>268</v>
      </c>
      <c r="S36" s="665"/>
      <c r="T36" s="209"/>
      <c r="U36" s="202"/>
      <c r="V36" s="206"/>
      <c r="W36" s="207"/>
      <c r="X36" s="205"/>
      <c r="Y36" s="205"/>
      <c r="AB36" s="208"/>
      <c r="AC36" s="202"/>
      <c r="AD36" s="203"/>
      <c r="AE36" s="204"/>
      <c r="AF36" s="205"/>
      <c r="AG36" s="205"/>
      <c r="AJ36" s="208"/>
      <c r="AK36" s="202"/>
      <c r="AL36" s="203"/>
      <c r="AM36" s="204"/>
      <c r="AN36" s="205"/>
      <c r="AO36" s="205"/>
      <c r="AR36" s="208"/>
      <c r="AS36" s="202"/>
      <c r="AT36" s="203"/>
      <c r="AU36" s="204"/>
      <c r="AV36" s="205"/>
      <c r="AW36" s="205"/>
      <c r="AZ36" s="208"/>
      <c r="BA36" s="202"/>
      <c r="BB36" s="203"/>
      <c r="BC36" s="204"/>
      <c r="BD36" s="205"/>
      <c r="BE36" s="205"/>
      <c r="BH36" s="208"/>
      <c r="BI36" s="202"/>
      <c r="BJ36" s="203"/>
      <c r="BK36" s="204"/>
      <c r="BL36" s="205"/>
      <c r="BM36" s="205"/>
      <c r="BP36" s="209"/>
      <c r="BQ36" s="202"/>
      <c r="BR36" s="206"/>
      <c r="BS36" s="207"/>
      <c r="BT36" s="205"/>
      <c r="BU36" s="205"/>
    </row>
    <row r="37" spans="3:73" ht="12.75" customHeight="1">
      <c r="D37" s="18"/>
      <c r="E37" s="18"/>
      <c r="F37" s="18"/>
      <c r="G37" s="18"/>
      <c r="L37" s="135" t="s">
        <v>254</v>
      </c>
      <c r="M37" s="16" t="s">
        <v>269</v>
      </c>
      <c r="N37" s="9">
        <f>(Q24+Q25)*E2</f>
        <v>7096.3200000000015</v>
      </c>
      <c r="O37" s="16"/>
      <c r="P37" s="25">
        <f>O37/N37</f>
        <v>0</v>
      </c>
      <c r="Q37" s="152" t="s">
        <v>234</v>
      </c>
      <c r="S37" s="666"/>
      <c r="T37" s="208"/>
      <c r="U37" s="202"/>
      <c r="V37" s="203"/>
      <c r="W37" s="204"/>
      <c r="X37" s="205"/>
      <c r="Y37" s="205"/>
      <c r="AB37" s="209"/>
      <c r="AC37" s="202"/>
      <c r="AD37" s="206"/>
      <c r="AE37" s="207"/>
      <c r="AF37" s="205"/>
      <c r="AG37" s="205"/>
      <c r="AJ37" s="209"/>
      <c r="AK37" s="202"/>
      <c r="AL37" s="206"/>
      <c r="AM37" s="207"/>
      <c r="AN37" s="205"/>
      <c r="AO37" s="205"/>
      <c r="AR37" s="209"/>
      <c r="AS37" s="202"/>
      <c r="AT37" s="206"/>
      <c r="AU37" s="207"/>
      <c r="AV37" s="205"/>
      <c r="AW37" s="205"/>
      <c r="AZ37" s="208"/>
      <c r="BA37" s="202"/>
      <c r="BB37" s="203"/>
      <c r="BC37" s="204"/>
      <c r="BD37" s="205"/>
      <c r="BE37" s="205"/>
      <c r="BH37" s="209"/>
      <c r="BI37" s="202"/>
      <c r="BJ37" s="206"/>
      <c r="BK37" s="207"/>
      <c r="BL37" s="205"/>
      <c r="BM37" s="205"/>
      <c r="BP37" s="208"/>
      <c r="BQ37" s="202"/>
      <c r="BR37" s="203"/>
      <c r="BS37" s="204"/>
      <c r="BT37" s="205"/>
      <c r="BU37" s="205"/>
    </row>
    <row r="38" spans="3:73" ht="13.5" thickBot="1">
      <c r="D38" s="18"/>
      <c r="E38" s="18"/>
      <c r="F38" s="18"/>
      <c r="G38" s="18"/>
      <c r="L38" s="252" t="s">
        <v>270</v>
      </c>
      <c r="M38" s="253" t="s">
        <v>261</v>
      </c>
      <c r="N38" s="253"/>
      <c r="O38" s="253"/>
      <c r="P38" s="147"/>
      <c r="Q38" s="254" t="s">
        <v>271</v>
      </c>
      <c r="S38" s="665"/>
      <c r="T38" s="667"/>
      <c r="U38" s="202"/>
      <c r="V38" s="206"/>
      <c r="W38" s="207"/>
      <c r="X38" s="205"/>
      <c r="Y38" s="205"/>
      <c r="AB38" s="208"/>
      <c r="AC38" s="202"/>
      <c r="AD38" s="203"/>
      <c r="AE38" s="204"/>
      <c r="AF38" s="205"/>
      <c r="AG38" s="205"/>
      <c r="AJ38" s="208"/>
      <c r="AK38" s="202"/>
      <c r="AL38" s="203"/>
      <c r="AM38" s="204"/>
      <c r="AN38" s="205"/>
      <c r="AO38" s="205"/>
      <c r="AR38" s="208"/>
      <c r="AS38" s="202"/>
      <c r="AT38" s="203"/>
      <c r="AU38" s="204"/>
      <c r="AV38" s="205"/>
      <c r="AW38" s="205"/>
      <c r="AZ38" s="208"/>
      <c r="BA38" s="202"/>
      <c r="BB38" s="203"/>
      <c r="BC38" s="204"/>
      <c r="BD38" s="205"/>
      <c r="BE38" s="205"/>
      <c r="BH38" s="208"/>
      <c r="BI38" s="202"/>
      <c r="BJ38" s="203"/>
      <c r="BK38" s="204"/>
      <c r="BL38" s="205"/>
      <c r="BM38" s="205"/>
      <c r="BP38" s="208"/>
      <c r="BQ38" s="202"/>
      <c r="BR38" s="206"/>
      <c r="BS38" s="207"/>
      <c r="BT38" s="205"/>
      <c r="BU38" s="205"/>
    </row>
    <row r="39" spans="3:73" ht="12.75" customHeight="1">
      <c r="D39" s="18"/>
      <c r="E39" s="18"/>
      <c r="F39" s="18"/>
      <c r="G39" s="18"/>
      <c r="S39" s="666"/>
      <c r="T39" s="664"/>
      <c r="U39" s="202"/>
      <c r="V39" s="206"/>
      <c r="W39" s="207"/>
      <c r="X39" s="205"/>
      <c r="Y39" s="205"/>
      <c r="AB39" s="208"/>
      <c r="AC39" s="202"/>
      <c r="AD39" s="206"/>
      <c r="AE39" s="207"/>
      <c r="AF39" s="205"/>
      <c r="AG39" s="205"/>
      <c r="AJ39" s="208"/>
      <c r="AK39" s="202"/>
      <c r="AL39" s="206"/>
      <c r="AM39" s="207"/>
      <c r="AN39" s="205"/>
      <c r="AO39" s="205"/>
      <c r="AR39" s="208"/>
      <c r="AS39" s="202"/>
      <c r="AT39" s="206"/>
      <c r="AU39" s="207"/>
      <c r="AV39" s="205"/>
      <c r="AW39" s="205"/>
      <c r="AZ39" s="208"/>
      <c r="BA39" s="202"/>
      <c r="BB39" s="203"/>
      <c r="BC39" s="204"/>
      <c r="BD39" s="205"/>
      <c r="BE39" s="205"/>
      <c r="BH39" s="208"/>
      <c r="BI39" s="202"/>
      <c r="BJ39" s="206"/>
      <c r="BK39" s="207"/>
      <c r="BL39" s="205"/>
      <c r="BM39" s="205"/>
      <c r="BP39" s="211"/>
      <c r="BQ39" s="202"/>
      <c r="BR39" s="206"/>
      <c r="BS39" s="207"/>
      <c r="BT39" s="205"/>
      <c r="BU39" s="205"/>
    </row>
    <row r="40" spans="3:73">
      <c r="D40" s="18"/>
      <c r="E40" s="18"/>
      <c r="F40" s="18"/>
      <c r="G40" s="18"/>
      <c r="S40" s="666"/>
      <c r="T40" s="664"/>
      <c r="U40" s="202"/>
      <c r="V40" s="206"/>
      <c r="W40" s="207"/>
      <c r="X40" s="205"/>
      <c r="Y40" s="205"/>
      <c r="AB40" s="211"/>
      <c r="AC40" s="202"/>
      <c r="AD40" s="206"/>
      <c r="AE40" s="207"/>
      <c r="AF40" s="205"/>
      <c r="AG40" s="205"/>
      <c r="AJ40" s="211"/>
      <c r="AK40" s="202"/>
      <c r="AL40" s="206"/>
      <c r="AM40" s="207"/>
      <c r="AN40" s="205"/>
      <c r="AO40" s="205"/>
      <c r="AR40" s="211"/>
      <c r="AS40" s="202"/>
      <c r="AT40" s="206"/>
      <c r="AU40" s="207"/>
      <c r="AV40" s="205"/>
      <c r="AW40" s="205"/>
      <c r="AZ40" s="208"/>
      <c r="BA40" s="202"/>
      <c r="BB40" s="203"/>
      <c r="BC40" s="204"/>
      <c r="BD40" s="205"/>
      <c r="BE40" s="205"/>
      <c r="BH40" s="211"/>
      <c r="BI40" s="202"/>
      <c r="BJ40" s="206"/>
      <c r="BK40" s="207"/>
      <c r="BL40" s="205"/>
      <c r="BM40" s="205"/>
      <c r="BP40" s="211"/>
      <c r="BQ40" s="202"/>
      <c r="BR40" s="206"/>
      <c r="BS40" s="207"/>
      <c r="BT40" s="205"/>
      <c r="BU40" s="205"/>
    </row>
    <row r="41" spans="3:73">
      <c r="D41" s="18"/>
      <c r="E41" s="18"/>
      <c r="F41" s="18"/>
      <c r="G41" s="18"/>
      <c r="L41" s="74"/>
      <c r="S41" s="666"/>
      <c r="T41" s="664"/>
      <c r="U41" s="202"/>
      <c r="V41" s="206"/>
      <c r="W41" s="207"/>
      <c r="X41" s="205"/>
      <c r="Y41" s="205"/>
      <c r="AB41" s="211"/>
      <c r="AC41" s="202"/>
      <c r="AD41" s="206"/>
      <c r="AE41" s="207"/>
      <c r="AF41" s="205"/>
      <c r="AG41" s="205"/>
      <c r="AJ41" s="211"/>
      <c r="AK41" s="202"/>
      <c r="AL41" s="206"/>
      <c r="AM41" s="207"/>
      <c r="AN41" s="205"/>
      <c r="AO41" s="205"/>
      <c r="AR41" s="211"/>
      <c r="AS41" s="202"/>
      <c r="AT41" s="206"/>
      <c r="AU41" s="207"/>
      <c r="AV41" s="205"/>
      <c r="AW41" s="205"/>
      <c r="AZ41" s="209"/>
      <c r="BA41" s="202"/>
      <c r="BB41" s="206"/>
      <c r="BC41" s="207"/>
      <c r="BD41" s="205"/>
      <c r="BE41" s="205"/>
      <c r="BH41" s="211"/>
      <c r="BI41" s="202"/>
      <c r="BJ41" s="206"/>
      <c r="BK41" s="207"/>
      <c r="BL41" s="205"/>
      <c r="BM41" s="205"/>
      <c r="BP41" s="211"/>
      <c r="BQ41" s="202"/>
      <c r="BR41" s="206"/>
      <c r="BS41" s="207"/>
      <c r="BT41" s="205"/>
      <c r="BU41" s="205"/>
    </row>
    <row r="42" spans="3:73">
      <c r="D42" s="18"/>
      <c r="E42" s="18"/>
      <c r="F42" s="18"/>
      <c r="G42" s="18"/>
      <c r="L42" s="74"/>
      <c r="S42" s="666"/>
      <c r="T42" s="667"/>
      <c r="U42" s="202"/>
      <c r="V42" s="206"/>
      <c r="W42" s="204"/>
      <c r="X42" s="205"/>
      <c r="Y42" s="205"/>
      <c r="AB42" s="211"/>
      <c r="AC42" s="202"/>
      <c r="AD42" s="206"/>
      <c r="AE42" s="207"/>
      <c r="AF42" s="205"/>
      <c r="AG42" s="205"/>
      <c r="AJ42" s="211"/>
      <c r="AK42" s="202"/>
      <c r="AL42" s="206"/>
      <c r="AM42" s="207"/>
      <c r="AN42" s="205"/>
      <c r="AO42" s="205"/>
      <c r="AR42" s="211"/>
      <c r="AS42" s="202"/>
      <c r="AT42" s="206"/>
      <c r="AU42" s="207"/>
      <c r="AV42" s="205"/>
      <c r="AW42" s="205"/>
      <c r="AZ42" s="208"/>
      <c r="BA42" s="202"/>
      <c r="BB42" s="203"/>
      <c r="BC42" s="204"/>
      <c r="BD42" s="205"/>
      <c r="BE42" s="205"/>
      <c r="BH42" s="211"/>
      <c r="BI42" s="202"/>
      <c r="BJ42" s="206"/>
      <c r="BK42" s="207"/>
      <c r="BL42" s="205"/>
      <c r="BM42" s="205"/>
      <c r="BP42" s="208"/>
      <c r="BQ42" s="202"/>
      <c r="BR42" s="206"/>
      <c r="BS42" s="204"/>
      <c r="BT42" s="205"/>
      <c r="BU42" s="205"/>
    </row>
    <row r="43" spans="3:73">
      <c r="D43" s="18"/>
      <c r="E43" s="18"/>
      <c r="F43" s="18"/>
      <c r="G43" s="18"/>
      <c r="L43" s="74"/>
      <c r="S43" s="666"/>
      <c r="T43" s="664"/>
      <c r="U43" s="202"/>
      <c r="V43" s="206"/>
      <c r="W43" s="204"/>
      <c r="X43" s="205"/>
      <c r="Y43" s="205"/>
      <c r="AB43" s="208"/>
      <c r="AC43" s="202"/>
      <c r="AD43" s="206"/>
      <c r="AE43" s="204"/>
      <c r="AF43" s="205"/>
      <c r="AG43" s="205"/>
      <c r="AJ43" s="208"/>
      <c r="AK43" s="202"/>
      <c r="AL43" s="206"/>
      <c r="AM43" s="204"/>
      <c r="AN43" s="205"/>
      <c r="AO43" s="205"/>
      <c r="AR43" s="208"/>
      <c r="AS43" s="202"/>
      <c r="AT43" s="206"/>
      <c r="AU43" s="204"/>
      <c r="AV43" s="205"/>
      <c r="AW43" s="205"/>
      <c r="AZ43" s="208"/>
      <c r="BA43" s="202"/>
      <c r="BB43" s="206"/>
      <c r="BC43" s="207"/>
      <c r="BD43" s="205"/>
      <c r="BE43" s="205"/>
      <c r="BH43" s="208"/>
      <c r="BI43" s="202"/>
      <c r="BJ43" s="206"/>
      <c r="BK43" s="204"/>
      <c r="BL43" s="205"/>
      <c r="BM43" s="205"/>
      <c r="BP43" s="211"/>
      <c r="BQ43" s="202"/>
      <c r="BR43" s="206"/>
      <c r="BS43" s="204"/>
      <c r="BT43" s="205"/>
      <c r="BU43" s="205"/>
    </row>
    <row r="44" spans="3:73">
      <c r="D44" s="18"/>
      <c r="E44" s="18"/>
      <c r="F44" s="18"/>
      <c r="G44" s="18"/>
      <c r="L44" s="74"/>
      <c r="S44" s="666"/>
      <c r="T44" s="667"/>
      <c r="U44" s="202"/>
      <c r="V44" s="206"/>
      <c r="W44" s="204"/>
      <c r="X44" s="205"/>
      <c r="Y44" s="205"/>
      <c r="AB44" s="211"/>
      <c r="AC44" s="202"/>
      <c r="AD44" s="206"/>
      <c r="AE44" s="204"/>
      <c r="AF44" s="205"/>
      <c r="AG44" s="205"/>
      <c r="AJ44" s="211"/>
      <c r="AK44" s="202"/>
      <c r="AL44" s="206"/>
      <c r="AM44" s="204"/>
      <c r="AN44" s="205"/>
      <c r="AO44" s="205"/>
      <c r="AR44" s="211"/>
      <c r="AS44" s="202"/>
      <c r="AT44" s="206"/>
      <c r="AU44" s="204"/>
      <c r="AV44" s="205"/>
      <c r="AW44" s="205"/>
      <c r="AZ44" s="211"/>
      <c r="BA44" s="202"/>
      <c r="BB44" s="206"/>
      <c r="BC44" s="207"/>
      <c r="BD44" s="205"/>
      <c r="BE44" s="205"/>
      <c r="BH44" s="211"/>
      <c r="BI44" s="202"/>
      <c r="BJ44" s="206"/>
      <c r="BK44" s="204"/>
      <c r="BL44" s="205"/>
      <c r="BM44" s="205"/>
      <c r="BP44" s="208"/>
      <c r="BQ44" s="202"/>
      <c r="BR44" s="206"/>
      <c r="BS44" s="204"/>
      <c r="BT44" s="205"/>
      <c r="BU44" s="205"/>
    </row>
    <row r="45" spans="3:73">
      <c r="D45" s="18"/>
      <c r="E45" s="18"/>
      <c r="F45" s="18"/>
      <c r="G45" s="18"/>
      <c r="L45" s="74"/>
      <c r="S45" s="666"/>
      <c r="T45" s="664"/>
      <c r="U45" s="202"/>
      <c r="V45" s="206"/>
      <c r="W45" s="204"/>
      <c r="X45" s="205"/>
      <c r="Y45" s="205"/>
      <c r="AB45" s="208"/>
      <c r="AC45" s="202"/>
      <c r="AD45" s="206"/>
      <c r="AE45" s="204"/>
      <c r="AF45" s="205"/>
      <c r="AG45" s="205"/>
      <c r="AJ45" s="208"/>
      <c r="AK45" s="202"/>
      <c r="AL45" s="206"/>
      <c r="AM45" s="204"/>
      <c r="AN45" s="205"/>
      <c r="AO45" s="205"/>
      <c r="AR45" s="208"/>
      <c r="AS45" s="202"/>
      <c r="AT45" s="206"/>
      <c r="AU45" s="204"/>
      <c r="AV45" s="205"/>
      <c r="AW45" s="205"/>
      <c r="AZ45" s="211"/>
      <c r="BA45" s="202"/>
      <c r="BB45" s="206"/>
      <c r="BC45" s="207"/>
      <c r="BD45" s="205"/>
      <c r="BE45" s="205"/>
      <c r="BH45" s="208"/>
      <c r="BI45" s="202"/>
      <c r="BJ45" s="206"/>
      <c r="BK45" s="204"/>
      <c r="BL45" s="205"/>
      <c r="BM45" s="205"/>
      <c r="BP45" s="211"/>
      <c r="BQ45" s="202"/>
      <c r="BR45" s="206"/>
      <c r="BS45" s="204"/>
      <c r="BT45" s="205"/>
      <c r="BU45" s="205"/>
    </row>
    <row r="46" spans="3:73">
      <c r="D46" s="18"/>
      <c r="E46" s="18"/>
      <c r="F46" s="18"/>
      <c r="G46" s="18"/>
      <c r="L46" s="74"/>
      <c r="S46" s="665"/>
      <c r="T46" s="667"/>
      <c r="U46" s="202"/>
      <c r="V46" s="206"/>
      <c r="W46" s="207"/>
      <c r="X46" s="205"/>
      <c r="Y46" s="205"/>
      <c r="AB46" s="211"/>
      <c r="AC46" s="202"/>
      <c r="AD46" s="206"/>
      <c r="AE46" s="204"/>
      <c r="AF46" s="205"/>
      <c r="AG46" s="205"/>
      <c r="AJ46" s="211"/>
      <c r="AK46" s="202"/>
      <c r="AL46" s="206"/>
      <c r="AM46" s="204"/>
      <c r="AN46" s="205"/>
      <c r="AO46" s="205"/>
      <c r="AR46" s="211"/>
      <c r="AS46" s="202"/>
      <c r="AT46" s="206"/>
      <c r="AU46" s="204"/>
      <c r="AV46" s="205"/>
      <c r="AW46" s="205"/>
      <c r="AZ46" s="211"/>
      <c r="BA46" s="202"/>
      <c r="BB46" s="206"/>
      <c r="BC46" s="207"/>
      <c r="BD46" s="205"/>
      <c r="BE46" s="205"/>
      <c r="BH46" s="211"/>
      <c r="BI46" s="202"/>
      <c r="BJ46" s="206"/>
      <c r="BK46" s="204"/>
      <c r="BL46" s="205"/>
      <c r="BM46" s="205"/>
    </row>
    <row r="47" spans="3:73" ht="12.75" customHeight="1">
      <c r="D47" s="18"/>
      <c r="E47" s="18"/>
      <c r="F47" s="18"/>
      <c r="G47" s="18"/>
      <c r="L47" s="74"/>
      <c r="S47" s="666"/>
      <c r="T47" s="664"/>
      <c r="U47" s="202"/>
      <c r="V47" s="206"/>
      <c r="W47" s="207"/>
      <c r="X47" s="205"/>
      <c r="Y47" s="205"/>
      <c r="AB47" s="208"/>
      <c r="AC47" s="202"/>
      <c r="AD47" s="206"/>
      <c r="AE47" s="207"/>
      <c r="AF47" s="205"/>
      <c r="AG47" s="205"/>
      <c r="AJ47" s="208"/>
      <c r="AK47" s="202"/>
      <c r="AL47" s="206"/>
      <c r="AM47" s="207"/>
      <c r="AN47" s="205"/>
      <c r="AO47" s="205"/>
      <c r="AR47" s="208"/>
      <c r="AS47" s="202"/>
      <c r="AT47" s="206"/>
      <c r="AU47" s="207"/>
      <c r="AV47" s="205"/>
      <c r="AW47" s="205"/>
      <c r="AZ47" s="208"/>
      <c r="BA47" s="202"/>
      <c r="BB47" s="206"/>
      <c r="BC47" s="204"/>
      <c r="BD47" s="205"/>
      <c r="BE47" s="205"/>
      <c r="BH47" s="208"/>
      <c r="BI47" s="202"/>
      <c r="BJ47" s="206"/>
      <c r="BK47" s="207"/>
      <c r="BL47" s="205"/>
      <c r="BM47" s="205"/>
    </row>
    <row r="48" spans="3:73">
      <c r="D48" s="18"/>
      <c r="E48" s="18"/>
      <c r="F48" s="18"/>
      <c r="G48" s="18"/>
      <c r="L48" s="74"/>
      <c r="S48" s="666"/>
      <c r="T48" s="664"/>
      <c r="U48" s="202"/>
      <c r="V48" s="206"/>
      <c r="W48" s="207"/>
      <c r="X48" s="205"/>
      <c r="Y48" s="205"/>
      <c r="AB48" s="211"/>
      <c r="AC48" s="202"/>
      <c r="AD48" s="206"/>
      <c r="AE48" s="207"/>
      <c r="AF48" s="205"/>
      <c r="AG48" s="205"/>
      <c r="AJ48" s="211"/>
      <c r="AK48" s="202"/>
      <c r="AL48" s="206"/>
      <c r="AM48" s="207"/>
      <c r="AN48" s="205"/>
      <c r="AO48" s="205"/>
      <c r="AR48" s="211"/>
      <c r="AS48" s="202"/>
      <c r="AT48" s="206"/>
      <c r="AU48" s="207"/>
      <c r="AV48" s="205"/>
      <c r="AW48" s="205"/>
      <c r="AZ48" s="211"/>
      <c r="BA48" s="202"/>
      <c r="BB48" s="206"/>
      <c r="BC48" s="204"/>
      <c r="BD48" s="205"/>
      <c r="BE48" s="205"/>
      <c r="BH48" s="211"/>
      <c r="BI48" s="202"/>
      <c r="BJ48" s="206"/>
      <c r="BK48" s="207"/>
      <c r="BL48" s="205"/>
      <c r="BM48" s="205"/>
    </row>
    <row r="49" spans="4:73">
      <c r="D49" s="18"/>
      <c r="E49" s="18"/>
      <c r="F49" s="18"/>
      <c r="G49" s="18"/>
      <c r="L49" s="74"/>
      <c r="S49" s="666"/>
      <c r="T49" s="664"/>
      <c r="U49" s="202"/>
      <c r="V49" s="206"/>
      <c r="W49" s="207"/>
      <c r="X49" s="205"/>
      <c r="Y49" s="205"/>
      <c r="AB49" s="211"/>
      <c r="AC49" s="202"/>
      <c r="AD49" s="206"/>
      <c r="AE49" s="207"/>
      <c r="AF49" s="205"/>
      <c r="AG49" s="205"/>
      <c r="AJ49" s="211"/>
      <c r="AK49" s="202"/>
      <c r="AL49" s="206"/>
      <c r="AM49" s="207"/>
      <c r="AN49" s="205"/>
      <c r="AO49" s="205"/>
      <c r="AR49" s="211"/>
      <c r="AS49" s="202"/>
      <c r="AT49" s="206"/>
      <c r="AU49" s="207"/>
      <c r="AV49" s="205"/>
      <c r="AW49" s="205"/>
      <c r="AZ49" s="208"/>
      <c r="BA49" s="202"/>
      <c r="BB49" s="206"/>
      <c r="BC49" s="204"/>
      <c r="BD49" s="205"/>
      <c r="BE49" s="205"/>
      <c r="BH49" s="211"/>
      <c r="BI49" s="202"/>
      <c r="BJ49" s="206"/>
      <c r="BK49" s="207"/>
      <c r="BL49" s="205"/>
      <c r="BM49" s="205"/>
    </row>
    <row r="50" spans="4:73">
      <c r="D50" s="18"/>
      <c r="E50" s="18"/>
      <c r="F50" s="18"/>
      <c r="G50" s="18"/>
      <c r="S50" s="666"/>
      <c r="T50" s="667"/>
      <c r="U50" s="202"/>
      <c r="V50" s="206"/>
      <c r="W50" s="207"/>
      <c r="X50" s="205"/>
      <c r="Y50" s="205"/>
      <c r="AB50" s="211"/>
      <c r="AC50" s="202"/>
      <c r="AD50" s="206"/>
      <c r="AE50" s="207"/>
      <c r="AF50" s="205"/>
      <c r="AG50" s="205"/>
      <c r="AJ50" s="211"/>
      <c r="AK50" s="202"/>
      <c r="AL50" s="206"/>
      <c r="AM50" s="207"/>
      <c r="AN50" s="205"/>
      <c r="AO50" s="205"/>
      <c r="AR50" s="211"/>
      <c r="AS50" s="202"/>
      <c r="AT50" s="206"/>
      <c r="AU50" s="207"/>
      <c r="AV50" s="205"/>
      <c r="AW50" s="205"/>
      <c r="AZ50" s="211"/>
      <c r="BA50" s="202"/>
      <c r="BB50" s="206"/>
      <c r="BC50" s="204"/>
      <c r="BD50" s="205"/>
      <c r="BE50" s="205"/>
      <c r="BH50" s="211"/>
      <c r="BI50" s="202"/>
      <c r="BJ50" s="206"/>
      <c r="BK50" s="207"/>
      <c r="BL50" s="205"/>
      <c r="BM50" s="205"/>
    </row>
    <row r="51" spans="4:73">
      <c r="D51" s="18"/>
      <c r="E51" s="18"/>
      <c r="F51" s="18"/>
      <c r="G51" s="18"/>
      <c r="S51" s="666"/>
      <c r="T51" s="664"/>
      <c r="U51" s="202"/>
      <c r="V51" s="206"/>
      <c r="W51" s="207"/>
      <c r="X51" s="205"/>
      <c r="Y51" s="205"/>
      <c r="AB51" s="208"/>
      <c r="AC51" s="202"/>
      <c r="AD51" s="206"/>
      <c r="AE51" s="207"/>
      <c r="AF51" s="205"/>
      <c r="AG51" s="205"/>
      <c r="AJ51" s="208"/>
      <c r="AK51" s="202"/>
      <c r="AL51" s="206"/>
      <c r="AM51" s="207"/>
      <c r="AN51" s="205"/>
      <c r="AO51" s="205"/>
      <c r="AR51" s="208"/>
      <c r="AS51" s="202"/>
      <c r="AT51" s="206"/>
      <c r="AU51" s="207"/>
      <c r="AV51" s="205"/>
      <c r="AW51" s="205"/>
      <c r="AZ51" s="208"/>
      <c r="BA51" s="202"/>
      <c r="BB51" s="206"/>
      <c r="BC51" s="207"/>
      <c r="BD51" s="205"/>
      <c r="BE51" s="205"/>
      <c r="BH51" s="208"/>
      <c r="BI51" s="202"/>
      <c r="BJ51" s="206"/>
      <c r="BK51" s="207"/>
      <c r="BL51" s="205"/>
      <c r="BM51" s="205"/>
    </row>
    <row r="52" spans="4:73">
      <c r="D52" s="18"/>
      <c r="E52" s="18"/>
      <c r="F52" s="18"/>
      <c r="G52" s="18"/>
      <c r="S52" s="665"/>
      <c r="T52" s="667"/>
      <c r="U52" s="202"/>
      <c r="V52" s="206"/>
      <c r="W52" s="207"/>
      <c r="X52" s="205"/>
      <c r="Y52" s="205"/>
      <c r="AB52" s="211"/>
      <c r="AC52" s="202"/>
      <c r="AD52" s="206"/>
      <c r="AE52" s="207"/>
      <c r="AF52" s="205"/>
      <c r="AG52" s="205"/>
      <c r="AJ52" s="211"/>
      <c r="AK52" s="202"/>
      <c r="AL52" s="206"/>
      <c r="AM52" s="207"/>
      <c r="AN52" s="205"/>
      <c r="AO52" s="205"/>
      <c r="AR52" s="211"/>
      <c r="AS52" s="202"/>
      <c r="AT52" s="206"/>
      <c r="AU52" s="207"/>
      <c r="AV52" s="205"/>
      <c r="AW52" s="205"/>
      <c r="AZ52" s="211"/>
      <c r="BA52" s="202"/>
      <c r="BB52" s="206"/>
      <c r="BC52" s="207"/>
      <c r="BD52" s="205"/>
      <c r="BE52" s="205"/>
      <c r="BH52" s="211"/>
      <c r="BI52" s="202"/>
      <c r="BJ52" s="206"/>
      <c r="BK52" s="207"/>
      <c r="BL52" s="205"/>
      <c r="BM52" s="205"/>
    </row>
    <row r="53" spans="4:73" ht="12.75" customHeight="1">
      <c r="D53" s="18"/>
      <c r="E53" s="18"/>
      <c r="F53" s="18"/>
      <c r="G53" s="18"/>
      <c r="S53" s="666"/>
      <c r="T53" s="664"/>
      <c r="U53" s="202"/>
      <c r="V53" s="206"/>
      <c r="W53" s="207"/>
      <c r="X53" s="205"/>
      <c r="Y53" s="205"/>
      <c r="AB53" s="208"/>
      <c r="AC53" s="202"/>
      <c r="AD53" s="206"/>
      <c r="AE53" s="207"/>
      <c r="AF53" s="205"/>
      <c r="AG53" s="205"/>
      <c r="AJ53" s="208"/>
      <c r="AK53" s="202"/>
      <c r="AL53" s="206"/>
      <c r="AM53" s="207"/>
      <c r="AN53" s="205"/>
      <c r="AO53" s="205"/>
      <c r="AR53" s="208"/>
      <c r="AS53" s="202"/>
      <c r="AT53" s="206"/>
      <c r="AU53" s="207"/>
      <c r="AV53" s="205"/>
      <c r="AW53" s="205"/>
      <c r="AZ53" s="211"/>
      <c r="BA53" s="202"/>
      <c r="BB53" s="206"/>
      <c r="BC53" s="207"/>
      <c r="BD53" s="205"/>
      <c r="BE53" s="205"/>
      <c r="BH53" s="208"/>
      <c r="BI53" s="202"/>
      <c r="BJ53" s="206"/>
      <c r="BK53" s="207"/>
      <c r="BL53" s="205"/>
      <c r="BM53" s="205"/>
    </row>
    <row r="54" spans="4:73">
      <c r="D54" s="18"/>
      <c r="E54" s="18"/>
      <c r="F54" s="18"/>
      <c r="G54" s="18"/>
      <c r="S54" s="666"/>
      <c r="T54" s="664"/>
      <c r="U54" s="202"/>
      <c r="V54" s="206"/>
      <c r="W54" s="207"/>
      <c r="X54" s="205"/>
      <c r="Y54" s="205"/>
      <c r="AB54" s="211"/>
      <c r="AC54" s="202"/>
      <c r="AD54" s="206"/>
      <c r="AE54" s="207"/>
      <c r="AF54" s="205"/>
      <c r="AG54" s="205"/>
      <c r="AJ54" s="211"/>
      <c r="AK54" s="202"/>
      <c r="AL54" s="206"/>
      <c r="AM54" s="207"/>
      <c r="AN54" s="205"/>
      <c r="AO54" s="205"/>
      <c r="AR54" s="211"/>
      <c r="AS54" s="202"/>
      <c r="AT54" s="206"/>
      <c r="AU54" s="207"/>
      <c r="AV54" s="205"/>
      <c r="AW54" s="205"/>
      <c r="AZ54" s="211"/>
      <c r="BA54" s="202"/>
      <c r="BB54" s="206"/>
      <c r="BC54" s="207"/>
      <c r="BD54" s="205"/>
      <c r="BE54" s="205"/>
      <c r="BH54" s="211"/>
      <c r="BI54" s="202"/>
      <c r="BJ54" s="206"/>
      <c r="BK54" s="207"/>
      <c r="BL54" s="205"/>
      <c r="BM54" s="205"/>
    </row>
    <row r="55" spans="4:73">
      <c r="D55" s="18"/>
      <c r="E55" s="18"/>
      <c r="F55" s="18"/>
      <c r="G55" s="18"/>
      <c r="S55" s="666"/>
      <c r="T55" s="664"/>
      <c r="U55" s="202"/>
      <c r="V55" s="206"/>
      <c r="W55" s="207"/>
      <c r="X55" s="205"/>
      <c r="Y55" s="205"/>
      <c r="AB55" s="211"/>
      <c r="AC55" s="202"/>
      <c r="AD55" s="206"/>
      <c r="AE55" s="207"/>
      <c r="AF55" s="205"/>
      <c r="AG55" s="205"/>
      <c r="AJ55" s="211"/>
      <c r="AK55" s="202"/>
      <c r="AL55" s="206"/>
      <c r="AM55" s="207"/>
      <c r="AN55" s="205"/>
      <c r="AO55" s="205"/>
      <c r="AR55" s="211"/>
      <c r="AS55" s="202"/>
      <c r="AT55" s="206"/>
      <c r="AU55" s="207"/>
      <c r="AV55" s="205"/>
      <c r="AW55" s="205"/>
      <c r="AZ55" s="208"/>
      <c r="BA55" s="202"/>
      <c r="BB55" s="206"/>
      <c r="BC55" s="207"/>
      <c r="BD55" s="205"/>
      <c r="BE55" s="205"/>
      <c r="BH55" s="211"/>
      <c r="BI55" s="202"/>
      <c r="BJ55" s="206"/>
      <c r="BK55" s="207"/>
      <c r="BL55" s="205"/>
      <c r="BM55" s="205"/>
    </row>
    <row r="56" spans="4:73">
      <c r="S56" s="666"/>
      <c r="T56" s="667"/>
      <c r="U56" s="202"/>
      <c r="V56" s="206"/>
      <c r="W56" s="207"/>
      <c r="X56" s="205"/>
      <c r="Y56" s="205"/>
      <c r="AB56" s="211"/>
      <c r="AC56" s="202"/>
      <c r="AD56" s="206"/>
      <c r="AE56" s="207"/>
      <c r="AF56" s="205"/>
      <c r="AG56" s="205"/>
      <c r="AJ56" s="211"/>
      <c r="AK56" s="202"/>
      <c r="AL56" s="206"/>
      <c r="AM56" s="207"/>
      <c r="AN56" s="205"/>
      <c r="AO56" s="205"/>
      <c r="AR56" s="211"/>
      <c r="AS56" s="202"/>
      <c r="AT56" s="206"/>
      <c r="AU56" s="207"/>
      <c r="AV56" s="205"/>
      <c r="AW56" s="205"/>
      <c r="AZ56" s="211"/>
      <c r="BA56" s="202"/>
      <c r="BB56" s="206"/>
      <c r="BC56" s="207"/>
      <c r="BD56" s="205"/>
      <c r="BE56" s="205"/>
      <c r="BH56" s="211"/>
      <c r="BI56" s="202"/>
      <c r="BJ56" s="206"/>
      <c r="BK56" s="207"/>
      <c r="BL56" s="205"/>
      <c r="BM56" s="205"/>
    </row>
    <row r="57" spans="4:73">
      <c r="S57" s="666"/>
      <c r="T57" s="664"/>
      <c r="U57" s="202"/>
      <c r="V57" s="206"/>
      <c r="W57" s="207"/>
      <c r="X57" s="205"/>
      <c r="Y57" s="205"/>
      <c r="AB57" s="208"/>
      <c r="AC57" s="202"/>
      <c r="AD57" s="206"/>
      <c r="AE57" s="207"/>
      <c r="AF57" s="205"/>
      <c r="AG57" s="205"/>
      <c r="AJ57" s="208"/>
      <c r="AK57" s="202"/>
      <c r="AL57" s="206"/>
      <c r="AM57" s="207"/>
      <c r="AN57" s="205"/>
      <c r="AO57" s="205"/>
      <c r="AR57" s="208"/>
      <c r="AS57" s="202"/>
      <c r="AT57" s="206"/>
      <c r="AU57" s="207"/>
      <c r="AV57" s="205"/>
      <c r="AW57" s="205"/>
      <c r="AZ57" s="208"/>
      <c r="BA57" s="202"/>
      <c r="BB57" s="206"/>
      <c r="BC57" s="207"/>
      <c r="BD57" s="205"/>
      <c r="BE57" s="205"/>
      <c r="BH57" s="208"/>
      <c r="BI57" s="202"/>
      <c r="BJ57" s="206"/>
      <c r="BK57" s="207"/>
      <c r="BL57" s="205"/>
      <c r="BM57" s="205"/>
    </row>
    <row r="58" spans="4:73">
      <c r="S58" s="665"/>
      <c r="T58" s="662"/>
      <c r="U58" s="202"/>
      <c r="V58" s="206"/>
      <c r="W58" s="207"/>
      <c r="X58" s="205"/>
      <c r="Y58" s="205"/>
      <c r="AB58" s="211"/>
      <c r="AC58" s="202"/>
      <c r="AD58" s="206"/>
      <c r="AE58" s="207"/>
      <c r="AF58" s="205"/>
      <c r="AG58" s="205"/>
      <c r="AJ58" s="211"/>
      <c r="AK58" s="202"/>
      <c r="AL58" s="206"/>
      <c r="AM58" s="207"/>
      <c r="AN58" s="205"/>
      <c r="AO58" s="205"/>
      <c r="AR58" s="211"/>
      <c r="AS58" s="202"/>
      <c r="AT58" s="206"/>
      <c r="AU58" s="207"/>
      <c r="AV58" s="205"/>
      <c r="AW58" s="205"/>
      <c r="AZ58" s="211"/>
      <c r="BA58" s="202"/>
      <c r="BB58" s="206"/>
      <c r="BC58" s="207"/>
      <c r="BD58" s="205"/>
      <c r="BE58" s="205"/>
      <c r="BH58" s="211"/>
      <c r="BI58" s="202"/>
      <c r="BJ58" s="206"/>
      <c r="BK58" s="207"/>
      <c r="BL58" s="205"/>
      <c r="BM58" s="205"/>
      <c r="BP58" s="209"/>
      <c r="BQ58" s="202"/>
      <c r="BR58" s="206"/>
      <c r="BS58" s="207"/>
      <c r="BT58" s="205"/>
      <c r="BU58" s="205"/>
    </row>
    <row r="59" spans="4:73" ht="12.75" customHeight="1">
      <c r="S59" s="727"/>
      <c r="T59" s="663"/>
      <c r="U59" s="202"/>
      <c r="V59" s="206"/>
      <c r="W59" s="207"/>
      <c r="X59" s="205"/>
      <c r="Y59" s="205"/>
      <c r="AB59" s="209"/>
      <c r="AC59" s="202"/>
      <c r="AD59" s="206"/>
      <c r="AE59" s="207"/>
      <c r="AF59" s="205"/>
      <c r="AG59" s="205"/>
      <c r="AJ59" s="209"/>
      <c r="AK59" s="202"/>
      <c r="AL59" s="206"/>
      <c r="AM59" s="207"/>
      <c r="AN59" s="205"/>
      <c r="AO59" s="205"/>
      <c r="AZ59" s="211"/>
      <c r="BA59" s="202"/>
      <c r="BB59" s="206"/>
      <c r="BC59" s="207"/>
      <c r="BD59" s="205"/>
      <c r="BE59" s="205"/>
      <c r="BH59" s="209"/>
      <c r="BI59" s="202"/>
      <c r="BJ59" s="206"/>
      <c r="BK59" s="207"/>
      <c r="BL59" s="205"/>
      <c r="BM59" s="205"/>
      <c r="BO59"/>
      <c r="BP59" s="210"/>
      <c r="BQ59" s="202"/>
      <c r="BR59" s="206"/>
      <c r="BS59" s="207"/>
      <c r="BT59" s="205"/>
      <c r="BU59" s="205"/>
    </row>
    <row r="60" spans="4:73">
      <c r="S60" s="665"/>
      <c r="T60" s="662"/>
      <c r="U60" s="202"/>
      <c r="V60" s="206"/>
      <c r="W60" s="207"/>
      <c r="X60" s="205"/>
      <c r="Y60" s="205"/>
      <c r="AA60"/>
      <c r="AB60" s="210"/>
      <c r="AC60" s="202"/>
      <c r="AD60" s="206"/>
      <c r="AE60" s="207"/>
      <c r="AF60" s="205"/>
      <c r="AG60" s="205"/>
      <c r="AI60"/>
      <c r="AJ60" s="210"/>
      <c r="AK60" s="202"/>
      <c r="AL60" s="206"/>
      <c r="AM60" s="207"/>
      <c r="AN60" s="205"/>
      <c r="AO60" s="205"/>
      <c r="AZ60" s="211"/>
      <c r="BA60" s="202"/>
      <c r="BB60" s="206"/>
      <c r="BC60" s="207"/>
      <c r="BD60" s="205"/>
      <c r="BE60" s="205"/>
      <c r="BG60"/>
      <c r="BH60" s="210"/>
      <c r="BI60" s="202"/>
      <c r="BJ60" s="206"/>
      <c r="BK60" s="207"/>
      <c r="BL60" s="205"/>
      <c r="BM60" s="205"/>
      <c r="BP60" s="209"/>
      <c r="BQ60" s="202"/>
      <c r="BR60" s="206"/>
      <c r="BS60" s="207"/>
      <c r="BT60" s="205"/>
      <c r="BU60" s="205"/>
    </row>
    <row r="61" spans="4:73" ht="12.75" customHeight="1">
      <c r="S61" s="666"/>
      <c r="T61" s="663"/>
      <c r="U61" s="202"/>
      <c r="V61" s="206"/>
      <c r="W61" s="207"/>
      <c r="X61" s="205"/>
      <c r="Y61" s="205"/>
      <c r="AB61" s="209"/>
      <c r="AC61" s="202"/>
      <c r="AD61" s="206"/>
      <c r="AE61" s="207"/>
      <c r="AF61" s="205"/>
      <c r="AG61" s="205"/>
      <c r="AJ61" s="209"/>
      <c r="AK61" s="202"/>
      <c r="AL61" s="206"/>
      <c r="AM61" s="207"/>
      <c r="AN61" s="205"/>
      <c r="AO61" s="205"/>
      <c r="AZ61" s="208"/>
      <c r="BA61" s="202"/>
      <c r="BB61" s="206"/>
      <c r="BC61" s="207"/>
      <c r="BD61" s="205"/>
      <c r="BE61" s="205"/>
      <c r="BH61" s="209"/>
      <c r="BI61" s="202"/>
      <c r="BJ61" s="206"/>
      <c r="BK61" s="207"/>
      <c r="BL61" s="205"/>
      <c r="BM61" s="205"/>
      <c r="BP61" s="210"/>
      <c r="BQ61" s="202"/>
      <c r="BR61" s="206"/>
      <c r="BS61" s="207"/>
      <c r="BT61" s="205"/>
      <c r="BU61" s="205"/>
    </row>
    <row r="62" spans="4:73">
      <c r="S62" s="666"/>
      <c r="T62" s="664"/>
      <c r="U62" s="202"/>
      <c r="V62" s="206"/>
      <c r="W62" s="207"/>
      <c r="X62" s="205"/>
      <c r="Y62" s="205"/>
      <c r="AB62" s="210"/>
      <c r="AC62" s="202"/>
      <c r="AD62" s="206"/>
      <c r="AE62" s="207"/>
      <c r="AF62" s="205"/>
      <c r="AG62" s="205"/>
      <c r="AJ62" s="210"/>
      <c r="AK62" s="202"/>
      <c r="AL62" s="206"/>
      <c r="AM62" s="207"/>
      <c r="AN62" s="205"/>
      <c r="AO62" s="205"/>
      <c r="AZ62" s="211"/>
      <c r="BA62" s="202"/>
      <c r="BB62" s="206"/>
      <c r="BC62" s="207"/>
      <c r="BD62" s="205"/>
      <c r="BE62" s="205"/>
      <c r="BH62" s="210"/>
      <c r="BI62" s="202"/>
      <c r="BJ62" s="206"/>
      <c r="BK62" s="207"/>
      <c r="BL62" s="205"/>
      <c r="BM62" s="205"/>
      <c r="BP62" s="211"/>
      <c r="BQ62" s="202"/>
      <c r="BR62" s="206"/>
      <c r="BS62" s="207"/>
      <c r="BT62" s="205"/>
      <c r="BU62" s="205"/>
    </row>
    <row r="63" spans="4:73">
      <c r="S63" s="666"/>
      <c r="T63" s="664"/>
      <c r="U63" s="202"/>
      <c r="V63" s="206"/>
      <c r="W63" s="207"/>
      <c r="X63" s="205"/>
      <c r="Y63" s="205"/>
      <c r="AB63" s="211"/>
      <c r="AC63" s="202"/>
      <c r="AD63" s="206"/>
      <c r="AE63" s="207"/>
      <c r="AF63" s="205"/>
      <c r="AG63" s="205"/>
      <c r="AJ63" s="211"/>
      <c r="AK63" s="202"/>
      <c r="AL63" s="206"/>
      <c r="AM63" s="207"/>
      <c r="AN63" s="205"/>
      <c r="AO63" s="205"/>
      <c r="AZ63" s="209"/>
      <c r="BA63" s="202"/>
      <c r="BB63" s="206"/>
      <c r="BC63" s="207"/>
      <c r="BD63" s="205"/>
      <c r="BE63" s="205"/>
      <c r="BH63" s="211"/>
      <c r="BI63" s="202"/>
      <c r="BJ63" s="206"/>
      <c r="BK63" s="207"/>
      <c r="BL63" s="205"/>
      <c r="BM63" s="205"/>
      <c r="BP63" s="211"/>
      <c r="BQ63" s="202"/>
      <c r="BR63" s="206"/>
      <c r="BS63" s="207"/>
      <c r="BT63" s="205"/>
      <c r="BU63" s="205"/>
    </row>
    <row r="64" spans="4:73">
      <c r="AB64" s="211"/>
      <c r="AC64" s="202"/>
      <c r="AD64" s="206"/>
      <c r="AE64" s="207"/>
      <c r="AF64" s="205"/>
      <c r="AG64" s="205"/>
      <c r="AJ64" s="211"/>
      <c r="AK64" s="202"/>
      <c r="AL64" s="206"/>
      <c r="AM64" s="207"/>
      <c r="AN64" s="205"/>
      <c r="AO64" s="205"/>
      <c r="AY64"/>
      <c r="AZ64" s="210"/>
      <c r="BA64" s="202"/>
      <c r="BB64" s="206"/>
      <c r="BC64" s="207"/>
      <c r="BD64" s="205"/>
      <c r="BE64" s="205"/>
      <c r="BH64" s="211"/>
      <c r="BI64" s="202"/>
      <c r="BJ64" s="206"/>
      <c r="BK64" s="207"/>
      <c r="BL64" s="205"/>
      <c r="BM64" s="205"/>
    </row>
    <row r="65" spans="52:57">
      <c r="AZ65" s="209"/>
      <c r="BA65" s="202"/>
      <c r="BB65" s="206"/>
      <c r="BC65" s="207"/>
      <c r="BD65" s="205"/>
      <c r="BE65" s="205"/>
    </row>
    <row r="66" spans="52:57">
      <c r="AZ66" s="210"/>
      <c r="BA66" s="202"/>
      <c r="BB66" s="206"/>
      <c r="BC66" s="207"/>
      <c r="BD66" s="205"/>
      <c r="BE66" s="205"/>
    </row>
    <row r="67" spans="52:57">
      <c r="AZ67" s="211"/>
      <c r="BA67" s="202"/>
      <c r="BB67" s="206"/>
      <c r="BC67" s="207"/>
      <c r="BD67" s="205"/>
      <c r="BE67" s="205"/>
    </row>
    <row r="68" spans="52:57">
      <c r="AZ68" s="211"/>
      <c r="BA68" s="202"/>
      <c r="BB68" s="206"/>
      <c r="BC68" s="207"/>
      <c r="BD68" s="205"/>
      <c r="BE68" s="205"/>
    </row>
    <row r="88" spans="12:12">
      <c r="L88" s="660"/>
    </row>
    <row r="89" spans="12:12">
      <c r="L89" s="661"/>
    </row>
  </sheetData>
  <mergeCells count="100">
    <mergeCell ref="S5:S6"/>
    <mergeCell ref="BO3:BU3"/>
    <mergeCell ref="T4:U4"/>
    <mergeCell ref="AB4:AC4"/>
    <mergeCell ref="AJ4:AK4"/>
    <mergeCell ref="AR4:AS4"/>
    <mergeCell ref="AZ4:BA4"/>
    <mergeCell ref="BH4:BI4"/>
    <mergeCell ref="BP4:BQ4"/>
    <mergeCell ref="S3:Y3"/>
    <mergeCell ref="AA3:AG3"/>
    <mergeCell ref="AI3:AO3"/>
    <mergeCell ref="AQ3:AW3"/>
    <mergeCell ref="AY3:BE3"/>
    <mergeCell ref="BG3:BM3"/>
    <mergeCell ref="T5:T6"/>
    <mergeCell ref="AA5:AA6"/>
    <mergeCell ref="AB5:AB6"/>
    <mergeCell ref="AI5:AI6"/>
    <mergeCell ref="AZ5:AZ6"/>
    <mergeCell ref="AJ5:AJ6"/>
    <mergeCell ref="BG5:BG6"/>
    <mergeCell ref="BH5:BH6"/>
    <mergeCell ref="AZ7:AZ8"/>
    <mergeCell ref="BG7:BG8"/>
    <mergeCell ref="BH7:BH8"/>
    <mergeCell ref="AQ7:AQ10"/>
    <mergeCell ref="AR7:AR8"/>
    <mergeCell ref="AQ5:AQ6"/>
    <mergeCell ref="AR5:AR6"/>
    <mergeCell ref="AY5:AY10"/>
    <mergeCell ref="BP7:BP8"/>
    <mergeCell ref="S9:S10"/>
    <mergeCell ref="T9:T10"/>
    <mergeCell ref="AI9:AI10"/>
    <mergeCell ref="AJ9:AJ10"/>
    <mergeCell ref="AR9:AR10"/>
    <mergeCell ref="AZ9:AZ10"/>
    <mergeCell ref="BP9:BP10"/>
    <mergeCell ref="BO5:BO10"/>
    <mergeCell ref="BP5:BP6"/>
    <mergeCell ref="S7:S8"/>
    <mergeCell ref="T7:T8"/>
    <mergeCell ref="AA7:AA8"/>
    <mergeCell ref="AB7:AB8"/>
    <mergeCell ref="AI7:AI8"/>
    <mergeCell ref="AJ7:AJ8"/>
    <mergeCell ref="BP12:BP13"/>
    <mergeCell ref="S13:S14"/>
    <mergeCell ref="T13:T14"/>
    <mergeCell ref="AY13:AY17"/>
    <mergeCell ref="AZ13:AZ14"/>
    <mergeCell ref="BP14:BP15"/>
    <mergeCell ref="S15:S16"/>
    <mergeCell ref="T15:T16"/>
    <mergeCell ref="AJ15:AJ16"/>
    <mergeCell ref="AZ15:AZ16"/>
    <mergeCell ref="S11:S12"/>
    <mergeCell ref="T11:T12"/>
    <mergeCell ref="AI11:AI16"/>
    <mergeCell ref="AY11:AY12"/>
    <mergeCell ref="AZ11:AZ12"/>
    <mergeCell ref="BO12:BO17"/>
    <mergeCell ref="BP16:BP17"/>
    <mergeCell ref="AI17:AI18"/>
    <mergeCell ref="AY18:AY19"/>
    <mergeCell ref="AZ18:AZ19"/>
    <mergeCell ref="AJ19:AJ20"/>
    <mergeCell ref="BO19:BO20"/>
    <mergeCell ref="BP19:BP20"/>
    <mergeCell ref="AY20:AY21"/>
    <mergeCell ref="AZ20:AZ21"/>
    <mergeCell ref="AJ21:AJ22"/>
    <mergeCell ref="BP21:BP22"/>
    <mergeCell ref="AJ23:AJ24"/>
    <mergeCell ref="BP24:BP25"/>
    <mergeCell ref="AJ25:AJ26"/>
    <mergeCell ref="S29:S30"/>
    <mergeCell ref="T29:T30"/>
    <mergeCell ref="S31:S35"/>
    <mergeCell ref="S36:S37"/>
    <mergeCell ref="S38:S45"/>
    <mergeCell ref="T38:T39"/>
    <mergeCell ref="T40:T41"/>
    <mergeCell ref="T42:T43"/>
    <mergeCell ref="T44:T45"/>
    <mergeCell ref="L88:L89"/>
    <mergeCell ref="S46:S51"/>
    <mergeCell ref="T46:T47"/>
    <mergeCell ref="T48:T49"/>
    <mergeCell ref="T50:T51"/>
    <mergeCell ref="S52:S57"/>
    <mergeCell ref="T52:T53"/>
    <mergeCell ref="T54:T55"/>
    <mergeCell ref="T56:T57"/>
    <mergeCell ref="S58:S59"/>
    <mergeCell ref="T58:T59"/>
    <mergeCell ref="S60:S63"/>
    <mergeCell ref="T60:T61"/>
    <mergeCell ref="T62:T63"/>
  </mergeCells>
  <phoneticPr fontId="47"/>
  <pageMargins left="0.55118110236220474" right="0.15748031496062992" top="0.43307086614173229" bottom="0.31496062992125984" header="0.31496062992125984" footer="0.19685039370078741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09B7-11F5-4080-8C6D-A78AE0638011}">
  <dimension ref="A1:AD108"/>
  <sheetViews>
    <sheetView workbookViewId="0">
      <selection sqref="A1:XFD1048576"/>
    </sheetView>
  </sheetViews>
  <sheetFormatPr defaultRowHeight="12.75"/>
  <cols>
    <col min="1" max="1" width="20.42578125" customWidth="1"/>
    <col min="2" max="9" width="10.5703125" customWidth="1"/>
    <col min="10" max="11" width="10.5703125" style="55" customWidth="1"/>
    <col min="12" max="15" width="10.5703125" customWidth="1"/>
    <col min="16" max="16" width="10.140625" customWidth="1"/>
    <col min="17" max="26" width="10.5703125" customWidth="1"/>
    <col min="27" max="27" width="14.5703125" bestFit="1" customWidth="1"/>
    <col min="28" max="28" width="14.7109375" customWidth="1"/>
  </cols>
  <sheetData>
    <row r="1" spans="1:27" ht="19.5">
      <c r="A1" s="320" t="s">
        <v>562</v>
      </c>
      <c r="B1" s="196"/>
      <c r="C1" s="321"/>
      <c r="D1" s="322">
        <v>19</v>
      </c>
      <c r="E1" s="323"/>
      <c r="F1" s="323"/>
      <c r="G1" s="29"/>
      <c r="H1" s="29"/>
      <c r="I1" s="29"/>
      <c r="J1" s="36"/>
      <c r="K1" s="36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30">
      <c r="A2" s="30"/>
      <c r="B2" s="30" t="s">
        <v>563</v>
      </c>
      <c r="C2" s="31" t="s">
        <v>564</v>
      </c>
      <c r="D2" s="30"/>
      <c r="E2" s="324"/>
      <c r="F2" s="32"/>
      <c r="G2" s="29"/>
      <c r="H2" s="29"/>
      <c r="I2" s="29"/>
      <c r="J2" s="36"/>
      <c r="K2" s="36"/>
      <c r="L2" s="29"/>
      <c r="M2" s="29"/>
      <c r="N2" s="32"/>
      <c r="O2" s="32"/>
      <c r="P2" s="32"/>
      <c r="Q2" s="32"/>
      <c r="R2" s="32"/>
      <c r="S2" s="32"/>
      <c r="T2" s="32"/>
      <c r="U2" s="32"/>
      <c r="V2" s="32"/>
      <c r="W2" s="32"/>
      <c r="X2" s="324"/>
      <c r="Y2" s="324"/>
      <c r="Z2" s="32"/>
      <c r="AA2" s="32"/>
    </row>
    <row r="3" spans="1:27" ht="15">
      <c r="A3" s="33" t="s">
        <v>286</v>
      </c>
      <c r="B3" s="197">
        <f>+B55</f>
        <v>9930</v>
      </c>
      <c r="C3" s="34">
        <f>+C55</f>
        <v>0</v>
      </c>
      <c r="D3" s="35" t="e">
        <f t="shared" ref="D3:D14" si="0">SUM(B3/C3)</f>
        <v>#DIV/0!</v>
      </c>
      <c r="E3" s="325"/>
      <c r="F3" s="29"/>
      <c r="G3" s="29"/>
      <c r="H3" s="29"/>
      <c r="I3" s="29"/>
      <c r="J3" s="36"/>
      <c r="K3" s="36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">
      <c r="A4" s="33" t="s">
        <v>287</v>
      </c>
      <c r="B4" s="197">
        <f>+D55</f>
        <v>12535.1</v>
      </c>
      <c r="C4" s="34">
        <f>+E55</f>
        <v>0</v>
      </c>
      <c r="D4" s="35" t="e">
        <f t="shared" si="0"/>
        <v>#DIV/0!</v>
      </c>
      <c r="E4" s="325"/>
      <c r="F4" s="29"/>
      <c r="G4" s="29"/>
      <c r="H4" s="29"/>
      <c r="I4" s="29"/>
      <c r="J4" s="36"/>
      <c r="K4" s="36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">
      <c r="A5" s="33" t="s">
        <v>288</v>
      </c>
      <c r="B5" s="198">
        <f>+H55</f>
        <v>10999.999999999996</v>
      </c>
      <c r="C5" s="37">
        <f>+I55</f>
        <v>0</v>
      </c>
      <c r="D5" s="35" t="e">
        <f t="shared" si="0"/>
        <v>#DIV/0!</v>
      </c>
      <c r="E5" s="325"/>
      <c r="F5" s="29"/>
      <c r="G5" s="29"/>
      <c r="H5" s="29"/>
      <c r="I5" s="29"/>
      <c r="J5" s="36"/>
      <c r="K5" s="36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">
      <c r="A6" s="33" t="s">
        <v>289</v>
      </c>
      <c r="B6" s="198">
        <f>+J55</f>
        <v>6989</v>
      </c>
      <c r="C6" s="37">
        <f>+K55</f>
        <v>0</v>
      </c>
      <c r="D6" s="35" t="e">
        <f t="shared" si="0"/>
        <v>#DIV/0!</v>
      </c>
      <c r="E6" s="325"/>
      <c r="F6" s="29"/>
      <c r="G6" s="29"/>
      <c r="H6" s="29"/>
      <c r="I6" s="29"/>
      <c r="J6" s="36"/>
      <c r="K6" s="36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">
      <c r="A7" s="33" t="s">
        <v>290</v>
      </c>
      <c r="B7" s="197">
        <f>+L55</f>
        <v>15638.440306451615</v>
      </c>
      <c r="C7" s="34">
        <f>+M55</f>
        <v>0</v>
      </c>
      <c r="D7" s="35" t="e">
        <f t="shared" si="0"/>
        <v>#DIV/0!</v>
      </c>
      <c r="E7" s="325"/>
      <c r="F7" s="29"/>
      <c r="G7" s="29"/>
      <c r="H7" s="29"/>
      <c r="I7" s="29"/>
      <c r="J7" s="36"/>
      <c r="K7" s="3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">
      <c r="A8" s="33" t="s">
        <v>565</v>
      </c>
      <c r="B8" s="197">
        <f>+N55</f>
        <v>17047.000500000002</v>
      </c>
      <c r="C8" s="34">
        <f>+O55</f>
        <v>0</v>
      </c>
      <c r="D8" s="35" t="e">
        <f t="shared" si="0"/>
        <v>#DIV/0!</v>
      </c>
      <c r="E8" s="325"/>
      <c r="F8" s="29"/>
      <c r="G8" s="29"/>
      <c r="H8" s="29"/>
      <c r="I8" s="29"/>
      <c r="J8" s="36"/>
      <c r="K8" s="36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">
      <c r="A9" s="33" t="s">
        <v>566</v>
      </c>
      <c r="B9" s="197">
        <f>+F55</f>
        <v>12610.451661290321</v>
      </c>
      <c r="C9" s="34">
        <f>+G55</f>
        <v>0</v>
      </c>
      <c r="D9" s="35" t="e">
        <f t="shared" si="0"/>
        <v>#DIV/0!</v>
      </c>
      <c r="E9" s="326"/>
      <c r="F9" s="29"/>
      <c r="G9" s="29"/>
      <c r="H9" s="29"/>
      <c r="I9" s="29"/>
      <c r="J9" s="36"/>
      <c r="K9" s="36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">
      <c r="A10" s="33" t="s">
        <v>567</v>
      </c>
      <c r="B10" s="198">
        <f>+Q60</f>
        <v>13544</v>
      </c>
      <c r="C10" s="250">
        <f>+R60</f>
        <v>0</v>
      </c>
      <c r="D10" s="35" t="e">
        <f t="shared" si="0"/>
        <v>#DIV/0!</v>
      </c>
      <c r="E10" s="325"/>
      <c r="F10" s="29"/>
      <c r="G10" s="29"/>
      <c r="H10" s="29"/>
      <c r="I10" s="29"/>
      <c r="J10" s="36"/>
      <c r="K10" s="3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">
      <c r="A11" s="33" t="s">
        <v>568</v>
      </c>
      <c r="B11" s="198">
        <f>+S60</f>
        <v>21616</v>
      </c>
      <c r="C11" s="37">
        <f>+T60</f>
        <v>0</v>
      </c>
      <c r="D11" s="35" t="e">
        <f t="shared" si="0"/>
        <v>#DIV/0!</v>
      </c>
      <c r="E11" s="325"/>
      <c r="F11" s="29"/>
      <c r="G11" s="29"/>
      <c r="H11" s="29"/>
      <c r="I11" s="29"/>
      <c r="J11" s="36"/>
      <c r="K11" s="3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">
      <c r="A12" s="33" t="s">
        <v>569</v>
      </c>
      <c r="B12" s="198">
        <f>+U60</f>
        <v>28161</v>
      </c>
      <c r="C12" s="37">
        <f>+V60</f>
        <v>0</v>
      </c>
      <c r="D12" s="35" t="e">
        <f t="shared" si="0"/>
        <v>#DIV/0!</v>
      </c>
      <c r="E12" s="325"/>
      <c r="F12" s="36"/>
      <c r="G12" s="29"/>
      <c r="H12" s="29"/>
      <c r="I12" s="29"/>
      <c r="J12" s="36"/>
      <c r="K12" s="3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">
      <c r="A13" s="33" t="s">
        <v>570</v>
      </c>
      <c r="B13" s="198">
        <f>+W60</f>
        <v>43712</v>
      </c>
      <c r="C13" s="37">
        <f>+X60</f>
        <v>0</v>
      </c>
      <c r="D13" s="35" t="e">
        <f t="shared" si="0"/>
        <v>#DIV/0!</v>
      </c>
      <c r="E13" s="325"/>
      <c r="F13" s="29"/>
      <c r="G13" s="29"/>
      <c r="H13" s="29"/>
      <c r="I13" s="29"/>
      <c r="J13" s="36"/>
      <c r="K13" s="3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">
      <c r="A14" s="33" t="s">
        <v>571</v>
      </c>
      <c r="B14" s="198">
        <f>+Y60</f>
        <v>43712</v>
      </c>
      <c r="C14" s="37">
        <f>+Z60</f>
        <v>0</v>
      </c>
      <c r="D14" s="35" t="e">
        <f t="shared" si="0"/>
        <v>#DIV/0!</v>
      </c>
      <c r="E14" s="325"/>
      <c r="F14" s="29"/>
      <c r="G14" s="29"/>
      <c r="H14" s="29"/>
      <c r="I14" s="29"/>
      <c r="J14" s="36"/>
      <c r="K14" s="36"/>
      <c r="L14" s="29"/>
      <c r="M14" s="29"/>
      <c r="N14" s="29"/>
      <c r="O14" s="29"/>
      <c r="P14" s="29"/>
      <c r="Q14" s="38"/>
      <c r="R14" s="29"/>
      <c r="S14" s="38"/>
      <c r="T14" s="29"/>
      <c r="U14" s="29"/>
      <c r="V14" s="29"/>
      <c r="W14" s="29"/>
      <c r="X14" s="29"/>
      <c r="Y14" s="29"/>
      <c r="Z14" s="29"/>
      <c r="AA14" s="29"/>
    </row>
    <row r="15" spans="1:27" ht="15.75" thickBot="1">
      <c r="A15" s="39"/>
      <c r="B15" s="29"/>
      <c r="C15" s="29"/>
      <c r="D15" s="29"/>
      <c r="E15" s="29"/>
      <c r="F15" s="29"/>
      <c r="G15" s="29"/>
      <c r="H15" s="29"/>
      <c r="I15" s="29"/>
      <c r="J15" s="36"/>
      <c r="K15" s="36"/>
      <c r="L15" s="29"/>
      <c r="M15" s="29"/>
      <c r="N15" s="29"/>
      <c r="O15" s="29"/>
      <c r="P15" s="29"/>
      <c r="Q15" s="38"/>
      <c r="R15" s="29"/>
      <c r="S15" s="38"/>
      <c r="T15" s="29"/>
      <c r="U15" s="29"/>
      <c r="V15" s="29"/>
      <c r="W15" s="29"/>
      <c r="X15" s="29"/>
      <c r="Y15" s="29"/>
      <c r="Z15" s="29"/>
      <c r="AA15" s="29"/>
    </row>
    <row r="16" spans="1:27" ht="15.75" thickTop="1">
      <c r="A16" s="40" t="s">
        <v>296</v>
      </c>
      <c r="B16" s="719" t="s">
        <v>286</v>
      </c>
      <c r="C16" s="720"/>
      <c r="D16" s="719" t="s">
        <v>287</v>
      </c>
      <c r="E16" s="720"/>
      <c r="F16" s="719" t="s">
        <v>572</v>
      </c>
      <c r="G16" s="720"/>
      <c r="H16" s="719" t="s">
        <v>573</v>
      </c>
      <c r="I16" s="720"/>
      <c r="J16" s="721" t="s">
        <v>574</v>
      </c>
      <c r="K16" s="722"/>
      <c r="L16" s="719" t="s">
        <v>575</v>
      </c>
      <c r="M16" s="720"/>
      <c r="N16" s="719" t="s">
        <v>565</v>
      </c>
      <c r="O16" s="720"/>
      <c r="P16" s="327"/>
      <c r="Q16" s="719" t="s">
        <v>576</v>
      </c>
      <c r="R16" s="720"/>
      <c r="S16" s="719" t="s">
        <v>577</v>
      </c>
      <c r="T16" s="720"/>
      <c r="U16" s="719" t="s">
        <v>578</v>
      </c>
      <c r="V16" s="720"/>
      <c r="W16" s="719" t="s">
        <v>570</v>
      </c>
      <c r="X16" s="720"/>
      <c r="Y16" s="719" t="s">
        <v>571</v>
      </c>
      <c r="Z16" s="720"/>
      <c r="AA16" s="29"/>
    </row>
    <row r="17" spans="1:30" ht="30">
      <c r="A17" s="40" t="s">
        <v>91</v>
      </c>
      <c r="B17" s="30" t="str">
        <f>$B2</f>
        <v>July
Plan</v>
      </c>
      <c r="C17" s="31" t="str">
        <f>$C2</f>
        <v>July
Results</v>
      </c>
      <c r="D17" s="30" t="str">
        <f>$B2</f>
        <v>July
Plan</v>
      </c>
      <c r="E17" s="31" t="str">
        <f>$C2</f>
        <v>July
Results</v>
      </c>
      <c r="F17" s="30" t="str">
        <f>$B2</f>
        <v>July
Plan</v>
      </c>
      <c r="G17" s="31" t="str">
        <f>$C2</f>
        <v>July
Results</v>
      </c>
      <c r="H17" s="30" t="str">
        <f>$B2</f>
        <v>July
Plan</v>
      </c>
      <c r="I17" s="31" t="str">
        <f>$C2</f>
        <v>July
Results</v>
      </c>
      <c r="J17" s="41" t="str">
        <f>$B2</f>
        <v>July
Plan</v>
      </c>
      <c r="K17" s="42" t="str">
        <f>$C2</f>
        <v>July
Results</v>
      </c>
      <c r="L17" s="30" t="str">
        <f>$B2</f>
        <v>July
Plan</v>
      </c>
      <c r="M17" s="31" t="str">
        <f>$C2</f>
        <v>July
Results</v>
      </c>
      <c r="N17" s="30" t="str">
        <f>$B2</f>
        <v>July
Plan</v>
      </c>
      <c r="O17" s="31" t="str">
        <f>$C2</f>
        <v>July
Results</v>
      </c>
      <c r="P17" s="43" t="s">
        <v>91</v>
      </c>
      <c r="Q17" s="30" t="str">
        <f>$B2</f>
        <v>July
Plan</v>
      </c>
      <c r="R17" s="31" t="str">
        <f>$C2</f>
        <v>July
Results</v>
      </c>
      <c r="S17" s="30" t="str">
        <f>$B2</f>
        <v>July
Plan</v>
      </c>
      <c r="T17" s="31" t="str">
        <f>$C2</f>
        <v>July
Results</v>
      </c>
      <c r="U17" s="30" t="str">
        <f>$B2</f>
        <v>July
Plan</v>
      </c>
      <c r="V17" s="31" t="str">
        <f>$C2</f>
        <v>July
Results</v>
      </c>
      <c r="W17" s="30" t="str">
        <f>$B2</f>
        <v>July
Plan</v>
      </c>
      <c r="X17" s="31" t="str">
        <f>$C2</f>
        <v>July
Results</v>
      </c>
      <c r="Y17" s="30" t="str">
        <f>$B2</f>
        <v>July
Plan</v>
      </c>
      <c r="Z17" s="31" t="str">
        <f>$C2</f>
        <v>July
Results</v>
      </c>
      <c r="AA17" s="29"/>
    </row>
    <row r="18" spans="1:30" ht="15">
      <c r="A18" s="328" t="s">
        <v>72</v>
      </c>
      <c r="B18" s="44">
        <v>1272</v>
      </c>
      <c r="C18" s="329"/>
      <c r="D18" s="44">
        <v>1272</v>
      </c>
      <c r="E18" s="329"/>
      <c r="F18" s="44">
        <v>873</v>
      </c>
      <c r="G18" s="329"/>
      <c r="H18" s="330">
        <v>1068.7425557257104</v>
      </c>
      <c r="I18" s="37"/>
      <c r="J18" s="330">
        <v>510</v>
      </c>
      <c r="K18" s="37"/>
      <c r="L18" s="44">
        <v>409.62929032258069</v>
      </c>
      <c r="M18" s="34"/>
      <c r="N18" s="197">
        <v>375.91</v>
      </c>
      <c r="O18" s="34"/>
      <c r="P18" s="331" t="s">
        <v>72</v>
      </c>
      <c r="Q18" s="330">
        <v>2543</v>
      </c>
      <c r="R18" s="332"/>
      <c r="S18" s="330">
        <v>2495</v>
      </c>
      <c r="T18" s="37"/>
      <c r="U18" s="330">
        <v>2466</v>
      </c>
      <c r="V18" s="37"/>
      <c r="W18" s="330">
        <v>2533</v>
      </c>
      <c r="X18" s="37"/>
      <c r="Y18" s="330">
        <v>2533</v>
      </c>
      <c r="Z18" s="37"/>
      <c r="AA18" s="29"/>
      <c r="AC18" s="173"/>
      <c r="AD18" s="173"/>
    </row>
    <row r="19" spans="1:30" ht="15">
      <c r="A19" s="264" t="s">
        <v>34</v>
      </c>
      <c r="B19" s="44">
        <v>753.5</v>
      </c>
      <c r="C19" s="329"/>
      <c r="D19" s="44">
        <v>835.5</v>
      </c>
      <c r="E19" s="34"/>
      <c r="F19" s="44">
        <v>835.5</v>
      </c>
      <c r="G19" s="34"/>
      <c r="H19" s="330">
        <v>718.73404798366516</v>
      </c>
      <c r="I19" s="37"/>
      <c r="J19" s="330">
        <v>37</v>
      </c>
      <c r="K19" s="37"/>
      <c r="L19" s="44">
        <v>786.819677419355</v>
      </c>
      <c r="M19" s="34"/>
      <c r="N19" s="197">
        <v>688.26199999999994</v>
      </c>
      <c r="O19" s="34"/>
      <c r="P19" s="331" t="s">
        <v>34</v>
      </c>
      <c r="Q19" s="330">
        <v>726</v>
      </c>
      <c r="R19" s="333"/>
      <c r="S19" s="330">
        <v>954</v>
      </c>
      <c r="T19" s="37"/>
      <c r="U19" s="330">
        <v>2792</v>
      </c>
      <c r="V19" s="37"/>
      <c r="W19" s="330">
        <v>2855</v>
      </c>
      <c r="X19" s="37"/>
      <c r="Y19" s="330">
        <v>2855</v>
      </c>
      <c r="Z19" s="37"/>
      <c r="AA19" s="29"/>
      <c r="AC19" s="173"/>
      <c r="AD19" s="173"/>
    </row>
    <row r="20" spans="1:30" ht="15">
      <c r="A20" s="264" t="s">
        <v>39</v>
      </c>
      <c r="B20" s="44">
        <v>226</v>
      </c>
      <c r="C20" s="329"/>
      <c r="D20" s="44">
        <v>527.5</v>
      </c>
      <c r="E20" s="34"/>
      <c r="F20" s="44">
        <v>75.5</v>
      </c>
      <c r="G20" s="34"/>
      <c r="H20" s="330">
        <v>443.59367023991831</v>
      </c>
      <c r="I20" s="37"/>
      <c r="J20" s="330">
        <v>22</v>
      </c>
      <c r="K20" s="37"/>
      <c r="L20" s="44">
        <v>715.79683870967733</v>
      </c>
      <c r="M20" s="34"/>
      <c r="N20" s="197">
        <v>714.84400000000005</v>
      </c>
      <c r="O20" s="34"/>
      <c r="P20" s="331" t="s">
        <v>39</v>
      </c>
      <c r="Q20" s="330">
        <v>3055</v>
      </c>
      <c r="R20" s="333"/>
      <c r="S20" s="330">
        <v>3594</v>
      </c>
      <c r="T20" s="37"/>
      <c r="U20" s="330">
        <v>3043</v>
      </c>
      <c r="V20" s="37"/>
      <c r="W20" s="330">
        <v>3261</v>
      </c>
      <c r="X20" s="37"/>
      <c r="Y20" s="330">
        <v>3261</v>
      </c>
      <c r="Z20" s="37"/>
      <c r="AA20" s="29"/>
      <c r="AC20" s="173"/>
      <c r="AD20" s="173"/>
    </row>
    <row r="21" spans="1:30" ht="15">
      <c r="A21" s="264" t="s">
        <v>119</v>
      </c>
      <c r="B21" s="44">
        <v>226</v>
      </c>
      <c r="C21" s="329"/>
      <c r="D21" s="334">
        <v>452</v>
      </c>
      <c r="E21" s="34"/>
      <c r="F21" s="44">
        <v>527.5</v>
      </c>
      <c r="G21" s="34"/>
      <c r="H21" s="330">
        <v>177.81180874595881</v>
      </c>
      <c r="I21" s="37"/>
      <c r="J21" s="330">
        <v>50</v>
      </c>
      <c r="K21" s="37"/>
      <c r="L21" s="44">
        <v>871.99193548387098</v>
      </c>
      <c r="M21" s="34"/>
      <c r="N21" s="197">
        <v>737.74400000000003</v>
      </c>
      <c r="O21" s="34"/>
      <c r="P21" s="331" t="s">
        <v>119</v>
      </c>
      <c r="Q21" s="330">
        <v>760</v>
      </c>
      <c r="R21" s="333"/>
      <c r="S21" s="330">
        <v>560</v>
      </c>
      <c r="T21" s="37"/>
      <c r="U21" s="330">
        <v>1135</v>
      </c>
      <c r="V21" s="37"/>
      <c r="W21" s="330">
        <v>1140</v>
      </c>
      <c r="X21" s="37"/>
      <c r="Y21" s="330">
        <v>1140</v>
      </c>
      <c r="Z21" s="37"/>
      <c r="AA21" s="29"/>
      <c r="AC21" s="173"/>
      <c r="AD21" s="173"/>
    </row>
    <row r="22" spans="1:30" ht="15">
      <c r="A22" s="264" t="s">
        <v>37</v>
      </c>
      <c r="B22" s="44">
        <v>75.5</v>
      </c>
      <c r="C22" s="329"/>
      <c r="D22" s="334">
        <v>75.5</v>
      </c>
      <c r="E22" s="34"/>
      <c r="F22" s="44">
        <v>75.5</v>
      </c>
      <c r="G22" s="34"/>
      <c r="H22" s="330">
        <v>164.70988599625659</v>
      </c>
      <c r="I22" s="37"/>
      <c r="J22" s="330">
        <v>24</v>
      </c>
      <c r="K22" s="37"/>
      <c r="L22" s="44">
        <v>259.18838709677419</v>
      </c>
      <c r="M22" s="34"/>
      <c r="N22" s="197">
        <v>230.48</v>
      </c>
      <c r="O22" s="34"/>
      <c r="P22" s="331" t="s">
        <v>37</v>
      </c>
      <c r="Q22" s="330">
        <v>1009</v>
      </c>
      <c r="R22" s="333"/>
      <c r="S22" s="330">
        <v>1027</v>
      </c>
      <c r="T22" s="37"/>
      <c r="U22" s="335">
        <v>1158</v>
      </c>
      <c r="V22" s="37"/>
      <c r="W22" s="330">
        <v>1603</v>
      </c>
      <c r="X22" s="37"/>
      <c r="Y22" s="330">
        <v>1603</v>
      </c>
      <c r="Z22" s="37"/>
      <c r="AA22" s="29"/>
      <c r="AC22" s="173"/>
      <c r="AD22" s="173"/>
    </row>
    <row r="23" spans="1:30" ht="15">
      <c r="A23" s="264" t="s">
        <v>142</v>
      </c>
      <c r="B23" s="44">
        <v>226.5</v>
      </c>
      <c r="C23" s="329"/>
      <c r="D23" s="334">
        <v>679.5</v>
      </c>
      <c r="E23" s="34"/>
      <c r="F23" s="44">
        <v>976.35</v>
      </c>
      <c r="G23" s="34"/>
      <c r="H23" s="330">
        <v>132.89093074697976</v>
      </c>
      <c r="I23" s="37"/>
      <c r="J23" s="330">
        <v>48</v>
      </c>
      <c r="K23" s="37"/>
      <c r="L23" s="44">
        <v>1791.7083870967742</v>
      </c>
      <c r="M23" s="34"/>
      <c r="N23" s="197">
        <v>1471.72</v>
      </c>
      <c r="O23" s="34"/>
      <c r="P23" s="331" t="s">
        <v>142</v>
      </c>
      <c r="Q23" s="171"/>
      <c r="R23" s="268"/>
      <c r="S23" s="330">
        <v>68</v>
      </c>
      <c r="T23" s="37"/>
      <c r="U23" s="335">
        <v>268</v>
      </c>
      <c r="V23" s="37"/>
      <c r="W23" s="330">
        <v>1897</v>
      </c>
      <c r="X23" s="37"/>
      <c r="Y23" s="330">
        <v>1897</v>
      </c>
      <c r="Z23" s="37"/>
      <c r="AA23" s="36"/>
      <c r="AB23" s="47"/>
      <c r="AC23" s="173"/>
      <c r="AD23" s="173"/>
    </row>
    <row r="24" spans="1:30" ht="15">
      <c r="A24" s="264" t="s">
        <v>149</v>
      </c>
      <c r="B24" s="44">
        <v>120.8</v>
      </c>
      <c r="C24" s="329"/>
      <c r="D24" s="44">
        <v>372.7</v>
      </c>
      <c r="E24" s="34"/>
      <c r="F24" s="44">
        <v>312.3</v>
      </c>
      <c r="G24" s="34"/>
      <c r="H24" s="330">
        <v>13.101922749702229</v>
      </c>
      <c r="I24" s="37"/>
      <c r="J24" s="330">
        <v>0</v>
      </c>
      <c r="K24" s="37"/>
      <c r="L24" s="44">
        <v>294.96580645161288</v>
      </c>
      <c r="M24" s="34"/>
      <c r="N24" s="197">
        <v>230.1</v>
      </c>
      <c r="O24" s="34"/>
      <c r="P24" s="331" t="s">
        <v>149</v>
      </c>
      <c r="Q24" s="165"/>
      <c r="R24" s="269"/>
      <c r="S24" s="330">
        <v>0</v>
      </c>
      <c r="T24" s="37"/>
      <c r="U24" s="330">
        <v>178</v>
      </c>
      <c r="V24" s="37"/>
      <c r="W24" s="330">
        <v>256</v>
      </c>
      <c r="X24" s="37"/>
      <c r="Y24" s="330">
        <v>256</v>
      </c>
      <c r="Z24" s="37"/>
      <c r="AA24" s="29" t="s">
        <v>579</v>
      </c>
      <c r="AC24" s="173"/>
      <c r="AD24" s="173"/>
    </row>
    <row r="25" spans="1:30" ht="15">
      <c r="A25" s="264" t="s">
        <v>150</v>
      </c>
      <c r="B25" s="44">
        <v>90</v>
      </c>
      <c r="C25" s="329"/>
      <c r="D25" s="44">
        <v>135</v>
      </c>
      <c r="E25" s="34"/>
      <c r="F25" s="44">
        <v>135</v>
      </c>
      <c r="G25" s="34"/>
      <c r="H25" s="330">
        <v>3.7434064999149226</v>
      </c>
      <c r="I25" s="37"/>
      <c r="J25" s="330">
        <v>0</v>
      </c>
      <c r="K25" s="37"/>
      <c r="L25" s="44">
        <v>148.77661290322578</v>
      </c>
      <c r="M25" s="34"/>
      <c r="N25" s="197">
        <v>116.875</v>
      </c>
      <c r="O25" s="34"/>
      <c r="P25" s="331" t="s">
        <v>150</v>
      </c>
      <c r="Q25" s="165"/>
      <c r="R25" s="269"/>
      <c r="S25" s="330">
        <v>10</v>
      </c>
      <c r="T25" s="37"/>
      <c r="U25" s="330">
        <v>0</v>
      </c>
      <c r="V25" s="37"/>
      <c r="W25" s="330">
        <v>31</v>
      </c>
      <c r="X25" s="37"/>
      <c r="Y25" s="330">
        <v>31</v>
      </c>
      <c r="Z25" s="37"/>
      <c r="AA25" s="36">
        <f>SUM(W18:W25)</f>
        <v>13576</v>
      </c>
      <c r="AB25" s="47">
        <f>SUM(N18:N25)</f>
        <v>4565.9350000000004</v>
      </c>
      <c r="AC25" s="173"/>
      <c r="AD25" s="173"/>
    </row>
    <row r="26" spans="1:30" ht="15">
      <c r="A26" s="264" t="s">
        <v>83</v>
      </c>
      <c r="B26" s="44">
        <v>912</v>
      </c>
      <c r="C26" s="329"/>
      <c r="D26" s="44">
        <v>1368</v>
      </c>
      <c r="E26" s="34"/>
      <c r="F26" s="44">
        <v>1216</v>
      </c>
      <c r="G26" s="34"/>
      <c r="H26" s="330">
        <v>1362.5999659690319</v>
      </c>
      <c r="I26" s="37"/>
      <c r="J26" s="330">
        <v>356</v>
      </c>
      <c r="K26" s="37"/>
      <c r="L26" s="44">
        <v>1156.4672580645163</v>
      </c>
      <c r="M26" s="34"/>
      <c r="N26" s="197">
        <v>992.37900000000002</v>
      </c>
      <c r="O26" s="34"/>
      <c r="P26" s="331" t="s">
        <v>83</v>
      </c>
      <c r="Q26" s="330">
        <v>616</v>
      </c>
      <c r="R26" s="37"/>
      <c r="S26" s="330">
        <v>936</v>
      </c>
      <c r="T26" s="37"/>
      <c r="U26" s="335">
        <v>2454</v>
      </c>
      <c r="V26" s="37"/>
      <c r="W26" s="330">
        <v>2301</v>
      </c>
      <c r="X26" s="37"/>
      <c r="Y26" s="330">
        <v>2301</v>
      </c>
      <c r="Z26" s="37"/>
      <c r="AC26" s="173"/>
      <c r="AD26" s="173"/>
    </row>
    <row r="27" spans="1:30" ht="15">
      <c r="A27" s="264" t="s">
        <v>81</v>
      </c>
      <c r="B27" s="44">
        <v>0</v>
      </c>
      <c r="C27" s="329"/>
      <c r="D27" s="44">
        <v>0</v>
      </c>
      <c r="E27" s="34"/>
      <c r="F27" s="44">
        <v>0</v>
      </c>
      <c r="G27" s="34"/>
      <c r="H27" s="330">
        <v>623.27718223583463</v>
      </c>
      <c r="I27" s="37"/>
      <c r="J27" s="330">
        <v>5</v>
      </c>
      <c r="K27" s="37"/>
      <c r="L27" s="44">
        <v>528.34483870967745</v>
      </c>
      <c r="M27" s="34"/>
      <c r="N27" s="197">
        <v>530.27</v>
      </c>
      <c r="O27" s="34"/>
      <c r="P27" s="331" t="s">
        <v>81</v>
      </c>
      <c r="Q27" s="330">
        <v>1430</v>
      </c>
      <c r="R27" s="37"/>
      <c r="S27" s="330">
        <v>1460</v>
      </c>
      <c r="T27" s="37"/>
      <c r="U27" s="330">
        <v>1376</v>
      </c>
      <c r="V27" s="37"/>
      <c r="W27" s="330">
        <v>1325</v>
      </c>
      <c r="X27" s="37"/>
      <c r="Y27" s="330">
        <v>1325</v>
      </c>
      <c r="Z27" s="37"/>
      <c r="AA27" s="29"/>
      <c r="AC27" s="173"/>
      <c r="AD27" s="173"/>
    </row>
    <row r="28" spans="1:30" ht="15">
      <c r="A28" s="264" t="s">
        <v>58</v>
      </c>
      <c r="B28" s="44">
        <v>0</v>
      </c>
      <c r="C28" s="329"/>
      <c r="D28" s="44">
        <v>0</v>
      </c>
      <c r="E28" s="34"/>
      <c r="F28" s="44">
        <v>0</v>
      </c>
      <c r="G28" s="34"/>
      <c r="H28" s="330">
        <v>172.19669899608644</v>
      </c>
      <c r="I28" s="37"/>
      <c r="J28" s="330">
        <v>46</v>
      </c>
      <c r="K28" s="37"/>
      <c r="L28" s="44">
        <v>273.65535483870968</v>
      </c>
      <c r="M28" s="34"/>
      <c r="N28" s="197">
        <v>343.137</v>
      </c>
      <c r="O28" s="34"/>
      <c r="P28" s="331" t="s">
        <v>58</v>
      </c>
      <c r="Q28" s="166">
        <v>0</v>
      </c>
      <c r="R28" s="513"/>
      <c r="S28" s="330">
        <v>3437</v>
      </c>
      <c r="T28" s="37"/>
      <c r="U28" s="330">
        <v>3654</v>
      </c>
      <c r="V28" s="37"/>
      <c r="W28" s="330">
        <v>3100</v>
      </c>
      <c r="X28" s="37"/>
      <c r="Y28" s="330">
        <v>3100</v>
      </c>
      <c r="Z28" s="37"/>
      <c r="AA28" s="29"/>
      <c r="AC28" s="173"/>
      <c r="AD28" s="173"/>
    </row>
    <row r="29" spans="1:30" ht="15">
      <c r="A29" s="264" t="s">
        <v>121</v>
      </c>
      <c r="B29" s="44">
        <v>1786.5</v>
      </c>
      <c r="C29" s="329"/>
      <c r="D29" s="44">
        <v>1629</v>
      </c>
      <c r="E29" s="34"/>
      <c r="F29" s="44">
        <v>1629</v>
      </c>
      <c r="G29" s="34"/>
      <c r="H29" s="330">
        <v>3151.948272928365</v>
      </c>
      <c r="I29" s="37"/>
      <c r="J29" s="330">
        <v>223</v>
      </c>
      <c r="K29" s="37"/>
      <c r="L29" s="44">
        <v>2202.2195161290324</v>
      </c>
      <c r="M29" s="34"/>
      <c r="N29" s="197">
        <v>2188.7689999999998</v>
      </c>
      <c r="O29" s="34"/>
      <c r="P29" s="331" t="s">
        <v>121</v>
      </c>
      <c r="Q29" s="330">
        <v>2363</v>
      </c>
      <c r="R29" s="333"/>
      <c r="S29" s="330">
        <v>2801</v>
      </c>
      <c r="T29" s="37"/>
      <c r="U29" s="330">
        <v>3845</v>
      </c>
      <c r="V29" s="37"/>
      <c r="W29" s="330">
        <v>3960</v>
      </c>
      <c r="X29" s="37"/>
      <c r="Y29" s="330">
        <v>3960</v>
      </c>
      <c r="Z29" s="37"/>
      <c r="AA29" s="29"/>
      <c r="AC29" s="173"/>
      <c r="AD29" s="173"/>
    </row>
    <row r="30" spans="1:30" ht="15">
      <c r="A30" s="264" t="s">
        <v>113</v>
      </c>
      <c r="B30" s="44">
        <v>1918.5</v>
      </c>
      <c r="C30" s="329"/>
      <c r="D30" s="44">
        <v>2603.5</v>
      </c>
      <c r="E30" s="34"/>
      <c r="F30" s="44">
        <v>2528</v>
      </c>
      <c r="G30" s="34"/>
      <c r="H30" s="330">
        <v>1091.2029947251999</v>
      </c>
      <c r="I30" s="37"/>
      <c r="J30" s="330">
        <v>40</v>
      </c>
      <c r="K30" s="37"/>
      <c r="L30" s="44">
        <v>2034.1661451612904</v>
      </c>
      <c r="M30" s="34"/>
      <c r="N30" s="197">
        <v>1659.3855000000001</v>
      </c>
      <c r="O30" s="34"/>
      <c r="P30" s="331" t="s">
        <v>113</v>
      </c>
      <c r="Q30" s="330">
        <v>1042</v>
      </c>
      <c r="R30" s="333"/>
      <c r="S30" s="330">
        <v>1653</v>
      </c>
      <c r="T30" s="37"/>
      <c r="U30" s="330">
        <v>2583</v>
      </c>
      <c r="V30" s="37"/>
      <c r="W30" s="330">
        <v>3531</v>
      </c>
      <c r="X30" s="37"/>
      <c r="Y30" s="330">
        <v>3531</v>
      </c>
      <c r="Z30" s="37"/>
      <c r="AA30" s="29"/>
      <c r="AC30" s="173"/>
      <c r="AD30" s="173"/>
    </row>
    <row r="31" spans="1:30" ht="15">
      <c r="A31" s="264" t="s">
        <v>61</v>
      </c>
      <c r="B31" s="336">
        <v>226.5</v>
      </c>
      <c r="C31" s="329"/>
      <c r="D31" s="44">
        <v>226.5</v>
      </c>
      <c r="E31" s="34"/>
      <c r="F31" s="44">
        <v>151</v>
      </c>
      <c r="G31" s="34"/>
      <c r="H31" s="330">
        <v>99.200272247745445</v>
      </c>
      <c r="I31" s="37"/>
      <c r="J31" s="330">
        <v>73</v>
      </c>
      <c r="K31" s="37"/>
      <c r="L31" s="44">
        <v>331.67958064516131</v>
      </c>
      <c r="M31" s="34"/>
      <c r="N31" s="197">
        <v>295.62400000000002</v>
      </c>
      <c r="O31" s="34"/>
      <c r="P31" s="331" t="s">
        <v>61</v>
      </c>
      <c r="Q31" s="165"/>
      <c r="R31" s="163"/>
      <c r="S31" s="330">
        <v>53</v>
      </c>
      <c r="T31" s="37"/>
      <c r="U31" s="330">
        <v>205</v>
      </c>
      <c r="V31" s="37"/>
      <c r="W31" s="330">
        <v>238</v>
      </c>
      <c r="X31" s="37"/>
      <c r="Y31" s="330">
        <v>238</v>
      </c>
      <c r="Z31" s="37"/>
      <c r="AA31" s="36"/>
      <c r="AB31" s="47"/>
      <c r="AC31" s="173"/>
      <c r="AD31" s="173"/>
    </row>
    <row r="32" spans="1:30" ht="15">
      <c r="A32" s="264" t="s">
        <v>145</v>
      </c>
      <c r="B32" s="336">
        <v>856.6</v>
      </c>
      <c r="C32" s="329"/>
      <c r="D32" s="44">
        <v>1118.8</v>
      </c>
      <c r="E32" s="48"/>
      <c r="F32" s="44">
        <v>1149</v>
      </c>
      <c r="G32" s="48"/>
      <c r="H32" s="330">
        <v>1.8717032499574613</v>
      </c>
      <c r="I32" s="337"/>
      <c r="J32" s="330">
        <v>2</v>
      </c>
      <c r="K32" s="37"/>
      <c r="L32" s="44">
        <v>973.96309677419345</v>
      </c>
      <c r="M32" s="34"/>
      <c r="N32" s="197">
        <v>756.60799999999995</v>
      </c>
      <c r="O32" s="34"/>
      <c r="P32" s="331" t="s">
        <v>145</v>
      </c>
      <c r="Q32" s="165"/>
      <c r="R32" s="163"/>
      <c r="S32" s="338">
        <v>35</v>
      </c>
      <c r="T32" s="337"/>
      <c r="U32" s="338">
        <v>314</v>
      </c>
      <c r="V32" s="37"/>
      <c r="W32" s="330">
        <v>524</v>
      </c>
      <c r="X32" s="37"/>
      <c r="Y32" s="330">
        <v>524</v>
      </c>
      <c r="Z32" s="37"/>
      <c r="AA32" s="29" t="s">
        <v>580</v>
      </c>
      <c r="AC32" s="173"/>
      <c r="AD32" s="173"/>
    </row>
    <row r="33" spans="1:30" ht="15">
      <c r="A33" s="264" t="s">
        <v>146</v>
      </c>
      <c r="B33" s="44">
        <v>1239.5999999999999</v>
      </c>
      <c r="C33" s="329"/>
      <c r="D33" s="44">
        <v>1239.5999999999999</v>
      </c>
      <c r="E33" s="34"/>
      <c r="F33" s="44">
        <v>1300</v>
      </c>
      <c r="G33" s="34"/>
      <c r="H33" s="330">
        <v>1.8717032499574613</v>
      </c>
      <c r="I33" s="37"/>
      <c r="J33" s="330">
        <v>0</v>
      </c>
      <c r="K33" s="37"/>
      <c r="L33" s="44">
        <v>1203.4929032258065</v>
      </c>
      <c r="M33" s="34"/>
      <c r="N33" s="197">
        <v>1196.02</v>
      </c>
      <c r="O33" s="34"/>
      <c r="P33" s="331" t="s">
        <v>146</v>
      </c>
      <c r="Q33" s="165"/>
      <c r="R33" s="163"/>
      <c r="S33" s="330">
        <v>838</v>
      </c>
      <c r="T33" s="37"/>
      <c r="U33" s="330">
        <v>940</v>
      </c>
      <c r="V33" s="37"/>
      <c r="W33" s="330">
        <v>628</v>
      </c>
      <c r="X33" s="37"/>
      <c r="Y33" s="330">
        <v>628</v>
      </c>
      <c r="Z33" s="37"/>
      <c r="AA33" s="36">
        <f>SUM(W26:W33)</f>
        <v>15607</v>
      </c>
      <c r="AB33" s="47">
        <f>SUM(N26:N33)</f>
        <v>7962.1924999999992</v>
      </c>
      <c r="AC33" s="173"/>
      <c r="AD33" s="173"/>
    </row>
    <row r="34" spans="1:30" ht="15">
      <c r="A34" s="264" t="s">
        <v>489</v>
      </c>
      <c r="B34" s="167"/>
      <c r="C34" s="269"/>
      <c r="D34" s="167"/>
      <c r="E34" s="162"/>
      <c r="F34" s="44">
        <v>299.68508064516118</v>
      </c>
      <c r="G34" s="34"/>
      <c r="H34" s="330">
        <v>0</v>
      </c>
      <c r="I34" s="37"/>
      <c r="J34" s="330">
        <v>1</v>
      </c>
      <c r="K34" s="37"/>
      <c r="L34" s="44">
        <v>299.82564516129037</v>
      </c>
      <c r="M34" s="34"/>
      <c r="N34" s="339">
        <v>543.37</v>
      </c>
      <c r="O34" s="34"/>
      <c r="P34" s="331" t="s">
        <v>489</v>
      </c>
      <c r="Q34" s="165"/>
      <c r="R34" s="163"/>
      <c r="S34" s="165"/>
      <c r="T34" s="163"/>
      <c r="U34" s="165"/>
      <c r="V34" s="163"/>
      <c r="W34" s="330">
        <v>3054</v>
      </c>
      <c r="X34" s="37"/>
      <c r="Y34" s="330">
        <v>3054</v>
      </c>
      <c r="Z34" s="37"/>
      <c r="AA34" s="29"/>
      <c r="AC34" s="173"/>
      <c r="AD34" s="173"/>
    </row>
    <row r="35" spans="1:30" ht="15">
      <c r="A35" s="40" t="s">
        <v>581</v>
      </c>
      <c r="B35" s="167"/>
      <c r="C35" s="269"/>
      <c r="D35" s="167"/>
      <c r="E35" s="162"/>
      <c r="F35" s="44">
        <v>0</v>
      </c>
      <c r="G35" s="34"/>
      <c r="H35" s="330">
        <v>0</v>
      </c>
      <c r="I35" s="37"/>
      <c r="J35" s="330">
        <v>262</v>
      </c>
      <c r="K35" s="37"/>
      <c r="L35" s="44">
        <v>0</v>
      </c>
      <c r="M35" s="34"/>
      <c r="N35" s="339">
        <v>28.844000000000001</v>
      </c>
      <c r="O35" s="34"/>
      <c r="P35" s="331" t="s">
        <v>581</v>
      </c>
      <c r="Q35" s="165"/>
      <c r="R35" s="163"/>
      <c r="S35" s="165"/>
      <c r="T35" s="163"/>
      <c r="U35" s="165"/>
      <c r="V35" s="163"/>
      <c r="W35" s="330">
        <v>507</v>
      </c>
      <c r="X35" s="37"/>
      <c r="Y35" s="330">
        <v>507</v>
      </c>
      <c r="Z35" s="37"/>
      <c r="AA35" s="29"/>
      <c r="AC35" s="173"/>
      <c r="AD35" s="173"/>
    </row>
    <row r="36" spans="1:30" ht="15">
      <c r="A36" s="40" t="s">
        <v>582</v>
      </c>
      <c r="B36" s="167"/>
      <c r="C36" s="269"/>
      <c r="D36" s="167"/>
      <c r="E36" s="162"/>
      <c r="F36" s="44">
        <v>441.11658064516132</v>
      </c>
      <c r="G36" s="34"/>
      <c r="H36" s="330">
        <v>0</v>
      </c>
      <c r="I36" s="37"/>
      <c r="J36" s="330">
        <v>1205</v>
      </c>
      <c r="K36" s="37"/>
      <c r="L36" s="44">
        <v>0</v>
      </c>
      <c r="M36" s="34"/>
      <c r="N36" s="339">
        <v>734.79499999999996</v>
      </c>
      <c r="O36" s="34"/>
      <c r="P36" s="331" t="s">
        <v>582</v>
      </c>
      <c r="Q36" s="165"/>
      <c r="R36" s="163"/>
      <c r="S36" s="165"/>
      <c r="T36" s="163"/>
      <c r="U36" s="165"/>
      <c r="V36" s="163"/>
      <c r="W36" s="330">
        <v>1921</v>
      </c>
      <c r="X36" s="37"/>
      <c r="Y36" s="330">
        <v>1921</v>
      </c>
      <c r="Z36" s="37"/>
      <c r="AA36" s="29"/>
      <c r="AC36" s="173"/>
      <c r="AD36" s="173"/>
    </row>
    <row r="37" spans="1:30" ht="15">
      <c r="A37" s="40" t="s">
        <v>583</v>
      </c>
      <c r="B37" s="514">
        <v>0</v>
      </c>
      <c r="C37" s="515"/>
      <c r="D37" s="514">
        <v>0</v>
      </c>
      <c r="E37" s="515"/>
      <c r="F37" s="44">
        <v>85</v>
      </c>
      <c r="G37" s="34"/>
      <c r="H37" s="330">
        <v>172.19669899608644</v>
      </c>
      <c r="I37" s="37"/>
      <c r="J37" s="330">
        <v>219</v>
      </c>
      <c r="K37" s="37"/>
      <c r="L37" s="44">
        <v>85</v>
      </c>
      <c r="M37" s="34"/>
      <c r="N37" s="339">
        <v>102.64100000000001</v>
      </c>
      <c r="O37" s="34"/>
      <c r="P37" s="331" t="s">
        <v>583</v>
      </c>
      <c r="Q37" s="165"/>
      <c r="R37" s="163"/>
      <c r="S37" s="165"/>
      <c r="T37" s="163"/>
      <c r="U37" s="165"/>
      <c r="V37" s="163"/>
      <c r="W37" s="330">
        <v>924</v>
      </c>
      <c r="X37" s="37"/>
      <c r="Y37" s="330">
        <v>924</v>
      </c>
      <c r="Z37" s="37"/>
      <c r="AA37" s="29"/>
      <c r="AC37" s="173"/>
      <c r="AD37" s="173"/>
    </row>
    <row r="38" spans="1:30" ht="15">
      <c r="A38" s="40" t="s">
        <v>584</v>
      </c>
      <c r="B38" s="167"/>
      <c r="C38" s="269"/>
      <c r="D38" s="167"/>
      <c r="E38" s="162"/>
      <c r="F38" s="44">
        <v>0</v>
      </c>
      <c r="G38" s="34"/>
      <c r="H38" s="330">
        <v>0</v>
      </c>
      <c r="I38" s="37"/>
      <c r="J38" s="330">
        <v>0</v>
      </c>
      <c r="K38" s="37"/>
      <c r="L38" s="44">
        <v>0</v>
      </c>
      <c r="M38" s="34"/>
      <c r="N38" s="339">
        <v>21.37</v>
      </c>
      <c r="O38" s="34"/>
      <c r="P38" s="331" t="s">
        <v>584</v>
      </c>
      <c r="Q38" s="165"/>
      <c r="R38" s="163"/>
      <c r="S38" s="165"/>
      <c r="T38" s="163"/>
      <c r="U38" s="165"/>
      <c r="V38" s="163"/>
      <c r="W38" s="330">
        <v>125</v>
      </c>
      <c r="X38" s="37"/>
      <c r="Y38" s="330">
        <v>125</v>
      </c>
      <c r="Z38" s="37"/>
      <c r="AA38" s="29" t="s">
        <v>585</v>
      </c>
      <c r="AC38" s="173"/>
      <c r="AD38" s="173"/>
    </row>
    <row r="39" spans="1:30" ht="15">
      <c r="A39" s="199" t="s">
        <v>586</v>
      </c>
      <c r="B39" s="167"/>
      <c r="C39" s="269"/>
      <c r="D39" s="167"/>
      <c r="E39" s="162"/>
      <c r="F39" s="44">
        <v>1</v>
      </c>
      <c r="G39" s="34"/>
      <c r="H39" s="330">
        <v>0</v>
      </c>
      <c r="I39" s="37"/>
      <c r="J39" s="330">
        <v>430</v>
      </c>
      <c r="K39" s="37"/>
      <c r="L39" s="44">
        <v>1</v>
      </c>
      <c r="M39" s="34"/>
      <c r="N39" s="340">
        <v>386.72399999999999</v>
      </c>
      <c r="O39" s="34"/>
      <c r="P39" s="331" t="s">
        <v>586</v>
      </c>
      <c r="Q39" s="165"/>
      <c r="R39" s="163"/>
      <c r="S39" s="165"/>
      <c r="T39" s="163"/>
      <c r="U39" s="165"/>
      <c r="V39" s="163"/>
      <c r="W39" s="330">
        <v>449</v>
      </c>
      <c r="X39" s="37"/>
      <c r="Y39" s="330">
        <v>449</v>
      </c>
      <c r="Z39" s="37"/>
      <c r="AA39" s="36">
        <f>SUM(W34:W39)</f>
        <v>6980</v>
      </c>
      <c r="AB39" s="47">
        <f>SUM(N34:N39)</f>
        <v>1817.7439999999999</v>
      </c>
      <c r="AC39" s="173"/>
      <c r="AD39" s="173"/>
    </row>
    <row r="40" spans="1:30" ht="15">
      <c r="A40" s="40" t="s">
        <v>305</v>
      </c>
      <c r="B40" s="44">
        <v>0</v>
      </c>
      <c r="C40" s="329"/>
      <c r="D40" s="44">
        <v>0</v>
      </c>
      <c r="E40" s="34"/>
      <c r="F40" s="45">
        <v>0</v>
      </c>
      <c r="G40" s="34"/>
      <c r="H40" s="330">
        <v>0</v>
      </c>
      <c r="I40" s="37"/>
      <c r="J40" s="330">
        <v>180</v>
      </c>
      <c r="K40" s="37"/>
      <c r="L40" s="44">
        <v>0</v>
      </c>
      <c r="M40" s="34"/>
      <c r="N40" s="197">
        <v>75.34</v>
      </c>
      <c r="O40" s="34"/>
      <c r="P40" s="331" t="s">
        <v>305</v>
      </c>
      <c r="Q40" s="167"/>
      <c r="R40" s="162"/>
      <c r="S40" s="165"/>
      <c r="T40" s="163"/>
      <c r="U40" s="165"/>
      <c r="V40" s="163"/>
      <c r="W40" s="330">
        <v>170</v>
      </c>
      <c r="X40" s="37"/>
      <c r="Y40" s="330">
        <v>170</v>
      </c>
      <c r="Z40" s="37"/>
      <c r="AC40" s="173"/>
      <c r="AD40" s="173"/>
    </row>
    <row r="41" spans="1:30" ht="15">
      <c r="A41" s="40" t="s">
        <v>312</v>
      </c>
      <c r="B41" s="44">
        <v>0</v>
      </c>
      <c r="C41" s="329"/>
      <c r="D41" s="44">
        <v>0</v>
      </c>
      <c r="E41" s="34"/>
      <c r="F41" s="45">
        <v>0</v>
      </c>
      <c r="G41" s="34"/>
      <c r="H41" s="330">
        <v>0</v>
      </c>
      <c r="I41" s="37"/>
      <c r="J41" s="330">
        <v>691</v>
      </c>
      <c r="K41" s="37"/>
      <c r="L41" s="44">
        <v>0</v>
      </c>
      <c r="M41" s="34"/>
      <c r="N41" s="197">
        <v>276.74400000000003</v>
      </c>
      <c r="O41" s="34"/>
      <c r="P41" s="331" t="s">
        <v>312</v>
      </c>
      <c r="Q41" s="167"/>
      <c r="R41" s="162"/>
      <c r="S41" s="165"/>
      <c r="T41" s="163"/>
      <c r="U41" s="166"/>
      <c r="V41" s="164"/>
      <c r="W41" s="330">
        <v>769</v>
      </c>
      <c r="X41" s="37"/>
      <c r="Y41" s="330">
        <v>769</v>
      </c>
      <c r="Z41" s="37"/>
      <c r="AA41" s="29"/>
      <c r="AC41" s="173"/>
      <c r="AD41" s="173"/>
    </row>
    <row r="42" spans="1:30" ht="15">
      <c r="A42" s="40" t="s">
        <v>237</v>
      </c>
      <c r="B42" s="44">
        <v>0</v>
      </c>
      <c r="C42" s="329"/>
      <c r="D42" s="44">
        <v>0</v>
      </c>
      <c r="E42" s="34"/>
      <c r="F42" s="45">
        <v>0</v>
      </c>
      <c r="G42" s="34"/>
      <c r="H42" s="330">
        <v>0</v>
      </c>
      <c r="I42" s="37"/>
      <c r="J42" s="330">
        <v>94</v>
      </c>
      <c r="K42" s="37"/>
      <c r="L42" s="44">
        <v>0</v>
      </c>
      <c r="M42" s="34"/>
      <c r="N42" s="197">
        <v>51.783000000000001</v>
      </c>
      <c r="O42" s="34"/>
      <c r="P42" s="331" t="s">
        <v>237</v>
      </c>
      <c r="Q42" s="167"/>
      <c r="R42" s="162"/>
      <c r="S42" s="165"/>
      <c r="T42" s="163"/>
      <c r="U42" s="330">
        <v>0</v>
      </c>
      <c r="V42" s="37"/>
      <c r="W42" s="330">
        <v>91</v>
      </c>
      <c r="X42" s="37"/>
      <c r="Y42" s="330">
        <v>91</v>
      </c>
      <c r="Z42" s="37"/>
      <c r="AA42" s="29" t="s">
        <v>587</v>
      </c>
      <c r="AC42" s="173"/>
      <c r="AD42" s="173"/>
    </row>
    <row r="43" spans="1:30" ht="15">
      <c r="A43" s="40" t="s">
        <v>331</v>
      </c>
      <c r="B43" s="44">
        <v>0</v>
      </c>
      <c r="C43" s="329"/>
      <c r="D43" s="44">
        <v>0</v>
      </c>
      <c r="E43" s="34"/>
      <c r="F43" s="45">
        <v>0</v>
      </c>
      <c r="G43" s="34"/>
      <c r="H43" s="330">
        <v>0</v>
      </c>
      <c r="I43" s="37"/>
      <c r="J43" s="330">
        <v>32</v>
      </c>
      <c r="K43" s="37"/>
      <c r="L43" s="44">
        <v>0</v>
      </c>
      <c r="M43" s="34"/>
      <c r="N43" s="197">
        <v>123.72</v>
      </c>
      <c r="O43" s="34"/>
      <c r="P43" s="331" t="s">
        <v>331</v>
      </c>
      <c r="Q43" s="167"/>
      <c r="R43" s="162"/>
      <c r="S43" s="165"/>
      <c r="T43" s="163"/>
      <c r="U43" s="330">
        <v>0</v>
      </c>
      <c r="V43" s="37"/>
      <c r="W43" s="330">
        <v>73</v>
      </c>
      <c r="X43" s="37"/>
      <c r="Y43" s="330">
        <v>73</v>
      </c>
      <c r="Z43" s="37"/>
      <c r="AA43" s="36">
        <f>SUM(W40:W43)</f>
        <v>1103</v>
      </c>
      <c r="AB43" s="47">
        <f>SUM(N40:N43)</f>
        <v>527.5870000000001</v>
      </c>
      <c r="AC43" s="173"/>
      <c r="AD43" s="173"/>
    </row>
    <row r="44" spans="1:30" ht="15">
      <c r="A44" s="40" t="s">
        <v>337</v>
      </c>
      <c r="B44" s="44">
        <v>0</v>
      </c>
      <c r="C44" s="329"/>
      <c r="D44" s="44">
        <v>0</v>
      </c>
      <c r="E44" s="34"/>
      <c r="F44" s="45">
        <v>0</v>
      </c>
      <c r="G44" s="34"/>
      <c r="H44" s="330">
        <v>0</v>
      </c>
      <c r="I44" s="37"/>
      <c r="J44" s="330">
        <v>45</v>
      </c>
      <c r="K44" s="37"/>
      <c r="L44" s="44">
        <v>36.9</v>
      </c>
      <c r="M44" s="34"/>
      <c r="N44" s="197">
        <v>15.077999999999999</v>
      </c>
      <c r="O44" s="34"/>
      <c r="P44" s="331" t="s">
        <v>337</v>
      </c>
      <c r="Q44" s="167"/>
      <c r="R44" s="162"/>
      <c r="S44" s="165"/>
      <c r="T44" s="163"/>
      <c r="U44" s="165"/>
      <c r="V44" s="163"/>
      <c r="W44" s="330">
        <v>54</v>
      </c>
      <c r="X44" s="37"/>
      <c r="Y44" s="330">
        <v>54</v>
      </c>
      <c r="Z44" s="37"/>
      <c r="AA44" s="36"/>
      <c r="AB44" s="47"/>
      <c r="AC44" s="173"/>
      <c r="AD44" s="173"/>
    </row>
    <row r="45" spans="1:30" ht="15">
      <c r="A45" s="40" t="s">
        <v>128</v>
      </c>
      <c r="B45" s="44">
        <v>0</v>
      </c>
      <c r="C45" s="329"/>
      <c r="D45" s="44">
        <v>0</v>
      </c>
      <c r="E45" s="34"/>
      <c r="F45" s="45">
        <v>0</v>
      </c>
      <c r="G45" s="34"/>
      <c r="H45" s="330">
        <v>0</v>
      </c>
      <c r="I45" s="37"/>
      <c r="J45" s="330">
        <v>33</v>
      </c>
      <c r="K45" s="37"/>
      <c r="L45" s="44">
        <v>120</v>
      </c>
      <c r="M45" s="34"/>
      <c r="N45" s="197">
        <v>14.2</v>
      </c>
      <c r="O45" s="34"/>
      <c r="P45" s="331" t="s">
        <v>128</v>
      </c>
      <c r="Q45" s="167"/>
      <c r="R45" s="162"/>
      <c r="S45" s="165"/>
      <c r="T45" s="163"/>
      <c r="U45" s="166"/>
      <c r="V45" s="164"/>
      <c r="W45" s="330">
        <v>27</v>
      </c>
      <c r="X45" s="37"/>
      <c r="Y45" s="330">
        <v>27</v>
      </c>
      <c r="Z45" s="37"/>
      <c r="AA45" s="36"/>
      <c r="AB45" s="47"/>
      <c r="AC45" s="173"/>
      <c r="AD45" s="173"/>
    </row>
    <row r="46" spans="1:30" ht="15">
      <c r="A46" s="40" t="s">
        <v>132</v>
      </c>
      <c r="B46" s="44">
        <v>0</v>
      </c>
      <c r="C46" s="329"/>
      <c r="D46" s="44">
        <v>0</v>
      </c>
      <c r="E46" s="34"/>
      <c r="F46" s="45">
        <v>0</v>
      </c>
      <c r="G46" s="34"/>
      <c r="H46" s="330">
        <v>0</v>
      </c>
      <c r="I46" s="37"/>
      <c r="J46" s="330">
        <v>704</v>
      </c>
      <c r="K46" s="37"/>
      <c r="L46" s="44">
        <v>0</v>
      </c>
      <c r="M46" s="34"/>
      <c r="N46" s="197">
        <v>205.01599999999999</v>
      </c>
      <c r="O46" s="34"/>
      <c r="P46" s="331" t="s">
        <v>132</v>
      </c>
      <c r="Q46" s="167"/>
      <c r="R46" s="162"/>
      <c r="S46" s="165"/>
      <c r="T46" s="163"/>
      <c r="U46" s="338">
        <v>0</v>
      </c>
      <c r="V46" s="337"/>
      <c r="W46" s="330">
        <v>239</v>
      </c>
      <c r="X46" s="37"/>
      <c r="Y46" s="330">
        <v>239</v>
      </c>
      <c r="Z46" s="37"/>
      <c r="AA46" s="29" t="s">
        <v>588</v>
      </c>
      <c r="AC46" s="173"/>
      <c r="AD46" s="173"/>
    </row>
    <row r="47" spans="1:30" ht="15">
      <c r="A47" s="40" t="s">
        <v>133</v>
      </c>
      <c r="B47" s="44">
        <v>0</v>
      </c>
      <c r="C47" s="329"/>
      <c r="D47" s="44">
        <v>0</v>
      </c>
      <c r="E47" s="34"/>
      <c r="F47" s="44">
        <v>0</v>
      </c>
      <c r="G47" s="34"/>
      <c r="H47" s="330">
        <v>0</v>
      </c>
      <c r="I47" s="37"/>
      <c r="J47" s="330">
        <v>245</v>
      </c>
      <c r="K47" s="37"/>
      <c r="L47" s="44">
        <v>0</v>
      </c>
      <c r="M47" s="34"/>
      <c r="N47" s="197">
        <v>151.94499999999999</v>
      </c>
      <c r="O47" s="34"/>
      <c r="P47" s="331" t="s">
        <v>133</v>
      </c>
      <c r="Q47" s="167"/>
      <c r="R47" s="162"/>
      <c r="S47" s="165"/>
      <c r="T47" s="163"/>
      <c r="U47" s="330">
        <v>0</v>
      </c>
      <c r="V47" s="37"/>
      <c r="W47" s="330">
        <v>43</v>
      </c>
      <c r="X47" s="37"/>
      <c r="Y47" s="330">
        <v>43</v>
      </c>
      <c r="Z47" s="37"/>
      <c r="AA47" s="36">
        <f>SUM(W44:W47)</f>
        <v>363</v>
      </c>
      <c r="AB47" s="47">
        <f>SUM(N44:N47)</f>
        <v>386.23899999999998</v>
      </c>
      <c r="AC47" s="173"/>
      <c r="AD47" s="173"/>
    </row>
    <row r="48" spans="1:30" ht="15">
      <c r="A48" s="40" t="s">
        <v>589</v>
      </c>
      <c r="B48" s="44">
        <v>0</v>
      </c>
      <c r="C48" s="329"/>
      <c r="D48" s="44">
        <v>0</v>
      </c>
      <c r="E48" s="46"/>
      <c r="F48" s="44">
        <v>0</v>
      </c>
      <c r="G48" s="46"/>
      <c r="H48" s="330">
        <v>1091.2029947251999</v>
      </c>
      <c r="I48" s="37"/>
      <c r="J48" s="330">
        <v>842</v>
      </c>
      <c r="K48" s="37"/>
      <c r="L48" s="44">
        <v>194.35774193548386</v>
      </c>
      <c r="M48" s="34"/>
      <c r="N48" s="197">
        <v>393.44399999999996</v>
      </c>
      <c r="O48" s="34"/>
      <c r="P48" s="331" t="s">
        <v>226</v>
      </c>
      <c r="Q48" s="167"/>
      <c r="R48" s="162"/>
      <c r="S48" s="165"/>
      <c r="T48" s="163"/>
      <c r="U48" s="330">
        <v>0</v>
      </c>
      <c r="V48" s="37"/>
      <c r="W48" s="330">
        <v>997</v>
      </c>
      <c r="X48" s="37"/>
      <c r="Y48" s="330">
        <v>997</v>
      </c>
      <c r="Z48" s="37"/>
      <c r="AC48" s="173"/>
      <c r="AD48" s="173"/>
    </row>
    <row r="49" spans="1:30" ht="15">
      <c r="A49" s="40" t="s">
        <v>590</v>
      </c>
      <c r="B49" s="44">
        <v>0</v>
      </c>
      <c r="C49" s="329"/>
      <c r="D49" s="44">
        <v>0</v>
      </c>
      <c r="E49" s="34"/>
      <c r="F49" s="44">
        <v>0</v>
      </c>
      <c r="G49" s="34"/>
      <c r="H49" s="330">
        <v>275.1403777437468</v>
      </c>
      <c r="I49" s="37"/>
      <c r="J49" s="330">
        <v>41</v>
      </c>
      <c r="K49" s="37"/>
      <c r="L49" s="44">
        <v>24.324129032258067</v>
      </c>
      <c r="M49" s="34"/>
      <c r="N49" s="197">
        <v>111.58799999999999</v>
      </c>
      <c r="O49" s="34"/>
      <c r="P49" s="331" t="s">
        <v>239</v>
      </c>
      <c r="Q49" s="167"/>
      <c r="R49" s="162"/>
      <c r="S49" s="165"/>
      <c r="T49" s="162"/>
      <c r="U49" s="330">
        <v>0</v>
      </c>
      <c r="V49" s="37"/>
      <c r="W49" s="330">
        <v>241</v>
      </c>
      <c r="X49" s="37"/>
      <c r="Y49" s="330">
        <v>241</v>
      </c>
      <c r="Z49" s="37"/>
      <c r="AA49" s="29"/>
      <c r="AC49" s="173"/>
      <c r="AD49" s="173"/>
    </row>
    <row r="50" spans="1:30" ht="15">
      <c r="A50" s="40" t="s">
        <v>591</v>
      </c>
      <c r="B50" s="44">
        <v>0</v>
      </c>
      <c r="C50" s="329"/>
      <c r="D50" s="44">
        <v>0</v>
      </c>
      <c r="E50" s="34"/>
      <c r="F50" s="44">
        <v>0</v>
      </c>
      <c r="G50" s="34"/>
      <c r="H50" s="330">
        <v>117.91730474732006</v>
      </c>
      <c r="I50" s="37"/>
      <c r="J50" s="330">
        <v>19</v>
      </c>
      <c r="K50" s="37"/>
      <c r="L50" s="44">
        <v>260.50019354838713</v>
      </c>
      <c r="M50" s="34"/>
      <c r="N50" s="197">
        <v>295.61</v>
      </c>
      <c r="O50" s="34"/>
      <c r="P50" s="331" t="s">
        <v>243</v>
      </c>
      <c r="Q50" s="167"/>
      <c r="R50" s="162"/>
      <c r="S50" s="165"/>
      <c r="T50" s="163"/>
      <c r="U50" s="330">
        <v>0</v>
      </c>
      <c r="V50" s="37"/>
      <c r="W50" s="330">
        <v>826</v>
      </c>
      <c r="X50" s="37"/>
      <c r="Y50" s="330">
        <v>826</v>
      </c>
      <c r="Z50" s="37"/>
      <c r="AA50" s="29"/>
      <c r="AC50" s="173"/>
      <c r="AD50" s="173"/>
    </row>
    <row r="51" spans="1:30" ht="15">
      <c r="A51" s="40" t="s">
        <v>592</v>
      </c>
      <c r="B51" s="44">
        <v>0</v>
      </c>
      <c r="C51" s="329"/>
      <c r="D51" s="44">
        <v>0</v>
      </c>
      <c r="E51" s="34"/>
      <c r="F51" s="44">
        <v>0</v>
      </c>
      <c r="G51" s="34"/>
      <c r="H51" s="330">
        <v>0</v>
      </c>
      <c r="I51" s="37"/>
      <c r="J51" s="330">
        <v>459</v>
      </c>
      <c r="K51" s="37"/>
      <c r="L51" s="44">
        <v>0</v>
      </c>
      <c r="M51" s="34"/>
      <c r="N51" s="197">
        <v>397.98499999999996</v>
      </c>
      <c r="O51" s="34"/>
      <c r="P51" s="331" t="s">
        <v>593</v>
      </c>
      <c r="Q51" s="167"/>
      <c r="R51" s="162"/>
      <c r="S51" s="165"/>
      <c r="T51" s="162"/>
      <c r="U51" s="165"/>
      <c r="V51" s="163"/>
      <c r="W51" s="330">
        <v>54</v>
      </c>
      <c r="X51" s="37"/>
      <c r="Y51" s="330">
        <v>54</v>
      </c>
      <c r="Z51" s="37"/>
      <c r="AA51" s="29" t="s">
        <v>594</v>
      </c>
      <c r="AC51" s="173"/>
      <c r="AD51" s="173"/>
    </row>
    <row r="52" spans="1:30" ht="15">
      <c r="A52" s="40" t="s">
        <v>595</v>
      </c>
      <c r="B52" s="44">
        <v>0</v>
      </c>
      <c r="C52" s="329"/>
      <c r="D52" s="44">
        <v>0</v>
      </c>
      <c r="E52" s="34"/>
      <c r="F52" s="44">
        <v>0</v>
      </c>
      <c r="G52" s="34"/>
      <c r="H52" s="330">
        <v>0</v>
      </c>
      <c r="I52" s="37"/>
      <c r="J52" s="330">
        <v>51</v>
      </c>
      <c r="K52" s="37"/>
      <c r="L52" s="336">
        <v>0</v>
      </c>
      <c r="M52" s="34"/>
      <c r="N52" s="343">
        <v>99.4</v>
      </c>
      <c r="O52" s="48"/>
      <c r="P52" s="331" t="s">
        <v>596</v>
      </c>
      <c r="Q52" s="167"/>
      <c r="R52" s="162"/>
      <c r="S52" s="165"/>
      <c r="T52" s="163"/>
      <c r="U52" s="166"/>
      <c r="V52" s="164"/>
      <c r="W52" s="330">
        <v>228</v>
      </c>
      <c r="X52" s="37"/>
      <c r="Y52" s="330">
        <v>228</v>
      </c>
      <c r="Z52" s="37"/>
      <c r="AA52" s="36">
        <f>SUM(W48:W52)</f>
        <v>2346</v>
      </c>
      <c r="AB52" s="47">
        <f>SUM(N48:N52)</f>
        <v>1298.027</v>
      </c>
      <c r="AC52" s="173"/>
      <c r="AD52" s="173"/>
    </row>
    <row r="53" spans="1:30" ht="15">
      <c r="A53" s="40" t="s">
        <v>597</v>
      </c>
      <c r="B53" s="165"/>
      <c r="C53" s="163"/>
      <c r="D53" s="165"/>
      <c r="E53" s="163"/>
      <c r="F53" s="165"/>
      <c r="G53" s="163"/>
      <c r="H53" s="330">
        <v>116.0456014973626</v>
      </c>
      <c r="I53" s="37"/>
      <c r="J53" s="330">
        <v>0</v>
      </c>
      <c r="K53" s="37"/>
      <c r="L53" s="44">
        <v>633.66696774193542</v>
      </c>
      <c r="M53" s="34"/>
      <c r="N53" s="197">
        <v>489.27600000000001</v>
      </c>
      <c r="O53" s="34"/>
      <c r="P53" s="331" t="s">
        <v>139</v>
      </c>
      <c r="Q53" s="165"/>
      <c r="R53" s="163"/>
      <c r="S53" s="330">
        <v>1229</v>
      </c>
      <c r="T53" s="37"/>
      <c r="U53" s="330">
        <v>1155</v>
      </c>
      <c r="V53" s="37"/>
      <c r="W53" s="330">
        <v>1450</v>
      </c>
      <c r="X53" s="37"/>
      <c r="Y53" s="330">
        <v>1450</v>
      </c>
      <c r="Z53" s="37"/>
      <c r="AA53" s="29"/>
      <c r="AC53" s="173"/>
      <c r="AD53" s="173"/>
    </row>
    <row r="54" spans="1:30" ht="15.75" thickBot="1">
      <c r="A54" s="40" t="s">
        <v>598</v>
      </c>
      <c r="B54" s="344"/>
      <c r="C54" s="172"/>
      <c r="D54" s="344"/>
      <c r="E54" s="172"/>
      <c r="F54" s="344"/>
      <c r="G54" s="172"/>
      <c r="H54" s="344"/>
      <c r="I54" s="172"/>
      <c r="J54" s="344"/>
      <c r="K54" s="172"/>
      <c r="L54" s="44"/>
      <c r="M54" s="34"/>
      <c r="N54" s="197"/>
      <c r="O54" s="34"/>
      <c r="P54" s="331" t="s">
        <v>136</v>
      </c>
      <c r="Q54" s="165"/>
      <c r="R54" s="163"/>
      <c r="S54" s="335">
        <v>466</v>
      </c>
      <c r="T54" s="37"/>
      <c r="U54" s="335">
        <v>530</v>
      </c>
      <c r="V54" s="37"/>
      <c r="W54" s="330">
        <v>1024</v>
      </c>
      <c r="X54" s="37"/>
      <c r="Y54" s="330">
        <v>1024</v>
      </c>
      <c r="Z54" s="37"/>
      <c r="AA54" s="36"/>
      <c r="AB54" s="47"/>
      <c r="AC54" s="173"/>
      <c r="AD54" s="173"/>
    </row>
    <row r="55" spans="1:30" ht="16.5" thickTop="1" thickBot="1">
      <c r="A55" s="49" t="s">
        <v>599</v>
      </c>
      <c r="B55" s="50">
        <f>SUM(B18:B54)</f>
        <v>9930</v>
      </c>
      <c r="C55" s="51">
        <f t="shared" ref="C55:O55" si="1">SUM(C18:C54)</f>
        <v>0</v>
      </c>
      <c r="D55" s="50">
        <f t="shared" si="1"/>
        <v>12535.1</v>
      </c>
      <c r="E55" s="51">
        <f t="shared" si="1"/>
        <v>0</v>
      </c>
      <c r="F55" s="50">
        <f t="shared" si="1"/>
        <v>12610.451661290321</v>
      </c>
      <c r="G55" s="51">
        <f t="shared" si="1"/>
        <v>0</v>
      </c>
      <c r="H55" s="52">
        <f>SUM(H18:H54)</f>
        <v>10999.999999999996</v>
      </c>
      <c r="I55" s="53">
        <f t="shared" si="1"/>
        <v>0</v>
      </c>
      <c r="J55" s="52">
        <f t="shared" si="1"/>
        <v>6989</v>
      </c>
      <c r="K55" s="53">
        <f t="shared" si="1"/>
        <v>0</v>
      </c>
      <c r="L55" s="50">
        <f t="shared" si="1"/>
        <v>15638.440306451615</v>
      </c>
      <c r="M55" s="51">
        <f t="shared" si="1"/>
        <v>0</v>
      </c>
      <c r="N55" s="50">
        <f>SUM(N18:N54)</f>
        <v>17047.000500000002</v>
      </c>
      <c r="O55" s="51">
        <f t="shared" si="1"/>
        <v>0</v>
      </c>
      <c r="P55" s="331" t="s">
        <v>134</v>
      </c>
      <c r="Q55" s="165"/>
      <c r="R55" s="163"/>
      <c r="S55" s="335">
        <v>0</v>
      </c>
      <c r="T55" s="37"/>
      <c r="U55" s="335">
        <v>65</v>
      </c>
      <c r="V55" s="37"/>
      <c r="W55" s="330">
        <v>624</v>
      </c>
      <c r="X55" s="37"/>
      <c r="Y55" s="330">
        <v>624</v>
      </c>
      <c r="Z55" s="37"/>
      <c r="AC55" s="173"/>
      <c r="AD55" s="173"/>
    </row>
    <row r="56" spans="1:30" ht="15.75" thickTop="1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36"/>
      <c r="L56" s="29"/>
      <c r="M56" s="29"/>
      <c r="N56" s="345"/>
      <c r="O56" s="345"/>
      <c r="P56" s="331" t="s">
        <v>600</v>
      </c>
      <c r="Q56" s="165"/>
      <c r="R56" s="163"/>
      <c r="S56" s="171"/>
      <c r="T56" s="170"/>
      <c r="U56" s="171"/>
      <c r="V56" s="170"/>
      <c r="W56" s="330">
        <v>206</v>
      </c>
      <c r="X56" s="37"/>
      <c r="Y56" s="330">
        <v>206</v>
      </c>
      <c r="Z56" s="37"/>
      <c r="AA56" s="29" t="s">
        <v>601</v>
      </c>
      <c r="AC56" s="173"/>
      <c r="AD56" s="173"/>
    </row>
    <row r="57" spans="1:30" ht="15">
      <c r="A57" s="29"/>
      <c r="B57" s="29"/>
      <c r="C57" s="29"/>
      <c r="D57" s="54"/>
      <c r="E57" s="54"/>
      <c r="F57" s="29"/>
      <c r="G57" s="29"/>
      <c r="H57" s="29"/>
      <c r="I57" s="29"/>
      <c r="J57" s="36"/>
      <c r="K57" s="36"/>
      <c r="L57" s="29"/>
      <c r="M57" s="29"/>
      <c r="N57" s="54"/>
      <c r="O57" s="54"/>
      <c r="P57" s="346" t="s">
        <v>602</v>
      </c>
      <c r="Q57" s="165"/>
      <c r="R57" s="163"/>
      <c r="S57" s="165"/>
      <c r="T57" s="163"/>
      <c r="U57" s="165"/>
      <c r="V57" s="163"/>
      <c r="W57" s="338">
        <v>1</v>
      </c>
      <c r="X57" s="337"/>
      <c r="Y57" s="338">
        <v>1</v>
      </c>
      <c r="Z57" s="337"/>
      <c r="AA57" s="36">
        <f>SUM(W53:W57)</f>
        <v>3305</v>
      </c>
      <c r="AC57" s="173"/>
      <c r="AD57" s="173"/>
    </row>
    <row r="58" spans="1:30" ht="15">
      <c r="A58" s="29"/>
      <c r="B58" s="29"/>
      <c r="C58" s="29"/>
      <c r="D58" s="54"/>
      <c r="E58" s="29"/>
      <c r="F58" s="29"/>
      <c r="G58" s="29"/>
      <c r="H58" s="29"/>
      <c r="I58" s="29"/>
      <c r="J58" s="36"/>
      <c r="K58" s="36"/>
      <c r="L58" s="54"/>
      <c r="M58" s="29"/>
      <c r="N58" s="54"/>
      <c r="O58" s="54"/>
      <c r="P58" s="331" t="s">
        <v>597</v>
      </c>
      <c r="Q58" s="165"/>
      <c r="R58" s="163"/>
      <c r="S58" s="165"/>
      <c r="T58" s="163"/>
      <c r="U58" s="165"/>
      <c r="V58" s="163"/>
      <c r="W58" s="330">
        <v>432</v>
      </c>
      <c r="X58" s="37"/>
      <c r="Y58" s="330">
        <v>432</v>
      </c>
      <c r="Z58" s="37"/>
      <c r="AA58" s="29" t="s">
        <v>603</v>
      </c>
      <c r="AD58" s="173"/>
    </row>
    <row r="59" spans="1:30" ht="15.75" thickBot="1">
      <c r="A59" s="29"/>
      <c r="B59" s="29"/>
      <c r="C59" s="29"/>
      <c r="D59" s="29"/>
      <c r="E59" s="29"/>
      <c r="F59" s="29"/>
      <c r="G59" s="29"/>
      <c r="H59" s="36"/>
      <c r="I59" s="29"/>
      <c r="J59" s="36"/>
      <c r="K59" s="36"/>
      <c r="L59" s="29"/>
      <c r="M59" s="29"/>
      <c r="N59" s="54"/>
      <c r="O59" s="54"/>
      <c r="P59" s="347" t="s">
        <v>598</v>
      </c>
      <c r="Q59" s="344"/>
      <c r="R59" s="172"/>
      <c r="S59" s="344"/>
      <c r="T59" s="172"/>
      <c r="U59" s="344"/>
      <c r="V59" s="172"/>
      <c r="W59" s="348"/>
      <c r="X59" s="349"/>
      <c r="Y59" s="348"/>
      <c r="Z59" s="350"/>
      <c r="AA59" s="36">
        <f>SUM(W58:W59)</f>
        <v>432</v>
      </c>
      <c r="AB59" s="47">
        <f>SUM(N53:N54)</f>
        <v>489.27600000000001</v>
      </c>
      <c r="AD59" s="173"/>
    </row>
    <row r="60" spans="1:30" ht="16.5" thickTop="1" thickBot="1">
      <c r="A60" s="29"/>
      <c r="B60" s="29"/>
      <c r="C60" s="29"/>
      <c r="D60" s="29"/>
      <c r="E60" s="29"/>
      <c r="F60" s="29"/>
      <c r="G60" s="54"/>
      <c r="H60" s="36"/>
      <c r="I60" s="29"/>
      <c r="J60" s="36"/>
      <c r="K60" s="36"/>
      <c r="L60" s="29"/>
      <c r="M60" s="29"/>
      <c r="N60" s="29"/>
      <c r="O60" s="29"/>
      <c r="P60" s="347" t="s">
        <v>599</v>
      </c>
      <c r="Q60" s="52">
        <f t="shared" ref="Q60:Z60" si="2">SUM(Q18:Q59)</f>
        <v>13544</v>
      </c>
      <c r="R60" s="53">
        <f t="shared" si="2"/>
        <v>0</v>
      </c>
      <c r="S60" s="52">
        <f t="shared" si="2"/>
        <v>21616</v>
      </c>
      <c r="T60" s="53">
        <f t="shared" si="2"/>
        <v>0</v>
      </c>
      <c r="U60" s="52">
        <f t="shared" si="2"/>
        <v>28161</v>
      </c>
      <c r="V60" s="53">
        <f t="shared" si="2"/>
        <v>0</v>
      </c>
      <c r="W60" s="52">
        <f>SUM(W18:W59)</f>
        <v>43712</v>
      </c>
      <c r="X60" s="53">
        <f t="shared" si="2"/>
        <v>0</v>
      </c>
      <c r="Y60" s="52">
        <f>SUM(Y18:Y59)</f>
        <v>43712</v>
      </c>
      <c r="Z60" s="53">
        <f t="shared" si="2"/>
        <v>0</v>
      </c>
      <c r="AA60" s="55">
        <f>AA25+AA33+AA39+AA43+AA47+AA52+AA57+AA59</f>
        <v>43712</v>
      </c>
      <c r="AB60" s="47">
        <f>AB25+AB33+AB39+AB43+AB47+AB52+AB59</f>
        <v>17047.000499999998</v>
      </c>
      <c r="AC60" s="173"/>
      <c r="AD60" s="173"/>
    </row>
    <row r="61" spans="1:30" ht="13.5" thickTop="1"/>
    <row r="62" spans="1:30" ht="13.5" thickBot="1"/>
    <row r="63" spans="1:30" ht="15.75" thickTop="1">
      <c r="A63" s="40" t="s">
        <v>296</v>
      </c>
      <c r="B63" s="719" t="s">
        <v>286</v>
      </c>
      <c r="C63" s="720"/>
      <c r="D63" s="719" t="s">
        <v>287</v>
      </c>
      <c r="E63" s="720"/>
      <c r="F63" s="719" t="s">
        <v>572</v>
      </c>
      <c r="G63" s="720"/>
      <c r="H63" s="719" t="s">
        <v>573</v>
      </c>
      <c r="I63" s="720"/>
      <c r="J63" s="721" t="s">
        <v>574</v>
      </c>
      <c r="K63" s="722"/>
      <c r="L63" s="719" t="s">
        <v>575</v>
      </c>
      <c r="M63" s="720"/>
      <c r="N63" s="719" t="s">
        <v>565</v>
      </c>
      <c r="O63" s="720"/>
      <c r="P63" s="327"/>
      <c r="Q63" s="719" t="s">
        <v>576</v>
      </c>
      <c r="R63" s="720"/>
      <c r="S63" s="719" t="s">
        <v>577</v>
      </c>
      <c r="T63" s="720"/>
      <c r="U63" s="719" t="s">
        <v>578</v>
      </c>
      <c r="V63" s="720"/>
      <c r="W63" s="719" t="s">
        <v>570</v>
      </c>
      <c r="X63" s="720"/>
      <c r="Y63" s="719" t="s">
        <v>571</v>
      </c>
      <c r="Z63" s="720"/>
    </row>
    <row r="64" spans="1:30" ht="15">
      <c r="A64" s="40" t="s">
        <v>91</v>
      </c>
      <c r="B64" s="30" t="s">
        <v>604</v>
      </c>
      <c r="C64" s="31" t="s">
        <v>605</v>
      </c>
      <c r="D64" s="30" t="s">
        <v>604</v>
      </c>
      <c r="E64" s="31" t="s">
        <v>605</v>
      </c>
      <c r="F64" s="30" t="s">
        <v>604</v>
      </c>
      <c r="G64" s="31" t="s">
        <v>605</v>
      </c>
      <c r="H64" s="30" t="s">
        <v>604</v>
      </c>
      <c r="I64" s="31" t="s">
        <v>605</v>
      </c>
      <c r="J64" s="30" t="s">
        <v>604</v>
      </c>
      <c r="K64" s="31" t="s">
        <v>605</v>
      </c>
      <c r="L64" s="30" t="s">
        <v>604</v>
      </c>
      <c r="M64" s="31" t="s">
        <v>605</v>
      </c>
      <c r="N64" s="30" t="s">
        <v>604</v>
      </c>
      <c r="O64" s="31" t="s">
        <v>605</v>
      </c>
      <c r="P64" s="40" t="s">
        <v>91</v>
      </c>
      <c r="Q64" s="30" t="s">
        <v>604</v>
      </c>
      <c r="R64" s="31" t="s">
        <v>605</v>
      </c>
      <c r="S64" s="30" t="s">
        <v>604</v>
      </c>
      <c r="T64" s="31" t="s">
        <v>605</v>
      </c>
      <c r="U64" s="30" t="s">
        <v>604</v>
      </c>
      <c r="V64" s="31" t="s">
        <v>605</v>
      </c>
      <c r="W64" s="30" t="s">
        <v>604</v>
      </c>
      <c r="X64" s="31" t="s">
        <v>605</v>
      </c>
      <c r="Y64" s="30" t="s">
        <v>604</v>
      </c>
      <c r="Z64" s="31" t="s">
        <v>605</v>
      </c>
    </row>
    <row r="65" spans="1:26" ht="15">
      <c r="A65" s="328" t="str">
        <f t="shared" ref="A65:P80" si="3">A18</f>
        <v>HSR15</v>
      </c>
      <c r="B65" s="44">
        <f>B18</f>
        <v>1272</v>
      </c>
      <c r="C65" s="329">
        <f t="shared" ref="C65:C80" si="4">B65/$D$1</f>
        <v>66.94736842105263</v>
      </c>
      <c r="D65" s="44">
        <f t="shared" ref="D65:Y72" si="5">D18</f>
        <v>1272</v>
      </c>
      <c r="E65" s="329">
        <f t="shared" ref="E65:E80" si="6">D65/$D$1</f>
        <v>66.94736842105263</v>
      </c>
      <c r="F65" s="44">
        <f t="shared" si="5"/>
        <v>873</v>
      </c>
      <c r="G65" s="329">
        <f t="shared" ref="G65:M100" si="7">F65/$D$1</f>
        <v>45.94736842105263</v>
      </c>
      <c r="H65" s="330">
        <f t="shared" si="5"/>
        <v>1068.7425557257104</v>
      </c>
      <c r="I65" s="329">
        <f t="shared" si="7"/>
        <v>56.249608196090023</v>
      </c>
      <c r="J65" s="330">
        <f t="shared" si="5"/>
        <v>510</v>
      </c>
      <c r="K65" s="34">
        <f t="shared" si="7"/>
        <v>26.842105263157894</v>
      </c>
      <c r="L65" s="44">
        <f t="shared" si="5"/>
        <v>409.62929032258069</v>
      </c>
      <c r="M65" s="34">
        <f t="shared" ref="M65" si="8">L65/$D$1</f>
        <v>21.559436332767405</v>
      </c>
      <c r="N65" s="197">
        <f t="shared" si="5"/>
        <v>375.91</v>
      </c>
      <c r="O65" s="34">
        <f t="shared" ref="O65:O101" si="9">N65/$D$1</f>
        <v>19.784736842105264</v>
      </c>
      <c r="P65" s="331" t="str">
        <f t="shared" si="5"/>
        <v>HSR15</v>
      </c>
      <c r="Q65" s="330">
        <f t="shared" si="5"/>
        <v>2543</v>
      </c>
      <c r="R65" s="37">
        <f t="shared" ref="R65:V80" si="10">Q65/$D$1</f>
        <v>133.84210526315789</v>
      </c>
      <c r="S65" s="330">
        <f t="shared" si="5"/>
        <v>2495</v>
      </c>
      <c r="T65" s="37">
        <f t="shared" si="10"/>
        <v>131.31578947368422</v>
      </c>
      <c r="U65" s="330">
        <f t="shared" si="5"/>
        <v>2466</v>
      </c>
      <c r="V65" s="37">
        <f t="shared" ref="V65" si="11">U65/$D$1</f>
        <v>129.78947368421052</v>
      </c>
      <c r="W65" s="330">
        <f t="shared" si="5"/>
        <v>2533</v>
      </c>
      <c r="X65" s="37">
        <f t="shared" ref="X65:Z80" si="12">W65/$D$1</f>
        <v>133.31578947368422</v>
      </c>
      <c r="Y65" s="330">
        <f t="shared" si="5"/>
        <v>2533</v>
      </c>
      <c r="Z65" s="37">
        <f t="shared" si="12"/>
        <v>133.31578947368422</v>
      </c>
    </row>
    <row r="66" spans="1:26" ht="15">
      <c r="A66" s="264" t="str">
        <f t="shared" si="3"/>
        <v>HSR20</v>
      </c>
      <c r="B66" s="44">
        <f t="shared" si="3"/>
        <v>753.5</v>
      </c>
      <c r="C66" s="329">
        <f t="shared" si="4"/>
        <v>39.657894736842103</v>
      </c>
      <c r="D66" s="44">
        <f t="shared" si="3"/>
        <v>835.5</v>
      </c>
      <c r="E66" s="329">
        <f t="shared" si="6"/>
        <v>43.973684210526315</v>
      </c>
      <c r="F66" s="44">
        <f t="shared" si="3"/>
        <v>835.5</v>
      </c>
      <c r="G66" s="34">
        <f t="shared" si="7"/>
        <v>43.973684210526315</v>
      </c>
      <c r="H66" s="330">
        <f t="shared" si="3"/>
        <v>718.73404798366516</v>
      </c>
      <c r="I66" s="34">
        <f t="shared" si="7"/>
        <v>37.828107788613956</v>
      </c>
      <c r="J66" s="330">
        <f t="shared" si="3"/>
        <v>37</v>
      </c>
      <c r="K66" s="34">
        <f t="shared" si="7"/>
        <v>1.9473684210526316</v>
      </c>
      <c r="L66" s="44">
        <f t="shared" si="3"/>
        <v>786.819677419355</v>
      </c>
      <c r="M66" s="34">
        <f t="shared" si="7"/>
        <v>41.411561969439738</v>
      </c>
      <c r="N66" s="197">
        <f t="shared" si="3"/>
        <v>688.26199999999994</v>
      </c>
      <c r="O66" s="34">
        <f t="shared" si="9"/>
        <v>36.224315789473678</v>
      </c>
      <c r="P66" s="331" t="str">
        <f t="shared" si="3"/>
        <v>HSR20</v>
      </c>
      <c r="Q66" s="330">
        <f t="shared" si="5"/>
        <v>726</v>
      </c>
      <c r="R66" s="37">
        <f t="shared" si="10"/>
        <v>38.210526315789473</v>
      </c>
      <c r="S66" s="330">
        <f t="shared" si="5"/>
        <v>954</v>
      </c>
      <c r="T66" s="37">
        <f t="shared" si="10"/>
        <v>50.210526315789473</v>
      </c>
      <c r="U66" s="330">
        <f t="shared" si="5"/>
        <v>2792</v>
      </c>
      <c r="V66" s="37">
        <f t="shared" si="10"/>
        <v>146.94736842105263</v>
      </c>
      <c r="W66" s="330">
        <f t="shared" si="5"/>
        <v>2855</v>
      </c>
      <c r="X66" s="37">
        <f t="shared" si="12"/>
        <v>150.26315789473685</v>
      </c>
      <c r="Y66" s="330">
        <f t="shared" si="5"/>
        <v>2855</v>
      </c>
      <c r="Z66" s="37">
        <f t="shared" si="12"/>
        <v>150.26315789473685</v>
      </c>
    </row>
    <row r="67" spans="1:26" ht="15">
      <c r="A67" s="264" t="str">
        <f t="shared" si="3"/>
        <v>HSR25</v>
      </c>
      <c r="B67" s="44">
        <f t="shared" si="3"/>
        <v>226</v>
      </c>
      <c r="C67" s="329">
        <f t="shared" si="4"/>
        <v>11.894736842105264</v>
      </c>
      <c r="D67" s="44">
        <f t="shared" si="3"/>
        <v>527.5</v>
      </c>
      <c r="E67" s="329">
        <f t="shared" si="6"/>
        <v>27.763157894736842</v>
      </c>
      <c r="F67" s="44">
        <f t="shared" si="3"/>
        <v>75.5</v>
      </c>
      <c r="G67" s="34">
        <f t="shared" si="7"/>
        <v>3.9736842105263159</v>
      </c>
      <c r="H67" s="330">
        <f t="shared" si="3"/>
        <v>443.59367023991831</v>
      </c>
      <c r="I67" s="34">
        <f t="shared" si="7"/>
        <v>23.347035275785174</v>
      </c>
      <c r="J67" s="330">
        <f t="shared" si="3"/>
        <v>22</v>
      </c>
      <c r="K67" s="34">
        <f t="shared" si="7"/>
        <v>1.1578947368421053</v>
      </c>
      <c r="L67" s="44">
        <f t="shared" si="3"/>
        <v>715.79683870967733</v>
      </c>
      <c r="M67" s="34">
        <f t="shared" si="7"/>
        <v>37.673517826825126</v>
      </c>
      <c r="N67" s="197">
        <f t="shared" si="3"/>
        <v>714.84400000000005</v>
      </c>
      <c r="O67" s="34">
        <f t="shared" si="9"/>
        <v>37.623368421052632</v>
      </c>
      <c r="P67" s="331" t="str">
        <f t="shared" si="3"/>
        <v>HSR25</v>
      </c>
      <c r="Q67" s="330">
        <f t="shared" si="5"/>
        <v>3055</v>
      </c>
      <c r="R67" s="37">
        <f t="shared" si="10"/>
        <v>160.78947368421052</v>
      </c>
      <c r="S67" s="330">
        <f t="shared" si="5"/>
        <v>3594</v>
      </c>
      <c r="T67" s="37">
        <f t="shared" si="10"/>
        <v>189.15789473684211</v>
      </c>
      <c r="U67" s="330">
        <f t="shared" si="5"/>
        <v>3043</v>
      </c>
      <c r="V67" s="37">
        <f t="shared" si="10"/>
        <v>160.15789473684211</v>
      </c>
      <c r="W67" s="330">
        <f t="shared" si="5"/>
        <v>3261</v>
      </c>
      <c r="X67" s="37">
        <f t="shared" si="12"/>
        <v>171.63157894736841</v>
      </c>
      <c r="Y67" s="330">
        <f t="shared" si="5"/>
        <v>3261</v>
      </c>
      <c r="Z67" s="37">
        <f t="shared" si="12"/>
        <v>171.63157894736841</v>
      </c>
    </row>
    <row r="68" spans="1:26" ht="15">
      <c r="A68" s="264" t="str">
        <f t="shared" si="3"/>
        <v>HSR30</v>
      </c>
      <c r="B68" s="44">
        <f t="shared" si="3"/>
        <v>226</v>
      </c>
      <c r="C68" s="329">
        <f t="shared" si="4"/>
        <v>11.894736842105264</v>
      </c>
      <c r="D68" s="334">
        <f t="shared" si="3"/>
        <v>452</v>
      </c>
      <c r="E68" s="329">
        <f t="shared" si="6"/>
        <v>23.789473684210527</v>
      </c>
      <c r="F68" s="44">
        <f>F21</f>
        <v>527.5</v>
      </c>
      <c r="G68" s="34">
        <f t="shared" si="7"/>
        <v>27.763157894736842</v>
      </c>
      <c r="H68" s="330">
        <f t="shared" si="3"/>
        <v>177.81180874595881</v>
      </c>
      <c r="I68" s="34">
        <f t="shared" si="7"/>
        <v>9.3585162497873053</v>
      </c>
      <c r="J68" s="330">
        <f t="shared" si="3"/>
        <v>50</v>
      </c>
      <c r="K68" s="34">
        <f t="shared" si="7"/>
        <v>2.6315789473684212</v>
      </c>
      <c r="L68" s="44">
        <f t="shared" si="3"/>
        <v>871.99193548387098</v>
      </c>
      <c r="M68" s="34">
        <f t="shared" si="7"/>
        <v>45.894312393887944</v>
      </c>
      <c r="N68" s="197">
        <f t="shared" si="3"/>
        <v>737.74400000000003</v>
      </c>
      <c r="O68" s="34">
        <f t="shared" si="9"/>
        <v>38.828631578947373</v>
      </c>
      <c r="P68" s="331" t="str">
        <f t="shared" si="3"/>
        <v>HSR30</v>
      </c>
      <c r="Q68" s="330">
        <f t="shared" si="5"/>
        <v>760</v>
      </c>
      <c r="R68" s="37">
        <f t="shared" si="10"/>
        <v>40</v>
      </c>
      <c r="S68" s="330">
        <f t="shared" si="5"/>
        <v>560</v>
      </c>
      <c r="T68" s="37">
        <f t="shared" si="10"/>
        <v>29.473684210526315</v>
      </c>
      <c r="U68" s="330">
        <f t="shared" si="5"/>
        <v>1135</v>
      </c>
      <c r="V68" s="37">
        <f t="shared" si="10"/>
        <v>59.736842105263158</v>
      </c>
      <c r="W68" s="330">
        <f t="shared" si="5"/>
        <v>1140</v>
      </c>
      <c r="X68" s="37">
        <f t="shared" si="12"/>
        <v>60</v>
      </c>
      <c r="Y68" s="330">
        <f t="shared" si="5"/>
        <v>1140</v>
      </c>
      <c r="Z68" s="37">
        <f t="shared" si="12"/>
        <v>60</v>
      </c>
    </row>
    <row r="69" spans="1:26" ht="15">
      <c r="A69" s="264" t="str">
        <f t="shared" si="3"/>
        <v>HSR35</v>
      </c>
      <c r="B69" s="44">
        <f t="shared" si="3"/>
        <v>75.5</v>
      </c>
      <c r="C69" s="329">
        <f t="shared" si="4"/>
        <v>3.9736842105263159</v>
      </c>
      <c r="D69" s="334">
        <f t="shared" si="3"/>
        <v>75.5</v>
      </c>
      <c r="E69" s="329">
        <f t="shared" si="6"/>
        <v>3.9736842105263159</v>
      </c>
      <c r="F69" s="44">
        <f>F22</f>
        <v>75.5</v>
      </c>
      <c r="G69" s="34">
        <f t="shared" si="7"/>
        <v>3.9736842105263159</v>
      </c>
      <c r="H69" s="330">
        <f t="shared" si="3"/>
        <v>164.70988599625659</v>
      </c>
      <c r="I69" s="34">
        <f t="shared" si="7"/>
        <v>8.6689413682240311</v>
      </c>
      <c r="J69" s="330">
        <f t="shared" si="3"/>
        <v>24</v>
      </c>
      <c r="K69" s="34">
        <f t="shared" si="7"/>
        <v>1.263157894736842</v>
      </c>
      <c r="L69" s="44">
        <f t="shared" si="3"/>
        <v>259.18838709677419</v>
      </c>
      <c r="M69" s="34">
        <f t="shared" si="7"/>
        <v>13.641494057724957</v>
      </c>
      <c r="N69" s="197">
        <f t="shared" si="3"/>
        <v>230.48</v>
      </c>
      <c r="O69" s="34">
        <f t="shared" si="9"/>
        <v>12.130526315789472</v>
      </c>
      <c r="P69" s="331" t="str">
        <f t="shared" si="3"/>
        <v>HSR35</v>
      </c>
      <c r="Q69" s="330">
        <f t="shared" si="5"/>
        <v>1009</v>
      </c>
      <c r="R69" s="37">
        <f t="shared" si="10"/>
        <v>53.10526315789474</v>
      </c>
      <c r="S69" s="330">
        <f t="shared" si="5"/>
        <v>1027</v>
      </c>
      <c r="T69" s="37">
        <f t="shared" si="10"/>
        <v>54.05263157894737</v>
      </c>
      <c r="U69" s="335">
        <f t="shared" si="5"/>
        <v>1158</v>
      </c>
      <c r="V69" s="37">
        <f t="shared" si="10"/>
        <v>60.94736842105263</v>
      </c>
      <c r="W69" s="330">
        <f t="shared" si="5"/>
        <v>1603</v>
      </c>
      <c r="X69" s="37">
        <f t="shared" si="12"/>
        <v>84.368421052631575</v>
      </c>
      <c r="Y69" s="330">
        <f t="shared" si="5"/>
        <v>1603</v>
      </c>
      <c r="Z69" s="37">
        <f t="shared" si="12"/>
        <v>84.368421052631575</v>
      </c>
    </row>
    <row r="70" spans="1:26" ht="15">
      <c r="A70" s="264" t="str">
        <f t="shared" si="3"/>
        <v>HSR45</v>
      </c>
      <c r="B70" s="44">
        <f t="shared" si="3"/>
        <v>226.5</v>
      </c>
      <c r="C70" s="329">
        <f t="shared" si="4"/>
        <v>11.921052631578947</v>
      </c>
      <c r="D70" s="334">
        <f t="shared" si="3"/>
        <v>679.5</v>
      </c>
      <c r="E70" s="329">
        <f t="shared" si="6"/>
        <v>35.763157894736842</v>
      </c>
      <c r="F70" s="44">
        <f t="shared" si="3"/>
        <v>976.35</v>
      </c>
      <c r="G70" s="34">
        <f t="shared" si="7"/>
        <v>51.386842105263156</v>
      </c>
      <c r="H70" s="330">
        <f t="shared" si="3"/>
        <v>132.89093074697976</v>
      </c>
      <c r="I70" s="34">
        <f t="shared" si="7"/>
        <v>6.9942595129989344</v>
      </c>
      <c r="J70" s="330">
        <f t="shared" si="3"/>
        <v>48</v>
      </c>
      <c r="K70" s="34">
        <f t="shared" si="7"/>
        <v>2.5263157894736841</v>
      </c>
      <c r="L70" s="44">
        <f t="shared" si="3"/>
        <v>1791.7083870967742</v>
      </c>
      <c r="M70" s="34">
        <f t="shared" si="7"/>
        <v>94.300441426146008</v>
      </c>
      <c r="N70" s="197">
        <f t="shared" si="3"/>
        <v>1471.72</v>
      </c>
      <c r="O70" s="34">
        <f t="shared" si="9"/>
        <v>77.45894736842105</v>
      </c>
      <c r="P70" s="331" t="str">
        <f t="shared" si="3"/>
        <v>HSR45</v>
      </c>
      <c r="Q70" s="171"/>
      <c r="R70" s="268"/>
      <c r="S70" s="330">
        <f t="shared" si="5"/>
        <v>68</v>
      </c>
      <c r="T70" s="37">
        <f t="shared" si="10"/>
        <v>3.5789473684210527</v>
      </c>
      <c r="U70" s="335">
        <f t="shared" si="5"/>
        <v>268</v>
      </c>
      <c r="V70" s="37">
        <f t="shared" si="10"/>
        <v>14.105263157894736</v>
      </c>
      <c r="W70" s="330">
        <f t="shared" si="5"/>
        <v>1897</v>
      </c>
      <c r="X70" s="37">
        <f t="shared" si="12"/>
        <v>99.84210526315789</v>
      </c>
      <c r="Y70" s="330">
        <f t="shared" si="5"/>
        <v>1897</v>
      </c>
      <c r="Z70" s="37">
        <f t="shared" si="12"/>
        <v>99.84210526315789</v>
      </c>
    </row>
    <row r="71" spans="1:26" ht="15">
      <c r="A71" s="264" t="str">
        <f t="shared" si="3"/>
        <v>HSR55</v>
      </c>
      <c r="B71" s="44">
        <f t="shared" si="3"/>
        <v>120.8</v>
      </c>
      <c r="C71" s="329">
        <f t="shared" si="4"/>
        <v>6.3578947368421055</v>
      </c>
      <c r="D71" s="44">
        <f t="shared" si="3"/>
        <v>372.7</v>
      </c>
      <c r="E71" s="329">
        <f t="shared" si="6"/>
        <v>19.61578947368421</v>
      </c>
      <c r="F71" s="44">
        <f t="shared" si="3"/>
        <v>312.3</v>
      </c>
      <c r="G71" s="34">
        <f t="shared" si="7"/>
        <v>16.436842105263157</v>
      </c>
      <c r="H71" s="330">
        <f t="shared" si="3"/>
        <v>13.101922749702229</v>
      </c>
      <c r="I71" s="34">
        <f t="shared" si="7"/>
        <v>0.68957488156327518</v>
      </c>
      <c r="J71" s="330">
        <f t="shared" si="3"/>
        <v>0</v>
      </c>
      <c r="K71" s="34">
        <f t="shared" si="7"/>
        <v>0</v>
      </c>
      <c r="L71" s="44">
        <f t="shared" si="3"/>
        <v>294.96580645161288</v>
      </c>
      <c r="M71" s="34">
        <f t="shared" si="7"/>
        <v>15.524516129032257</v>
      </c>
      <c r="N71" s="197">
        <f t="shared" si="3"/>
        <v>230.1</v>
      </c>
      <c r="O71" s="34">
        <f t="shared" si="9"/>
        <v>12.110526315789473</v>
      </c>
      <c r="P71" s="331" t="str">
        <f t="shared" si="3"/>
        <v>HSR55</v>
      </c>
      <c r="Q71" s="165"/>
      <c r="R71" s="269"/>
      <c r="S71" s="330">
        <f t="shared" si="5"/>
        <v>0</v>
      </c>
      <c r="T71" s="37">
        <f t="shared" si="10"/>
        <v>0</v>
      </c>
      <c r="U71" s="330">
        <f t="shared" si="5"/>
        <v>178</v>
      </c>
      <c r="V71" s="37">
        <f t="shared" si="10"/>
        <v>9.3684210526315788</v>
      </c>
      <c r="W71" s="330">
        <f t="shared" si="5"/>
        <v>256</v>
      </c>
      <c r="X71" s="37">
        <f t="shared" si="12"/>
        <v>13.473684210526315</v>
      </c>
      <c r="Y71" s="330">
        <f t="shared" si="5"/>
        <v>256</v>
      </c>
      <c r="Z71" s="37">
        <f t="shared" si="12"/>
        <v>13.473684210526315</v>
      </c>
    </row>
    <row r="72" spans="1:26" ht="15">
      <c r="A72" s="264" t="str">
        <f t="shared" si="3"/>
        <v>HSR65</v>
      </c>
      <c r="B72" s="44">
        <f t="shared" si="3"/>
        <v>90</v>
      </c>
      <c r="C72" s="329">
        <f t="shared" si="4"/>
        <v>4.7368421052631575</v>
      </c>
      <c r="D72" s="44">
        <f t="shared" si="3"/>
        <v>135</v>
      </c>
      <c r="E72" s="329">
        <f t="shared" si="6"/>
        <v>7.1052631578947372</v>
      </c>
      <c r="F72" s="44">
        <f>F25</f>
        <v>135</v>
      </c>
      <c r="G72" s="34">
        <f t="shared" si="7"/>
        <v>7.1052631578947372</v>
      </c>
      <c r="H72" s="330">
        <f t="shared" si="3"/>
        <v>3.7434064999149226</v>
      </c>
      <c r="I72" s="34">
        <f t="shared" si="7"/>
        <v>0.19702139473236435</v>
      </c>
      <c r="J72" s="330">
        <f t="shared" si="3"/>
        <v>0</v>
      </c>
      <c r="K72" s="34">
        <f t="shared" si="7"/>
        <v>0</v>
      </c>
      <c r="L72" s="44">
        <f t="shared" si="3"/>
        <v>148.77661290322578</v>
      </c>
      <c r="M72" s="34">
        <f t="shared" si="7"/>
        <v>7.830348047538199</v>
      </c>
      <c r="N72" s="197">
        <f t="shared" si="3"/>
        <v>116.875</v>
      </c>
      <c r="O72" s="34">
        <f t="shared" si="9"/>
        <v>6.1513157894736841</v>
      </c>
      <c r="P72" s="331" t="str">
        <f t="shared" si="3"/>
        <v>HSR65</v>
      </c>
      <c r="Q72" s="165"/>
      <c r="R72" s="269"/>
      <c r="S72" s="330">
        <f t="shared" si="5"/>
        <v>10</v>
      </c>
      <c r="T72" s="37">
        <f t="shared" si="10"/>
        <v>0.52631578947368418</v>
      </c>
      <c r="U72" s="330">
        <f t="shared" si="5"/>
        <v>0</v>
      </c>
      <c r="V72" s="37">
        <f t="shared" si="10"/>
        <v>0</v>
      </c>
      <c r="W72" s="330">
        <f t="shared" si="5"/>
        <v>31</v>
      </c>
      <c r="X72" s="37">
        <f t="shared" si="12"/>
        <v>1.631578947368421</v>
      </c>
      <c r="Y72" s="330">
        <f t="shared" si="5"/>
        <v>31</v>
      </c>
      <c r="Z72" s="37">
        <f t="shared" si="12"/>
        <v>1.631578947368421</v>
      </c>
    </row>
    <row r="73" spans="1:26" ht="15">
      <c r="A73" s="264" t="str">
        <f t="shared" si="3"/>
        <v>SHS15</v>
      </c>
      <c r="B73" s="44">
        <f t="shared" si="3"/>
        <v>912</v>
      </c>
      <c r="C73" s="329">
        <f t="shared" si="4"/>
        <v>48</v>
      </c>
      <c r="D73" s="44">
        <f t="shared" si="3"/>
        <v>1368</v>
      </c>
      <c r="E73" s="329">
        <f t="shared" si="6"/>
        <v>72</v>
      </c>
      <c r="F73" s="44">
        <f t="shared" si="3"/>
        <v>1216</v>
      </c>
      <c r="G73" s="34">
        <f t="shared" si="7"/>
        <v>64</v>
      </c>
      <c r="H73" s="330">
        <f t="shared" si="3"/>
        <v>1362.5999659690319</v>
      </c>
      <c r="I73" s="34">
        <f t="shared" si="7"/>
        <v>71.715787682580626</v>
      </c>
      <c r="J73" s="330">
        <f t="shared" si="3"/>
        <v>356</v>
      </c>
      <c r="K73" s="34">
        <f t="shared" si="7"/>
        <v>18.736842105263158</v>
      </c>
      <c r="L73" s="44">
        <f t="shared" si="3"/>
        <v>1156.4672580645163</v>
      </c>
      <c r="M73" s="34">
        <f t="shared" si="7"/>
        <v>60.866697792869275</v>
      </c>
      <c r="N73" s="197">
        <f t="shared" si="3"/>
        <v>992.37900000000002</v>
      </c>
      <c r="O73" s="34">
        <f t="shared" si="9"/>
        <v>52.23047368421053</v>
      </c>
      <c r="P73" s="331" t="str">
        <f t="shared" si="3"/>
        <v>SHS15</v>
      </c>
      <c r="Q73" s="330">
        <f t="shared" ref="Q73:Y80" si="13">Q26</f>
        <v>616</v>
      </c>
      <c r="R73" s="37">
        <f t="shared" ref="R73:R77" si="14">Q73/$D$1</f>
        <v>32.421052631578945</v>
      </c>
      <c r="S73" s="330">
        <f t="shared" si="13"/>
        <v>936</v>
      </c>
      <c r="T73" s="37">
        <f t="shared" si="10"/>
        <v>49.263157894736842</v>
      </c>
      <c r="U73" s="335">
        <f t="shared" si="13"/>
        <v>2454</v>
      </c>
      <c r="V73" s="37">
        <f t="shared" si="10"/>
        <v>129.15789473684211</v>
      </c>
      <c r="W73" s="330">
        <f t="shared" si="13"/>
        <v>2301</v>
      </c>
      <c r="X73" s="37">
        <f t="shared" si="12"/>
        <v>121.10526315789474</v>
      </c>
      <c r="Y73" s="330">
        <f t="shared" si="13"/>
        <v>2301</v>
      </c>
      <c r="Z73" s="37">
        <f t="shared" si="12"/>
        <v>121.10526315789474</v>
      </c>
    </row>
    <row r="74" spans="1:26" ht="15">
      <c r="A74" s="264" t="str">
        <f t="shared" si="3"/>
        <v>SHS20</v>
      </c>
      <c r="B74" s="44">
        <f t="shared" si="3"/>
        <v>0</v>
      </c>
      <c r="C74" s="329">
        <f t="shared" si="4"/>
        <v>0</v>
      </c>
      <c r="D74" s="44">
        <f t="shared" si="3"/>
        <v>0</v>
      </c>
      <c r="E74" s="329">
        <f t="shared" si="6"/>
        <v>0</v>
      </c>
      <c r="F74" s="44">
        <f t="shared" si="3"/>
        <v>0</v>
      </c>
      <c r="G74" s="34">
        <f t="shared" si="7"/>
        <v>0</v>
      </c>
      <c r="H74" s="330">
        <f t="shared" si="3"/>
        <v>623.27718223583463</v>
      </c>
      <c r="I74" s="34">
        <f t="shared" si="7"/>
        <v>32.804062222938661</v>
      </c>
      <c r="J74" s="330">
        <f t="shared" si="3"/>
        <v>5</v>
      </c>
      <c r="K74" s="34">
        <f t="shared" si="7"/>
        <v>0.26315789473684209</v>
      </c>
      <c r="L74" s="44">
        <f t="shared" si="3"/>
        <v>528.34483870967745</v>
      </c>
      <c r="M74" s="34">
        <f t="shared" si="7"/>
        <v>27.807623089983025</v>
      </c>
      <c r="N74" s="197">
        <f t="shared" si="3"/>
        <v>530.27</v>
      </c>
      <c r="O74" s="34">
        <f t="shared" si="9"/>
        <v>27.908947368421053</v>
      </c>
      <c r="P74" s="331" t="str">
        <f t="shared" si="3"/>
        <v>SHS20</v>
      </c>
      <c r="Q74" s="330">
        <f t="shared" si="13"/>
        <v>1430</v>
      </c>
      <c r="R74" s="37">
        <f t="shared" si="14"/>
        <v>75.263157894736835</v>
      </c>
      <c r="S74" s="330">
        <f t="shared" si="13"/>
        <v>1460</v>
      </c>
      <c r="T74" s="37">
        <f t="shared" si="10"/>
        <v>76.84210526315789</v>
      </c>
      <c r="U74" s="330">
        <f t="shared" si="13"/>
        <v>1376</v>
      </c>
      <c r="V74" s="37">
        <f t="shared" si="10"/>
        <v>72.421052631578945</v>
      </c>
      <c r="W74" s="330">
        <f t="shared" si="13"/>
        <v>1325</v>
      </c>
      <c r="X74" s="37">
        <f t="shared" si="12"/>
        <v>69.736842105263165</v>
      </c>
      <c r="Y74" s="330">
        <f t="shared" si="13"/>
        <v>1325</v>
      </c>
      <c r="Z74" s="37">
        <f t="shared" si="12"/>
        <v>69.736842105263165</v>
      </c>
    </row>
    <row r="75" spans="1:26" ht="15">
      <c r="A75" s="264" t="str">
        <f t="shared" si="3"/>
        <v>SHS25</v>
      </c>
      <c r="B75" s="44">
        <f t="shared" si="3"/>
        <v>0</v>
      </c>
      <c r="C75" s="329">
        <f t="shared" si="4"/>
        <v>0</v>
      </c>
      <c r="D75" s="44">
        <f t="shared" si="3"/>
        <v>0</v>
      </c>
      <c r="E75" s="329">
        <f t="shared" si="6"/>
        <v>0</v>
      </c>
      <c r="F75" s="44">
        <f t="shared" si="3"/>
        <v>0</v>
      </c>
      <c r="G75" s="34">
        <f t="shared" si="7"/>
        <v>0</v>
      </c>
      <c r="H75" s="330">
        <f t="shared" si="3"/>
        <v>172.19669899608644</v>
      </c>
      <c r="I75" s="34">
        <f t="shared" si="7"/>
        <v>9.06298415768876</v>
      </c>
      <c r="J75" s="330">
        <f t="shared" si="3"/>
        <v>46</v>
      </c>
      <c r="K75" s="34">
        <f t="shared" si="7"/>
        <v>2.4210526315789473</v>
      </c>
      <c r="L75" s="44">
        <f t="shared" si="3"/>
        <v>273.65535483870968</v>
      </c>
      <c r="M75" s="34">
        <f t="shared" si="7"/>
        <v>14.402913412563668</v>
      </c>
      <c r="N75" s="197">
        <f t="shared" si="3"/>
        <v>343.137</v>
      </c>
      <c r="O75" s="34">
        <f t="shared" si="9"/>
        <v>18.059842105263158</v>
      </c>
      <c r="P75" s="331" t="str">
        <f t="shared" si="3"/>
        <v>SHS25</v>
      </c>
      <c r="Q75" s="330">
        <f t="shared" si="13"/>
        <v>0</v>
      </c>
      <c r="R75" s="37">
        <f t="shared" si="14"/>
        <v>0</v>
      </c>
      <c r="S75" s="330">
        <f t="shared" si="13"/>
        <v>3437</v>
      </c>
      <c r="T75" s="37">
        <f t="shared" si="10"/>
        <v>180.89473684210526</v>
      </c>
      <c r="U75" s="330">
        <f t="shared" si="13"/>
        <v>3654</v>
      </c>
      <c r="V75" s="37">
        <f t="shared" si="10"/>
        <v>192.31578947368422</v>
      </c>
      <c r="W75" s="330">
        <f t="shared" si="13"/>
        <v>3100</v>
      </c>
      <c r="X75" s="37">
        <f t="shared" si="12"/>
        <v>163.15789473684211</v>
      </c>
      <c r="Y75" s="330">
        <f t="shared" si="13"/>
        <v>3100</v>
      </c>
      <c r="Z75" s="37">
        <f t="shared" si="12"/>
        <v>163.15789473684211</v>
      </c>
    </row>
    <row r="76" spans="1:26" ht="15">
      <c r="A76" s="264" t="str">
        <f t="shared" si="3"/>
        <v>SHS30</v>
      </c>
      <c r="B76" s="44">
        <f t="shared" si="3"/>
        <v>1786.5</v>
      </c>
      <c r="C76" s="329">
        <f t="shared" si="4"/>
        <v>94.026315789473685</v>
      </c>
      <c r="D76" s="44">
        <f t="shared" si="3"/>
        <v>1629</v>
      </c>
      <c r="E76" s="329">
        <f t="shared" si="6"/>
        <v>85.736842105263165</v>
      </c>
      <c r="F76" s="44">
        <f t="shared" si="3"/>
        <v>1629</v>
      </c>
      <c r="G76" s="34">
        <f t="shared" si="7"/>
        <v>85.736842105263165</v>
      </c>
      <c r="H76" s="330">
        <f t="shared" si="3"/>
        <v>3151.948272928365</v>
      </c>
      <c r="I76" s="34">
        <f t="shared" si="7"/>
        <v>165.89201436465078</v>
      </c>
      <c r="J76" s="330">
        <f t="shared" si="3"/>
        <v>223</v>
      </c>
      <c r="K76" s="34">
        <f t="shared" si="7"/>
        <v>11.736842105263158</v>
      </c>
      <c r="L76" s="44">
        <f t="shared" si="3"/>
        <v>2202.2195161290324</v>
      </c>
      <c r="M76" s="34">
        <f t="shared" si="7"/>
        <v>115.90629032258066</v>
      </c>
      <c r="N76" s="197">
        <f t="shared" si="3"/>
        <v>2188.7689999999998</v>
      </c>
      <c r="O76" s="34">
        <f t="shared" si="9"/>
        <v>115.19836842105262</v>
      </c>
      <c r="P76" s="331" t="str">
        <f t="shared" si="3"/>
        <v>SHS30</v>
      </c>
      <c r="Q76" s="330">
        <f t="shared" si="13"/>
        <v>2363</v>
      </c>
      <c r="R76" s="37">
        <f t="shared" si="14"/>
        <v>124.36842105263158</v>
      </c>
      <c r="S76" s="330">
        <f t="shared" si="13"/>
        <v>2801</v>
      </c>
      <c r="T76" s="37">
        <f t="shared" si="10"/>
        <v>147.42105263157896</v>
      </c>
      <c r="U76" s="330">
        <f t="shared" si="13"/>
        <v>3845</v>
      </c>
      <c r="V76" s="37">
        <f t="shared" si="10"/>
        <v>202.36842105263159</v>
      </c>
      <c r="W76" s="330">
        <f t="shared" si="13"/>
        <v>3960</v>
      </c>
      <c r="X76" s="37">
        <f t="shared" si="12"/>
        <v>208.42105263157896</v>
      </c>
      <c r="Y76" s="330">
        <f t="shared" si="13"/>
        <v>3960</v>
      </c>
      <c r="Z76" s="37">
        <f t="shared" si="12"/>
        <v>208.42105263157896</v>
      </c>
    </row>
    <row r="77" spans="1:26" ht="15">
      <c r="A77" s="264" t="str">
        <f t="shared" si="3"/>
        <v>SHS35</v>
      </c>
      <c r="B77" s="44">
        <f t="shared" si="3"/>
        <v>1918.5</v>
      </c>
      <c r="C77" s="329">
        <f t="shared" si="4"/>
        <v>100.97368421052632</v>
      </c>
      <c r="D77" s="44">
        <f t="shared" si="3"/>
        <v>2603.5</v>
      </c>
      <c r="E77" s="329">
        <f t="shared" si="6"/>
        <v>137.02631578947367</v>
      </c>
      <c r="F77" s="44">
        <f t="shared" si="3"/>
        <v>2528</v>
      </c>
      <c r="G77" s="34">
        <f t="shared" si="7"/>
        <v>133.05263157894737</v>
      </c>
      <c r="H77" s="330">
        <f t="shared" si="3"/>
        <v>1091.2029947251999</v>
      </c>
      <c r="I77" s="34">
        <f t="shared" si="7"/>
        <v>57.431736564484204</v>
      </c>
      <c r="J77" s="330">
        <f t="shared" si="3"/>
        <v>40</v>
      </c>
      <c r="K77" s="34">
        <f t="shared" si="7"/>
        <v>2.1052631578947367</v>
      </c>
      <c r="L77" s="44">
        <f t="shared" si="3"/>
        <v>2034.1661451612904</v>
      </c>
      <c r="M77" s="34">
        <f t="shared" si="7"/>
        <v>107.06137606112054</v>
      </c>
      <c r="N77" s="197">
        <f t="shared" si="3"/>
        <v>1659.3855000000001</v>
      </c>
      <c r="O77" s="34">
        <f t="shared" si="9"/>
        <v>87.336078947368421</v>
      </c>
      <c r="P77" s="331" t="str">
        <f t="shared" si="3"/>
        <v>SHS35</v>
      </c>
      <c r="Q77" s="330">
        <f t="shared" si="13"/>
        <v>1042</v>
      </c>
      <c r="R77" s="37">
        <f t="shared" si="14"/>
        <v>54.842105263157897</v>
      </c>
      <c r="S77" s="330">
        <f t="shared" si="13"/>
        <v>1653</v>
      </c>
      <c r="T77" s="37">
        <f t="shared" si="10"/>
        <v>87</v>
      </c>
      <c r="U77" s="330">
        <f t="shared" si="13"/>
        <v>2583</v>
      </c>
      <c r="V77" s="37">
        <f t="shared" si="10"/>
        <v>135.94736842105263</v>
      </c>
      <c r="W77" s="330">
        <f t="shared" si="13"/>
        <v>3531</v>
      </c>
      <c r="X77" s="37">
        <f t="shared" si="12"/>
        <v>185.84210526315789</v>
      </c>
      <c r="Y77" s="330">
        <f t="shared" si="13"/>
        <v>3531</v>
      </c>
      <c r="Z77" s="37">
        <f t="shared" si="12"/>
        <v>185.84210526315789</v>
      </c>
    </row>
    <row r="78" spans="1:26" ht="15">
      <c r="A78" s="264" t="str">
        <f t="shared" si="3"/>
        <v>SHS45</v>
      </c>
      <c r="B78" s="336">
        <f t="shared" si="3"/>
        <v>226.5</v>
      </c>
      <c r="C78" s="329">
        <f t="shared" si="4"/>
        <v>11.921052631578947</v>
      </c>
      <c r="D78" s="44">
        <f t="shared" si="3"/>
        <v>226.5</v>
      </c>
      <c r="E78" s="329">
        <f t="shared" si="6"/>
        <v>11.921052631578947</v>
      </c>
      <c r="F78" s="44">
        <f t="shared" si="3"/>
        <v>151</v>
      </c>
      <c r="G78" s="34">
        <f t="shared" si="7"/>
        <v>7.9473684210526319</v>
      </c>
      <c r="H78" s="330">
        <f t="shared" si="3"/>
        <v>99.200272247745445</v>
      </c>
      <c r="I78" s="34">
        <f t="shared" si="7"/>
        <v>5.2210669604076552</v>
      </c>
      <c r="J78" s="330">
        <f t="shared" si="3"/>
        <v>73</v>
      </c>
      <c r="K78" s="34">
        <f t="shared" si="7"/>
        <v>3.8421052631578947</v>
      </c>
      <c r="L78" s="44">
        <f t="shared" si="3"/>
        <v>331.67958064516131</v>
      </c>
      <c r="M78" s="34">
        <f t="shared" si="7"/>
        <v>17.456820033955857</v>
      </c>
      <c r="N78" s="197">
        <f t="shared" si="3"/>
        <v>295.62400000000002</v>
      </c>
      <c r="O78" s="34">
        <f t="shared" si="9"/>
        <v>15.559157894736844</v>
      </c>
      <c r="P78" s="331" t="str">
        <f t="shared" si="3"/>
        <v>SHS45</v>
      </c>
      <c r="Q78" s="165"/>
      <c r="R78" s="163"/>
      <c r="S78" s="330">
        <f t="shared" si="13"/>
        <v>53</v>
      </c>
      <c r="T78" s="37">
        <f t="shared" si="10"/>
        <v>2.7894736842105261</v>
      </c>
      <c r="U78" s="330">
        <f t="shared" si="13"/>
        <v>205</v>
      </c>
      <c r="V78" s="37">
        <f t="shared" si="10"/>
        <v>10.789473684210526</v>
      </c>
      <c r="W78" s="330">
        <f t="shared" si="13"/>
        <v>238</v>
      </c>
      <c r="X78" s="37">
        <f t="shared" si="12"/>
        <v>12.526315789473685</v>
      </c>
      <c r="Y78" s="330">
        <f t="shared" si="13"/>
        <v>238</v>
      </c>
      <c r="Z78" s="37">
        <f t="shared" si="12"/>
        <v>12.526315789473685</v>
      </c>
    </row>
    <row r="79" spans="1:26" ht="15">
      <c r="A79" s="264" t="str">
        <f t="shared" si="3"/>
        <v>SHS55</v>
      </c>
      <c r="B79" s="336">
        <f t="shared" si="3"/>
        <v>856.6</v>
      </c>
      <c r="C79" s="329">
        <f t="shared" si="4"/>
        <v>45.084210526315793</v>
      </c>
      <c r="D79" s="44">
        <f t="shared" si="3"/>
        <v>1118.8</v>
      </c>
      <c r="E79" s="329">
        <f t="shared" si="6"/>
        <v>58.88421052631579</v>
      </c>
      <c r="F79" s="44">
        <f t="shared" si="3"/>
        <v>1149</v>
      </c>
      <c r="G79" s="48">
        <f t="shared" si="7"/>
        <v>60.473684210526315</v>
      </c>
      <c r="H79" s="330">
        <f t="shared" si="3"/>
        <v>1.8717032499574613</v>
      </c>
      <c r="I79" s="48">
        <f t="shared" si="7"/>
        <v>9.8510697366182176E-2</v>
      </c>
      <c r="J79" s="330">
        <f t="shared" si="3"/>
        <v>2</v>
      </c>
      <c r="K79" s="34">
        <f t="shared" si="7"/>
        <v>0.10526315789473684</v>
      </c>
      <c r="L79" s="44">
        <f t="shared" si="3"/>
        <v>973.96309677419345</v>
      </c>
      <c r="M79" s="34">
        <f t="shared" si="7"/>
        <v>51.26121561969439</v>
      </c>
      <c r="N79" s="197">
        <f t="shared" si="3"/>
        <v>756.60799999999995</v>
      </c>
      <c r="O79" s="34">
        <f t="shared" si="9"/>
        <v>39.821473684210524</v>
      </c>
      <c r="P79" s="331" t="str">
        <f t="shared" si="3"/>
        <v>SHS55</v>
      </c>
      <c r="Q79" s="165"/>
      <c r="R79" s="163"/>
      <c r="S79" s="338">
        <f t="shared" si="13"/>
        <v>35</v>
      </c>
      <c r="T79" s="37">
        <f t="shared" si="10"/>
        <v>1.8421052631578947</v>
      </c>
      <c r="U79" s="338">
        <f t="shared" si="13"/>
        <v>314</v>
      </c>
      <c r="V79" s="37">
        <f t="shared" si="10"/>
        <v>16.526315789473685</v>
      </c>
      <c r="W79" s="330">
        <f t="shared" si="13"/>
        <v>524</v>
      </c>
      <c r="X79" s="37">
        <f t="shared" si="12"/>
        <v>27.578947368421051</v>
      </c>
      <c r="Y79" s="330">
        <f t="shared" si="13"/>
        <v>524</v>
      </c>
      <c r="Z79" s="37">
        <f t="shared" si="12"/>
        <v>27.578947368421051</v>
      </c>
    </row>
    <row r="80" spans="1:26" ht="15">
      <c r="A80" s="264" t="str">
        <f t="shared" si="3"/>
        <v>SHS65</v>
      </c>
      <c r="B80" s="44">
        <f t="shared" si="3"/>
        <v>1239.5999999999999</v>
      </c>
      <c r="C80" s="329">
        <f t="shared" si="4"/>
        <v>65.242105263157896</v>
      </c>
      <c r="D80" s="44">
        <f t="shared" si="3"/>
        <v>1239.5999999999999</v>
      </c>
      <c r="E80" s="329">
        <f t="shared" si="6"/>
        <v>65.242105263157896</v>
      </c>
      <c r="F80" s="44">
        <f t="shared" si="3"/>
        <v>1300</v>
      </c>
      <c r="G80" s="34">
        <f t="shared" si="7"/>
        <v>68.421052631578945</v>
      </c>
      <c r="H80" s="330">
        <f t="shared" si="3"/>
        <v>1.8717032499574613</v>
      </c>
      <c r="I80" s="34">
        <f t="shared" si="7"/>
        <v>9.8510697366182176E-2</v>
      </c>
      <c r="J80" s="330">
        <f t="shared" si="3"/>
        <v>0</v>
      </c>
      <c r="K80" s="34">
        <f t="shared" si="7"/>
        <v>0</v>
      </c>
      <c r="L80" s="44">
        <f t="shared" si="3"/>
        <v>1203.4929032258065</v>
      </c>
      <c r="M80" s="34">
        <f t="shared" si="7"/>
        <v>63.341731748726659</v>
      </c>
      <c r="N80" s="197">
        <f t="shared" si="3"/>
        <v>1196.02</v>
      </c>
      <c r="O80" s="34">
        <f t="shared" si="9"/>
        <v>62.948421052631581</v>
      </c>
      <c r="P80" s="331" t="str">
        <f t="shared" si="3"/>
        <v>SHS65</v>
      </c>
      <c r="Q80" s="165"/>
      <c r="R80" s="163"/>
      <c r="S80" s="330">
        <f t="shared" si="13"/>
        <v>838</v>
      </c>
      <c r="T80" s="37">
        <f t="shared" si="10"/>
        <v>44.10526315789474</v>
      </c>
      <c r="U80" s="330">
        <f t="shared" si="13"/>
        <v>940</v>
      </c>
      <c r="V80" s="37">
        <f t="shared" si="10"/>
        <v>49.473684210526315</v>
      </c>
      <c r="W80" s="330">
        <f t="shared" si="13"/>
        <v>628</v>
      </c>
      <c r="X80" s="37">
        <f t="shared" si="12"/>
        <v>33.05263157894737</v>
      </c>
      <c r="Y80" s="330">
        <f t="shared" si="13"/>
        <v>628</v>
      </c>
      <c r="Z80" s="37">
        <f t="shared" si="12"/>
        <v>33.05263157894737</v>
      </c>
    </row>
    <row r="81" spans="1:26" ht="15">
      <c r="A81" s="264" t="str">
        <f t="shared" ref="A81:Y96" si="15">A34</f>
        <v>SRS9X</v>
      </c>
      <c r="B81" s="167"/>
      <c r="C81" s="269"/>
      <c r="D81" s="167"/>
      <c r="E81" s="162"/>
      <c r="F81" s="44">
        <f t="shared" si="15"/>
        <v>299.68508064516118</v>
      </c>
      <c r="G81" s="34">
        <f t="shared" si="7"/>
        <v>15.772898981324273</v>
      </c>
      <c r="H81" s="167"/>
      <c r="I81" s="162"/>
      <c r="J81" s="330">
        <f t="shared" si="15"/>
        <v>1</v>
      </c>
      <c r="K81" s="34">
        <f t="shared" si="7"/>
        <v>5.2631578947368418E-2</v>
      </c>
      <c r="L81" s="44">
        <f t="shared" si="15"/>
        <v>299.82564516129037</v>
      </c>
      <c r="M81" s="34">
        <f t="shared" si="7"/>
        <v>15.780297113752125</v>
      </c>
      <c r="N81" s="339">
        <f t="shared" si="15"/>
        <v>543.37</v>
      </c>
      <c r="O81" s="34">
        <f t="shared" si="9"/>
        <v>28.598421052631579</v>
      </c>
      <c r="P81" s="331" t="str">
        <f t="shared" si="15"/>
        <v>SRS9X</v>
      </c>
      <c r="Q81" s="165"/>
      <c r="R81" s="163"/>
      <c r="S81" s="165"/>
      <c r="T81" s="163"/>
      <c r="U81" s="165"/>
      <c r="V81" s="163"/>
      <c r="W81" s="330">
        <f t="shared" si="15"/>
        <v>3054</v>
      </c>
      <c r="X81" s="37">
        <f t="shared" ref="X81:Z106" si="16">W81/$D$1</f>
        <v>160.73684210526315</v>
      </c>
      <c r="Y81" s="330">
        <f t="shared" si="15"/>
        <v>3054</v>
      </c>
      <c r="Z81" s="37">
        <f t="shared" si="16"/>
        <v>160.73684210526315</v>
      </c>
    </row>
    <row r="82" spans="1:26" ht="15">
      <c r="A82" s="40" t="str">
        <f t="shared" si="15"/>
        <v>SRS9W</v>
      </c>
      <c r="B82" s="167"/>
      <c r="C82" s="269"/>
      <c r="D82" s="167"/>
      <c r="E82" s="162"/>
      <c r="F82" s="44">
        <f t="shared" si="15"/>
        <v>0</v>
      </c>
      <c r="G82" s="34">
        <f t="shared" si="7"/>
        <v>0</v>
      </c>
      <c r="H82" s="167"/>
      <c r="I82" s="162"/>
      <c r="J82" s="330">
        <f t="shared" si="15"/>
        <v>262</v>
      </c>
      <c r="K82" s="34">
        <f t="shared" si="7"/>
        <v>13.789473684210526</v>
      </c>
      <c r="L82" s="44">
        <f t="shared" si="15"/>
        <v>0</v>
      </c>
      <c r="M82" s="34">
        <f t="shared" si="7"/>
        <v>0</v>
      </c>
      <c r="N82" s="339">
        <f t="shared" si="15"/>
        <v>28.844000000000001</v>
      </c>
      <c r="O82" s="34">
        <f t="shared" si="9"/>
        <v>1.5181052631578948</v>
      </c>
      <c r="P82" s="331" t="str">
        <f t="shared" si="15"/>
        <v>SRS9W</v>
      </c>
      <c r="Q82" s="165"/>
      <c r="R82" s="163"/>
      <c r="S82" s="165"/>
      <c r="T82" s="163"/>
      <c r="U82" s="165"/>
      <c r="V82" s="163"/>
      <c r="W82" s="330">
        <f t="shared" si="15"/>
        <v>507</v>
      </c>
      <c r="X82" s="37">
        <f t="shared" si="16"/>
        <v>26.684210526315791</v>
      </c>
      <c r="Y82" s="330">
        <f t="shared" si="15"/>
        <v>507</v>
      </c>
      <c r="Z82" s="37">
        <f t="shared" si="16"/>
        <v>26.684210526315791</v>
      </c>
    </row>
    <row r="83" spans="1:26" ht="15">
      <c r="A83" s="40" t="str">
        <f t="shared" si="15"/>
        <v>SRS12</v>
      </c>
      <c r="B83" s="167"/>
      <c r="C83" s="269"/>
      <c r="D83" s="167"/>
      <c r="E83" s="162"/>
      <c r="F83" s="44">
        <f t="shared" si="15"/>
        <v>441.11658064516132</v>
      </c>
      <c r="G83" s="34">
        <f t="shared" si="7"/>
        <v>23.216662139219018</v>
      </c>
      <c r="H83" s="167"/>
      <c r="I83" s="162"/>
      <c r="J83" s="330">
        <f t="shared" si="15"/>
        <v>1205</v>
      </c>
      <c r="K83" s="34">
        <f t="shared" si="7"/>
        <v>63.421052631578945</v>
      </c>
      <c r="L83" s="44">
        <f t="shared" si="15"/>
        <v>0</v>
      </c>
      <c r="M83" s="34">
        <f t="shared" si="7"/>
        <v>0</v>
      </c>
      <c r="N83" s="339">
        <f t="shared" si="15"/>
        <v>734.79499999999996</v>
      </c>
      <c r="O83" s="34">
        <f t="shared" si="9"/>
        <v>38.673421052631575</v>
      </c>
      <c r="P83" s="331" t="str">
        <f t="shared" si="15"/>
        <v>SRS12</v>
      </c>
      <c r="Q83" s="165"/>
      <c r="R83" s="163"/>
      <c r="S83" s="165"/>
      <c r="T83" s="163"/>
      <c r="U83" s="165"/>
      <c r="V83" s="163"/>
      <c r="W83" s="330">
        <f t="shared" si="15"/>
        <v>1921</v>
      </c>
      <c r="X83" s="37">
        <f t="shared" si="16"/>
        <v>101.10526315789474</v>
      </c>
      <c r="Y83" s="330">
        <f t="shared" si="15"/>
        <v>1921</v>
      </c>
      <c r="Z83" s="37">
        <f t="shared" si="16"/>
        <v>101.10526315789474</v>
      </c>
    </row>
    <row r="84" spans="1:26" ht="15">
      <c r="A84" s="40" t="str">
        <f t="shared" si="15"/>
        <v>SRS12W</v>
      </c>
      <c r="B84" s="514">
        <f>B37</f>
        <v>0</v>
      </c>
      <c r="C84" s="329">
        <f>B84/$D$1</f>
        <v>0</v>
      </c>
      <c r="D84" s="514">
        <f>D37</f>
        <v>0</v>
      </c>
      <c r="E84" s="329">
        <f>D84/$D$1</f>
        <v>0</v>
      </c>
      <c r="F84" s="44">
        <f t="shared" si="15"/>
        <v>85</v>
      </c>
      <c r="G84" s="516">
        <f t="shared" si="7"/>
        <v>4.4736842105263159</v>
      </c>
      <c r="H84" s="517">
        <f>H37</f>
        <v>172.19669899608644</v>
      </c>
      <c r="I84" s="34">
        <f t="shared" si="7"/>
        <v>9.06298415768876</v>
      </c>
      <c r="J84" s="330">
        <f t="shared" si="15"/>
        <v>219</v>
      </c>
      <c r="K84" s="34">
        <f t="shared" si="7"/>
        <v>11.526315789473685</v>
      </c>
      <c r="L84" s="44">
        <f t="shared" si="15"/>
        <v>85</v>
      </c>
      <c r="M84" s="34">
        <f t="shared" si="7"/>
        <v>4.4736842105263159</v>
      </c>
      <c r="N84" s="339">
        <f t="shared" si="15"/>
        <v>102.64100000000001</v>
      </c>
      <c r="O84" s="34">
        <f t="shared" si="9"/>
        <v>5.4021578947368427</v>
      </c>
      <c r="P84" s="331" t="str">
        <f t="shared" si="15"/>
        <v>SRS12W</v>
      </c>
      <c r="Q84" s="165"/>
      <c r="R84" s="163"/>
      <c r="S84" s="165"/>
      <c r="T84" s="163"/>
      <c r="U84" s="165"/>
      <c r="V84" s="163"/>
      <c r="W84" s="330">
        <f t="shared" si="15"/>
        <v>924</v>
      </c>
      <c r="X84" s="37">
        <f t="shared" si="16"/>
        <v>48.631578947368418</v>
      </c>
      <c r="Y84" s="330">
        <f t="shared" si="15"/>
        <v>924</v>
      </c>
      <c r="Z84" s="37">
        <f t="shared" si="16"/>
        <v>48.631578947368418</v>
      </c>
    </row>
    <row r="85" spans="1:26" ht="15">
      <c r="A85" s="40" t="str">
        <f t="shared" si="15"/>
        <v>SRS15</v>
      </c>
      <c r="B85" s="167"/>
      <c r="C85" s="269"/>
      <c r="D85" s="167"/>
      <c r="E85" s="162"/>
      <c r="F85" s="44">
        <f t="shared" si="15"/>
        <v>0</v>
      </c>
      <c r="G85" s="34">
        <f t="shared" si="7"/>
        <v>0</v>
      </c>
      <c r="H85" s="167"/>
      <c r="I85" s="162"/>
      <c r="J85" s="330">
        <f t="shared" si="15"/>
        <v>0</v>
      </c>
      <c r="K85" s="34">
        <f t="shared" si="7"/>
        <v>0</v>
      </c>
      <c r="L85" s="44">
        <f t="shared" si="15"/>
        <v>0</v>
      </c>
      <c r="M85" s="34">
        <f t="shared" si="7"/>
        <v>0</v>
      </c>
      <c r="N85" s="339">
        <f t="shared" si="15"/>
        <v>21.37</v>
      </c>
      <c r="O85" s="34">
        <f t="shared" si="9"/>
        <v>1.1247368421052633</v>
      </c>
      <c r="P85" s="331" t="str">
        <f t="shared" si="15"/>
        <v>SRS15</v>
      </c>
      <c r="Q85" s="165"/>
      <c r="R85" s="163"/>
      <c r="S85" s="165"/>
      <c r="T85" s="163"/>
      <c r="U85" s="165"/>
      <c r="V85" s="163"/>
      <c r="W85" s="330">
        <f t="shared" si="15"/>
        <v>125</v>
      </c>
      <c r="X85" s="37">
        <f t="shared" si="16"/>
        <v>6.5789473684210522</v>
      </c>
      <c r="Y85" s="330">
        <f t="shared" si="15"/>
        <v>125</v>
      </c>
      <c r="Z85" s="37">
        <f t="shared" si="16"/>
        <v>6.5789473684210522</v>
      </c>
    </row>
    <row r="86" spans="1:26" ht="15">
      <c r="A86" s="199" t="str">
        <f t="shared" si="15"/>
        <v>SRS15W</v>
      </c>
      <c r="B86" s="167"/>
      <c r="C86" s="269"/>
      <c r="D86" s="167"/>
      <c r="E86" s="162"/>
      <c r="F86" s="44">
        <f t="shared" si="15"/>
        <v>1</v>
      </c>
      <c r="G86" s="34">
        <f t="shared" si="7"/>
        <v>5.2631578947368418E-2</v>
      </c>
      <c r="H86" s="167"/>
      <c r="I86" s="162"/>
      <c r="J86" s="330">
        <f t="shared" si="15"/>
        <v>430</v>
      </c>
      <c r="K86" s="34">
        <f t="shared" si="7"/>
        <v>22.631578947368421</v>
      </c>
      <c r="L86" s="44">
        <f t="shared" si="15"/>
        <v>1</v>
      </c>
      <c r="M86" s="34">
        <f t="shared" si="7"/>
        <v>5.2631578947368418E-2</v>
      </c>
      <c r="N86" s="340">
        <f t="shared" si="15"/>
        <v>386.72399999999999</v>
      </c>
      <c r="O86" s="34">
        <f t="shared" si="9"/>
        <v>20.353894736842104</v>
      </c>
      <c r="P86" s="331" t="str">
        <f t="shared" si="15"/>
        <v>SRS15W</v>
      </c>
      <c r="Q86" s="165"/>
      <c r="R86" s="163"/>
      <c r="S86" s="165"/>
      <c r="T86" s="163"/>
      <c r="U86" s="165"/>
      <c r="V86" s="163"/>
      <c r="W86" s="330">
        <f t="shared" si="15"/>
        <v>449</v>
      </c>
      <c r="X86" s="37">
        <f t="shared" si="16"/>
        <v>23.631578947368421</v>
      </c>
      <c r="Y86" s="330">
        <f t="shared" si="15"/>
        <v>449</v>
      </c>
      <c r="Z86" s="37">
        <f t="shared" si="16"/>
        <v>23.631578947368421</v>
      </c>
    </row>
    <row r="87" spans="1:26" ht="15">
      <c r="A87" s="40" t="str">
        <f t="shared" si="15"/>
        <v>HRW17</v>
      </c>
      <c r="B87" s="167"/>
      <c r="C87" s="269"/>
      <c r="D87" s="167"/>
      <c r="E87" s="162"/>
      <c r="F87" s="261"/>
      <c r="G87" s="161"/>
      <c r="H87" s="330">
        <f t="shared" si="15"/>
        <v>0</v>
      </c>
      <c r="I87" s="34">
        <f t="shared" si="7"/>
        <v>0</v>
      </c>
      <c r="J87" s="330">
        <f t="shared" si="15"/>
        <v>180</v>
      </c>
      <c r="K87" s="34">
        <f t="shared" si="7"/>
        <v>9.473684210526315</v>
      </c>
      <c r="L87" s="44">
        <f t="shared" si="15"/>
        <v>0</v>
      </c>
      <c r="M87" s="34">
        <f t="shared" si="7"/>
        <v>0</v>
      </c>
      <c r="N87" s="197">
        <f t="shared" si="15"/>
        <v>75.34</v>
      </c>
      <c r="O87" s="34">
        <f t="shared" si="9"/>
        <v>3.965263157894737</v>
      </c>
      <c r="P87" s="331" t="str">
        <f t="shared" si="15"/>
        <v>HRW17</v>
      </c>
      <c r="Q87" s="167"/>
      <c r="R87" s="162"/>
      <c r="S87" s="165"/>
      <c r="T87" s="163"/>
      <c r="U87" s="165"/>
      <c r="V87" s="163"/>
      <c r="W87" s="330">
        <f t="shared" si="15"/>
        <v>170</v>
      </c>
      <c r="X87" s="37">
        <f t="shared" si="16"/>
        <v>8.9473684210526319</v>
      </c>
      <c r="Y87" s="330">
        <f t="shared" si="15"/>
        <v>170</v>
      </c>
      <c r="Z87" s="37">
        <f t="shared" si="16"/>
        <v>8.9473684210526319</v>
      </c>
    </row>
    <row r="88" spans="1:26" ht="15">
      <c r="A88" s="40" t="str">
        <f t="shared" si="15"/>
        <v>HRW21</v>
      </c>
      <c r="B88" s="167"/>
      <c r="C88" s="341"/>
      <c r="D88" s="167"/>
      <c r="E88" s="169"/>
      <c r="F88" s="168"/>
      <c r="G88" s="169"/>
      <c r="H88" s="330">
        <f t="shared" si="15"/>
        <v>0</v>
      </c>
      <c r="I88" s="34">
        <f t="shared" si="7"/>
        <v>0</v>
      </c>
      <c r="J88" s="330">
        <f t="shared" si="15"/>
        <v>691</v>
      </c>
      <c r="K88" s="34">
        <f t="shared" si="7"/>
        <v>36.368421052631582</v>
      </c>
      <c r="L88" s="44">
        <f t="shared" si="15"/>
        <v>0</v>
      </c>
      <c r="M88" s="34">
        <f t="shared" si="7"/>
        <v>0</v>
      </c>
      <c r="N88" s="197">
        <f t="shared" si="15"/>
        <v>276.74400000000003</v>
      </c>
      <c r="O88" s="34">
        <f t="shared" si="9"/>
        <v>14.565473684210527</v>
      </c>
      <c r="P88" s="331" t="str">
        <f t="shared" si="15"/>
        <v>HRW21</v>
      </c>
      <c r="Q88" s="167"/>
      <c r="R88" s="162"/>
      <c r="S88" s="165"/>
      <c r="T88" s="163"/>
      <c r="U88" s="166"/>
      <c r="V88" s="164"/>
      <c r="W88" s="330">
        <f t="shared" si="15"/>
        <v>769</v>
      </c>
      <c r="X88" s="37">
        <f t="shared" si="16"/>
        <v>40.473684210526315</v>
      </c>
      <c r="Y88" s="330">
        <f t="shared" si="15"/>
        <v>769</v>
      </c>
      <c r="Z88" s="37">
        <f t="shared" si="16"/>
        <v>40.473684210526315</v>
      </c>
    </row>
    <row r="89" spans="1:26" ht="15">
      <c r="A89" s="40" t="str">
        <f t="shared" si="15"/>
        <v>HRW27</v>
      </c>
      <c r="B89" s="44">
        <f t="shared" si="15"/>
        <v>0</v>
      </c>
      <c r="C89" s="329">
        <f>B89/$D$1</f>
        <v>0</v>
      </c>
      <c r="D89" s="44">
        <f t="shared" si="15"/>
        <v>0</v>
      </c>
      <c r="E89" s="329">
        <f>D89/$D$1</f>
        <v>0</v>
      </c>
      <c r="F89" s="44">
        <f t="shared" si="15"/>
        <v>0</v>
      </c>
      <c r="G89" s="342">
        <f t="shared" si="7"/>
        <v>0</v>
      </c>
      <c r="H89" s="330">
        <f t="shared" si="15"/>
        <v>0</v>
      </c>
      <c r="I89" s="34">
        <f t="shared" si="7"/>
        <v>0</v>
      </c>
      <c r="J89" s="330">
        <f t="shared" si="15"/>
        <v>94</v>
      </c>
      <c r="K89" s="34">
        <f t="shared" si="7"/>
        <v>4.9473684210526319</v>
      </c>
      <c r="L89" s="44">
        <f t="shared" si="15"/>
        <v>0</v>
      </c>
      <c r="M89" s="34">
        <f t="shared" si="7"/>
        <v>0</v>
      </c>
      <c r="N89" s="197">
        <f t="shared" si="15"/>
        <v>51.783000000000001</v>
      </c>
      <c r="O89" s="34">
        <f t="shared" si="9"/>
        <v>2.725421052631579</v>
      </c>
      <c r="P89" s="331" t="str">
        <f t="shared" si="15"/>
        <v>HRW27</v>
      </c>
      <c r="Q89" s="167"/>
      <c r="R89" s="162"/>
      <c r="S89" s="165"/>
      <c r="T89" s="163"/>
      <c r="U89" s="330">
        <f t="shared" si="15"/>
        <v>0</v>
      </c>
      <c r="V89" s="37">
        <f t="shared" ref="V89:V90" si="17">U89/$D$1</f>
        <v>0</v>
      </c>
      <c r="W89" s="330">
        <f t="shared" si="15"/>
        <v>91</v>
      </c>
      <c r="X89" s="37">
        <f t="shared" si="16"/>
        <v>4.7894736842105265</v>
      </c>
      <c r="Y89" s="330">
        <f t="shared" si="15"/>
        <v>91</v>
      </c>
      <c r="Z89" s="37">
        <f t="shared" si="16"/>
        <v>4.7894736842105265</v>
      </c>
    </row>
    <row r="90" spans="1:26" ht="15">
      <c r="A90" s="40" t="str">
        <f t="shared" si="15"/>
        <v>HRW35</v>
      </c>
      <c r="B90" s="44">
        <f t="shared" si="15"/>
        <v>0</v>
      </c>
      <c r="C90" s="329">
        <f>B90/$D$1</f>
        <v>0</v>
      </c>
      <c r="D90" s="44">
        <f t="shared" si="15"/>
        <v>0</v>
      </c>
      <c r="E90" s="329">
        <f t="shared" ref="E90" si="18">D90/$D$1</f>
        <v>0</v>
      </c>
      <c r="F90" s="44">
        <f t="shared" si="15"/>
        <v>0</v>
      </c>
      <c r="G90" s="342">
        <f t="shared" si="7"/>
        <v>0</v>
      </c>
      <c r="H90" s="330">
        <f t="shared" si="15"/>
        <v>0</v>
      </c>
      <c r="I90" s="34">
        <f t="shared" si="7"/>
        <v>0</v>
      </c>
      <c r="J90" s="330">
        <f t="shared" si="15"/>
        <v>32</v>
      </c>
      <c r="K90" s="34">
        <f t="shared" si="7"/>
        <v>1.6842105263157894</v>
      </c>
      <c r="L90" s="44">
        <f t="shared" si="15"/>
        <v>0</v>
      </c>
      <c r="M90" s="34">
        <f t="shared" si="7"/>
        <v>0</v>
      </c>
      <c r="N90" s="197">
        <f t="shared" si="15"/>
        <v>123.72</v>
      </c>
      <c r="O90" s="34">
        <f t="shared" si="9"/>
        <v>6.5115789473684211</v>
      </c>
      <c r="P90" s="331" t="str">
        <f t="shared" si="15"/>
        <v>HRW35</v>
      </c>
      <c r="Q90" s="167"/>
      <c r="R90" s="162"/>
      <c r="S90" s="165"/>
      <c r="T90" s="163"/>
      <c r="U90" s="330">
        <f t="shared" si="15"/>
        <v>0</v>
      </c>
      <c r="V90" s="37">
        <f t="shared" si="17"/>
        <v>0</v>
      </c>
      <c r="W90" s="330">
        <f t="shared" si="15"/>
        <v>73</v>
      </c>
      <c r="X90" s="37">
        <f t="shared" si="16"/>
        <v>3.8421052631578947</v>
      </c>
      <c r="Y90" s="330">
        <f t="shared" si="15"/>
        <v>73</v>
      </c>
      <c r="Z90" s="37">
        <f t="shared" si="16"/>
        <v>3.8421052631578947</v>
      </c>
    </row>
    <row r="91" spans="1:26" ht="15">
      <c r="A91" s="40" t="str">
        <f t="shared" si="15"/>
        <v>SHW17</v>
      </c>
      <c r="B91" s="261"/>
      <c r="C91" s="268"/>
      <c r="D91" s="261"/>
      <c r="E91" s="161"/>
      <c r="F91" s="518"/>
      <c r="G91" s="519"/>
      <c r="H91" s="330">
        <f t="shared" si="15"/>
        <v>0</v>
      </c>
      <c r="I91" s="34">
        <f t="shared" si="7"/>
        <v>0</v>
      </c>
      <c r="J91" s="330">
        <f t="shared" si="15"/>
        <v>45</v>
      </c>
      <c r="K91" s="34">
        <f t="shared" si="7"/>
        <v>2.3684210526315788</v>
      </c>
      <c r="L91" s="44">
        <f t="shared" si="15"/>
        <v>36.9</v>
      </c>
      <c r="M91" s="34">
        <f t="shared" si="7"/>
        <v>1.9421052631578946</v>
      </c>
      <c r="N91" s="197">
        <f t="shared" si="15"/>
        <v>15.077999999999999</v>
      </c>
      <c r="O91" s="34">
        <f t="shared" si="9"/>
        <v>0.79357894736842105</v>
      </c>
      <c r="P91" s="331" t="str">
        <f t="shared" si="15"/>
        <v>SHW17</v>
      </c>
      <c r="Q91" s="167"/>
      <c r="R91" s="162"/>
      <c r="S91" s="165"/>
      <c r="T91" s="163"/>
      <c r="U91" s="165"/>
      <c r="V91" s="163"/>
      <c r="W91" s="330">
        <f t="shared" si="15"/>
        <v>54</v>
      </c>
      <c r="X91" s="37">
        <f t="shared" si="16"/>
        <v>2.8421052631578947</v>
      </c>
      <c r="Y91" s="330">
        <f t="shared" si="15"/>
        <v>54</v>
      </c>
      <c r="Z91" s="37">
        <f t="shared" si="16"/>
        <v>2.8421052631578947</v>
      </c>
    </row>
    <row r="92" spans="1:26" ht="15">
      <c r="A92" s="40" t="str">
        <f t="shared" si="15"/>
        <v>SHW21</v>
      </c>
      <c r="B92" s="44">
        <f>B45</f>
        <v>0</v>
      </c>
      <c r="C92" s="329">
        <f t="shared" ref="C92:C99" si="19">B92/$D$1</f>
        <v>0</v>
      </c>
      <c r="D92" s="44">
        <f>D45</f>
        <v>0</v>
      </c>
      <c r="E92" s="329"/>
      <c r="F92" s="168">
        <f>F45</f>
        <v>0</v>
      </c>
      <c r="G92" s="34">
        <f t="shared" si="7"/>
        <v>0</v>
      </c>
      <c r="H92" s="330">
        <f t="shared" si="15"/>
        <v>0</v>
      </c>
      <c r="I92" s="34">
        <f t="shared" si="7"/>
        <v>0</v>
      </c>
      <c r="J92" s="330">
        <f t="shared" si="15"/>
        <v>33</v>
      </c>
      <c r="K92" s="34">
        <f t="shared" si="7"/>
        <v>1.736842105263158</v>
      </c>
      <c r="L92" s="44">
        <f t="shared" si="15"/>
        <v>120</v>
      </c>
      <c r="M92" s="34">
        <f t="shared" si="7"/>
        <v>6.3157894736842106</v>
      </c>
      <c r="N92" s="197">
        <f t="shared" si="15"/>
        <v>14.2</v>
      </c>
      <c r="O92" s="34">
        <f t="shared" si="9"/>
        <v>0.74736842105263157</v>
      </c>
      <c r="P92" s="331" t="str">
        <f t="shared" si="15"/>
        <v>SHW21</v>
      </c>
      <c r="Q92" s="167"/>
      <c r="R92" s="162"/>
      <c r="S92" s="165"/>
      <c r="T92" s="163"/>
      <c r="U92" s="166"/>
      <c r="V92" s="164"/>
      <c r="W92" s="330">
        <f t="shared" si="15"/>
        <v>27</v>
      </c>
      <c r="X92" s="37">
        <f t="shared" si="16"/>
        <v>1.4210526315789473</v>
      </c>
      <c r="Y92" s="330">
        <f t="shared" si="15"/>
        <v>27</v>
      </c>
      <c r="Z92" s="37">
        <f t="shared" si="16"/>
        <v>1.4210526315789473</v>
      </c>
    </row>
    <row r="93" spans="1:26" ht="15">
      <c r="A93" s="40" t="str">
        <f t="shared" si="15"/>
        <v>SHW27</v>
      </c>
      <c r="B93" s="44">
        <f t="shared" si="15"/>
        <v>0</v>
      </c>
      <c r="C93" s="329">
        <f t="shared" si="19"/>
        <v>0</v>
      </c>
      <c r="D93" s="45">
        <f t="shared" si="15"/>
        <v>0</v>
      </c>
      <c r="E93" s="329">
        <f t="shared" ref="E93:E99" si="20">D93/$D$1</f>
        <v>0</v>
      </c>
      <c r="F93" s="45">
        <f t="shared" si="15"/>
        <v>0</v>
      </c>
      <c r="G93" s="34">
        <f t="shared" si="7"/>
        <v>0</v>
      </c>
      <c r="H93" s="330">
        <f t="shared" si="15"/>
        <v>0</v>
      </c>
      <c r="I93" s="34">
        <f t="shared" si="7"/>
        <v>0</v>
      </c>
      <c r="J93" s="330">
        <f t="shared" si="15"/>
        <v>704</v>
      </c>
      <c r="K93" s="34">
        <f t="shared" si="7"/>
        <v>37.05263157894737</v>
      </c>
      <c r="L93" s="44">
        <f t="shared" si="15"/>
        <v>0</v>
      </c>
      <c r="M93" s="34">
        <f t="shared" si="7"/>
        <v>0</v>
      </c>
      <c r="N93" s="197">
        <f t="shared" si="15"/>
        <v>205.01599999999999</v>
      </c>
      <c r="O93" s="34">
        <f t="shared" si="9"/>
        <v>10.790315789473684</v>
      </c>
      <c r="P93" s="331" t="str">
        <f t="shared" si="15"/>
        <v>SHW27</v>
      </c>
      <c r="Q93" s="167"/>
      <c r="R93" s="162"/>
      <c r="S93" s="165"/>
      <c r="T93" s="163"/>
      <c r="U93" s="338">
        <f t="shared" si="15"/>
        <v>0</v>
      </c>
      <c r="V93" s="37">
        <f t="shared" ref="V93:V97" si="21">U93/$D$1</f>
        <v>0</v>
      </c>
      <c r="W93" s="330">
        <f t="shared" si="15"/>
        <v>239</v>
      </c>
      <c r="X93" s="37">
        <f t="shared" si="16"/>
        <v>12.578947368421053</v>
      </c>
      <c r="Y93" s="330">
        <f t="shared" si="15"/>
        <v>239</v>
      </c>
      <c r="Z93" s="37">
        <f t="shared" si="16"/>
        <v>12.578947368421053</v>
      </c>
    </row>
    <row r="94" spans="1:26" ht="15">
      <c r="A94" s="40" t="str">
        <f t="shared" si="15"/>
        <v>SHW35</v>
      </c>
      <c r="B94" s="44">
        <f t="shared" si="15"/>
        <v>0</v>
      </c>
      <c r="C94" s="329">
        <f t="shared" si="19"/>
        <v>0</v>
      </c>
      <c r="D94" s="44">
        <f t="shared" si="15"/>
        <v>0</v>
      </c>
      <c r="E94" s="329">
        <f t="shared" si="20"/>
        <v>0</v>
      </c>
      <c r="F94" s="44">
        <f t="shared" si="15"/>
        <v>0</v>
      </c>
      <c r="G94" s="34">
        <f t="shared" si="7"/>
        <v>0</v>
      </c>
      <c r="H94" s="330">
        <f t="shared" si="15"/>
        <v>0</v>
      </c>
      <c r="I94" s="34">
        <f t="shared" si="7"/>
        <v>0</v>
      </c>
      <c r="J94" s="330">
        <f t="shared" si="15"/>
        <v>245</v>
      </c>
      <c r="K94" s="34">
        <f t="shared" si="7"/>
        <v>12.894736842105264</v>
      </c>
      <c r="L94" s="44">
        <f t="shared" si="15"/>
        <v>0</v>
      </c>
      <c r="M94" s="34">
        <f t="shared" si="7"/>
        <v>0</v>
      </c>
      <c r="N94" s="197">
        <f t="shared" si="15"/>
        <v>151.94499999999999</v>
      </c>
      <c r="O94" s="34">
        <f t="shared" si="9"/>
        <v>7.9971052631578941</v>
      </c>
      <c r="P94" s="331" t="str">
        <f t="shared" si="15"/>
        <v>SHW35</v>
      </c>
      <c r="Q94" s="167"/>
      <c r="R94" s="162"/>
      <c r="S94" s="165"/>
      <c r="T94" s="163"/>
      <c r="U94" s="330">
        <f t="shared" si="15"/>
        <v>0</v>
      </c>
      <c r="V94" s="37">
        <f t="shared" si="21"/>
        <v>0</v>
      </c>
      <c r="W94" s="330">
        <f t="shared" si="15"/>
        <v>43</v>
      </c>
      <c r="X94" s="37">
        <f t="shared" si="16"/>
        <v>2.263157894736842</v>
      </c>
      <c r="Y94" s="330">
        <f t="shared" si="15"/>
        <v>43</v>
      </c>
      <c r="Z94" s="37">
        <f t="shared" si="16"/>
        <v>2.263157894736842</v>
      </c>
    </row>
    <row r="95" spans="1:26" ht="15">
      <c r="A95" s="40" t="str">
        <f t="shared" si="15"/>
        <v>SR/SSR15</v>
      </c>
      <c r="B95" s="44">
        <f t="shared" si="15"/>
        <v>0</v>
      </c>
      <c r="C95" s="329">
        <f t="shared" si="19"/>
        <v>0</v>
      </c>
      <c r="D95" s="44">
        <f t="shared" si="15"/>
        <v>0</v>
      </c>
      <c r="E95" s="329">
        <f t="shared" si="20"/>
        <v>0</v>
      </c>
      <c r="F95" s="44">
        <f t="shared" si="15"/>
        <v>0</v>
      </c>
      <c r="G95" s="46">
        <f t="shared" si="7"/>
        <v>0</v>
      </c>
      <c r="H95" s="330">
        <f t="shared" si="15"/>
        <v>1091.2029947251999</v>
      </c>
      <c r="I95" s="34">
        <f t="shared" si="7"/>
        <v>57.431736564484204</v>
      </c>
      <c r="J95" s="330">
        <f t="shared" si="15"/>
        <v>842</v>
      </c>
      <c r="K95" s="34">
        <f t="shared" si="7"/>
        <v>44.315789473684212</v>
      </c>
      <c r="L95" s="44">
        <f t="shared" si="15"/>
        <v>194.35774193548386</v>
      </c>
      <c r="M95" s="34">
        <f t="shared" si="7"/>
        <v>10.229354838709677</v>
      </c>
      <c r="N95" s="197">
        <f t="shared" si="15"/>
        <v>393.44399999999996</v>
      </c>
      <c r="O95" s="34">
        <f t="shared" si="9"/>
        <v>20.707578947368418</v>
      </c>
      <c r="P95" s="331" t="str">
        <f t="shared" si="15"/>
        <v>SR15</v>
      </c>
      <c r="Q95" s="167"/>
      <c r="R95" s="162"/>
      <c r="S95" s="165"/>
      <c r="T95" s="163"/>
      <c r="U95" s="330">
        <f t="shared" si="15"/>
        <v>0</v>
      </c>
      <c r="V95" s="37">
        <f t="shared" si="21"/>
        <v>0</v>
      </c>
      <c r="W95" s="330">
        <f t="shared" si="15"/>
        <v>997</v>
      </c>
      <c r="X95" s="37">
        <f t="shared" si="16"/>
        <v>52.473684210526315</v>
      </c>
      <c r="Y95" s="330">
        <f t="shared" si="15"/>
        <v>997</v>
      </c>
      <c r="Z95" s="37">
        <f t="shared" si="16"/>
        <v>52.473684210526315</v>
      </c>
    </row>
    <row r="96" spans="1:26" ht="15">
      <c r="A96" s="40" t="str">
        <f t="shared" si="15"/>
        <v>SR/SSR20</v>
      </c>
      <c r="B96" s="44">
        <f t="shared" si="15"/>
        <v>0</v>
      </c>
      <c r="C96" s="329">
        <f t="shared" si="19"/>
        <v>0</v>
      </c>
      <c r="D96" s="44">
        <f t="shared" si="15"/>
        <v>0</v>
      </c>
      <c r="E96" s="329">
        <f t="shared" si="20"/>
        <v>0</v>
      </c>
      <c r="F96" s="44">
        <f t="shared" si="15"/>
        <v>0</v>
      </c>
      <c r="G96" s="34">
        <f t="shared" si="7"/>
        <v>0</v>
      </c>
      <c r="H96" s="330">
        <f t="shared" si="15"/>
        <v>275.1403777437468</v>
      </c>
      <c r="I96" s="34">
        <f t="shared" si="7"/>
        <v>14.48107251282878</v>
      </c>
      <c r="J96" s="330">
        <f t="shared" si="15"/>
        <v>41</v>
      </c>
      <c r="K96" s="34">
        <f t="shared" si="7"/>
        <v>2.1578947368421053</v>
      </c>
      <c r="L96" s="44">
        <f t="shared" si="15"/>
        <v>24.324129032258067</v>
      </c>
      <c r="M96" s="34">
        <f t="shared" si="7"/>
        <v>1.2802173174872666</v>
      </c>
      <c r="N96" s="197">
        <f t="shared" si="15"/>
        <v>111.58799999999999</v>
      </c>
      <c r="O96" s="34">
        <f t="shared" si="9"/>
        <v>5.8730526315789469</v>
      </c>
      <c r="P96" s="331" t="str">
        <f t="shared" si="15"/>
        <v>SR20</v>
      </c>
      <c r="Q96" s="167"/>
      <c r="R96" s="162"/>
      <c r="S96" s="165"/>
      <c r="T96" s="162"/>
      <c r="U96" s="330">
        <f t="shared" si="15"/>
        <v>0</v>
      </c>
      <c r="V96" s="37">
        <f t="shared" si="21"/>
        <v>0</v>
      </c>
      <c r="W96" s="330">
        <f t="shared" si="15"/>
        <v>241</v>
      </c>
      <c r="X96" s="37">
        <f t="shared" si="16"/>
        <v>12.684210526315789</v>
      </c>
      <c r="Y96" s="330">
        <f t="shared" si="15"/>
        <v>241</v>
      </c>
      <c r="Z96" s="37">
        <f t="shared" si="16"/>
        <v>12.684210526315789</v>
      </c>
    </row>
    <row r="97" spans="1:26" ht="15">
      <c r="A97" s="40" t="str">
        <f t="shared" ref="A97:Y107" si="22">A50</f>
        <v>SR/SSR25</v>
      </c>
      <c r="B97" s="44">
        <f t="shared" si="22"/>
        <v>0</v>
      </c>
      <c r="C97" s="329">
        <f t="shared" si="19"/>
        <v>0</v>
      </c>
      <c r="D97" s="44">
        <f t="shared" si="22"/>
        <v>0</v>
      </c>
      <c r="E97" s="329">
        <f t="shared" si="20"/>
        <v>0</v>
      </c>
      <c r="F97" s="44">
        <f t="shared" si="22"/>
        <v>0</v>
      </c>
      <c r="G97" s="34">
        <f t="shared" si="7"/>
        <v>0</v>
      </c>
      <c r="H97" s="330">
        <f t="shared" si="22"/>
        <v>117.91730474732006</v>
      </c>
      <c r="I97" s="34">
        <f t="shared" si="7"/>
        <v>6.2061739340694766</v>
      </c>
      <c r="J97" s="330">
        <f t="shared" si="22"/>
        <v>19</v>
      </c>
      <c r="K97" s="34">
        <f t="shared" si="7"/>
        <v>1</v>
      </c>
      <c r="L97" s="44">
        <f t="shared" si="22"/>
        <v>260.50019354838713</v>
      </c>
      <c r="M97" s="34">
        <f t="shared" si="7"/>
        <v>13.710536502546692</v>
      </c>
      <c r="N97" s="197">
        <f t="shared" si="22"/>
        <v>295.61</v>
      </c>
      <c r="O97" s="34">
        <f t="shared" si="9"/>
        <v>15.55842105263158</v>
      </c>
      <c r="P97" s="331" t="str">
        <f t="shared" si="22"/>
        <v>SR25</v>
      </c>
      <c r="Q97" s="167"/>
      <c r="R97" s="162"/>
      <c r="S97" s="165"/>
      <c r="T97" s="162"/>
      <c r="U97" s="330">
        <f t="shared" si="22"/>
        <v>0</v>
      </c>
      <c r="V97" s="37">
        <f t="shared" si="21"/>
        <v>0</v>
      </c>
      <c r="W97" s="330">
        <f t="shared" si="22"/>
        <v>826</v>
      </c>
      <c r="X97" s="37">
        <f t="shared" si="16"/>
        <v>43.473684210526315</v>
      </c>
      <c r="Y97" s="330">
        <f t="shared" si="22"/>
        <v>826</v>
      </c>
      <c r="Z97" s="37">
        <f t="shared" si="16"/>
        <v>43.473684210526315</v>
      </c>
    </row>
    <row r="98" spans="1:26" ht="15">
      <c r="A98" s="40" t="str">
        <f t="shared" si="22"/>
        <v>SR/SSR30</v>
      </c>
      <c r="B98" s="44">
        <f t="shared" si="22"/>
        <v>0</v>
      </c>
      <c r="C98" s="329">
        <f t="shared" si="19"/>
        <v>0</v>
      </c>
      <c r="D98" s="44">
        <f t="shared" si="22"/>
        <v>0</v>
      </c>
      <c r="E98" s="329">
        <f t="shared" si="20"/>
        <v>0</v>
      </c>
      <c r="F98" s="44">
        <f t="shared" si="22"/>
        <v>0</v>
      </c>
      <c r="G98" s="34">
        <f t="shared" si="7"/>
        <v>0</v>
      </c>
      <c r="H98" s="330">
        <f t="shared" si="22"/>
        <v>0</v>
      </c>
      <c r="I98" s="34">
        <f t="shared" si="7"/>
        <v>0</v>
      </c>
      <c r="J98" s="330">
        <f t="shared" si="22"/>
        <v>459</v>
      </c>
      <c r="K98" s="34">
        <f t="shared" si="7"/>
        <v>24.157894736842106</v>
      </c>
      <c r="L98" s="44">
        <f t="shared" si="22"/>
        <v>0</v>
      </c>
      <c r="M98" s="34">
        <f t="shared" si="7"/>
        <v>0</v>
      </c>
      <c r="N98" s="197">
        <f t="shared" si="22"/>
        <v>397.98499999999996</v>
      </c>
      <c r="O98" s="34">
        <f t="shared" si="9"/>
        <v>20.946578947368419</v>
      </c>
      <c r="P98" s="331" t="str">
        <f t="shared" si="22"/>
        <v>SR30</v>
      </c>
      <c r="Q98" s="167"/>
      <c r="R98" s="162"/>
      <c r="S98" s="167"/>
      <c r="T98" s="162"/>
      <c r="U98" s="261"/>
      <c r="V98" s="161"/>
      <c r="W98" s="330">
        <f t="shared" si="22"/>
        <v>54</v>
      </c>
      <c r="X98" s="37">
        <f t="shared" si="16"/>
        <v>2.8421052631578947</v>
      </c>
      <c r="Y98" s="330">
        <f t="shared" si="22"/>
        <v>54</v>
      </c>
      <c r="Z98" s="37">
        <f t="shared" si="16"/>
        <v>2.8421052631578947</v>
      </c>
    </row>
    <row r="99" spans="1:26" ht="15">
      <c r="A99" s="40" t="str">
        <f t="shared" si="22"/>
        <v>SR/SSR35</v>
      </c>
      <c r="B99" s="44">
        <f t="shared" si="22"/>
        <v>0</v>
      </c>
      <c r="C99" s="329">
        <f t="shared" si="19"/>
        <v>0</v>
      </c>
      <c r="D99" s="44">
        <f t="shared" si="22"/>
        <v>0</v>
      </c>
      <c r="E99" s="329">
        <f t="shared" si="20"/>
        <v>0</v>
      </c>
      <c r="F99" s="44">
        <f t="shared" si="22"/>
        <v>0</v>
      </c>
      <c r="G99" s="34">
        <f t="shared" si="7"/>
        <v>0</v>
      </c>
      <c r="H99" s="330">
        <f t="shared" si="22"/>
        <v>0</v>
      </c>
      <c r="I99" s="34">
        <f t="shared" si="7"/>
        <v>0</v>
      </c>
      <c r="J99" s="330">
        <f t="shared" si="22"/>
        <v>51</v>
      </c>
      <c r="K99" s="34">
        <f t="shared" si="7"/>
        <v>2.6842105263157894</v>
      </c>
      <c r="L99" s="336">
        <f t="shared" si="22"/>
        <v>0</v>
      </c>
      <c r="M99" s="34">
        <f t="shared" si="7"/>
        <v>0</v>
      </c>
      <c r="N99" s="343">
        <f t="shared" si="22"/>
        <v>99.4</v>
      </c>
      <c r="O99" s="34">
        <f t="shared" si="9"/>
        <v>5.2315789473684218</v>
      </c>
      <c r="P99" s="331" t="str">
        <f t="shared" si="22"/>
        <v>SR35</v>
      </c>
      <c r="Q99" s="167"/>
      <c r="R99" s="162"/>
      <c r="S99" s="168"/>
      <c r="T99" s="169"/>
      <c r="U99" s="168"/>
      <c r="V99" s="169"/>
      <c r="W99" s="330">
        <f t="shared" si="22"/>
        <v>228</v>
      </c>
      <c r="X99" s="37">
        <f t="shared" si="16"/>
        <v>12</v>
      </c>
      <c r="Y99" s="330">
        <f t="shared" si="22"/>
        <v>228</v>
      </c>
      <c r="Z99" s="37">
        <f t="shared" si="16"/>
        <v>12</v>
      </c>
    </row>
    <row r="100" spans="1:26" ht="15">
      <c r="A100" s="40" t="str">
        <f t="shared" si="22"/>
        <v>HDR35</v>
      </c>
      <c r="B100" s="165"/>
      <c r="C100" s="163"/>
      <c r="D100" s="165"/>
      <c r="E100" s="163"/>
      <c r="F100" s="165"/>
      <c r="G100" s="170"/>
      <c r="H100" s="520">
        <f>H53</f>
        <v>116.0456014973626</v>
      </c>
      <c r="I100" s="34">
        <f t="shared" si="7"/>
        <v>6.1076632367032948</v>
      </c>
      <c r="J100" s="497"/>
      <c r="K100" s="163"/>
      <c r="L100" s="44">
        <f t="shared" si="22"/>
        <v>633.66696774193542</v>
      </c>
      <c r="M100" s="34">
        <f t="shared" si="7"/>
        <v>33.350893039049232</v>
      </c>
      <c r="N100" s="197">
        <f t="shared" si="22"/>
        <v>489.27600000000001</v>
      </c>
      <c r="O100" s="34">
        <f t="shared" si="9"/>
        <v>25.751368421052632</v>
      </c>
      <c r="P100" s="331" t="str">
        <f t="shared" si="22"/>
        <v>SSR15</v>
      </c>
      <c r="Q100" s="165"/>
      <c r="R100" s="163"/>
      <c r="S100" s="330">
        <f t="shared" si="22"/>
        <v>1229</v>
      </c>
      <c r="T100" s="37">
        <f t="shared" ref="T100:T102" si="23">S100/$D$1</f>
        <v>64.684210526315795</v>
      </c>
      <c r="U100" s="330">
        <f t="shared" si="22"/>
        <v>1155</v>
      </c>
      <c r="V100" s="37">
        <f t="shared" ref="V100:V102" si="24">U100/$D$1</f>
        <v>60.789473684210527</v>
      </c>
      <c r="W100" s="330">
        <f t="shared" si="22"/>
        <v>1450</v>
      </c>
      <c r="X100" s="37">
        <f t="shared" si="16"/>
        <v>76.315789473684205</v>
      </c>
      <c r="Y100" s="330">
        <f t="shared" si="22"/>
        <v>1450</v>
      </c>
      <c r="Z100" s="37">
        <f t="shared" si="16"/>
        <v>76.315789473684205</v>
      </c>
    </row>
    <row r="101" spans="1:26" ht="15.75" thickBot="1">
      <c r="A101" s="40" t="str">
        <f t="shared" si="22"/>
        <v>SRG45</v>
      </c>
      <c r="B101" s="344"/>
      <c r="C101" s="172"/>
      <c r="D101" s="344"/>
      <c r="E101" s="172"/>
      <c r="F101" s="344"/>
      <c r="G101" s="172"/>
      <c r="H101" s="344"/>
      <c r="I101" s="172"/>
      <c r="J101" s="344"/>
      <c r="K101" s="172"/>
      <c r="L101" s="44">
        <f t="shared" si="22"/>
        <v>0</v>
      </c>
      <c r="M101" s="34">
        <f t="shared" ref="M101" si="25">L101/$D$1</f>
        <v>0</v>
      </c>
      <c r="N101" s="197">
        <f t="shared" si="22"/>
        <v>0</v>
      </c>
      <c r="O101" s="34">
        <f t="shared" si="9"/>
        <v>0</v>
      </c>
      <c r="P101" s="331" t="str">
        <f t="shared" si="22"/>
        <v>SSR20</v>
      </c>
      <c r="Q101" s="165"/>
      <c r="R101" s="163"/>
      <c r="S101" s="335">
        <f t="shared" si="22"/>
        <v>466</v>
      </c>
      <c r="T101" s="37">
        <f t="shared" si="23"/>
        <v>24.526315789473685</v>
      </c>
      <c r="U101" s="335">
        <f t="shared" si="22"/>
        <v>530</v>
      </c>
      <c r="V101" s="37">
        <f t="shared" si="24"/>
        <v>27.894736842105264</v>
      </c>
      <c r="W101" s="330">
        <f t="shared" si="22"/>
        <v>1024</v>
      </c>
      <c r="X101" s="37">
        <f t="shared" si="16"/>
        <v>53.89473684210526</v>
      </c>
      <c r="Y101" s="330">
        <f t="shared" si="22"/>
        <v>1024</v>
      </c>
      <c r="Z101" s="37">
        <f t="shared" si="16"/>
        <v>53.89473684210526</v>
      </c>
    </row>
    <row r="102" spans="1:26" ht="16.5" thickTop="1" thickBot="1">
      <c r="A102" s="49" t="str">
        <f t="shared" si="22"/>
        <v>TOTAL</v>
      </c>
      <c r="B102" s="50">
        <f>SUM(B65:B101)</f>
        <v>9930</v>
      </c>
      <c r="C102" s="51">
        <f t="shared" ref="C102:O102" si="26">SUM(C65:C101)</f>
        <v>522.63157894736844</v>
      </c>
      <c r="D102" s="50">
        <f t="shared" si="26"/>
        <v>12535.1</v>
      </c>
      <c r="E102" s="51">
        <f t="shared" si="26"/>
        <v>659.7421052631579</v>
      </c>
      <c r="F102" s="50">
        <f t="shared" si="26"/>
        <v>12610.451661290321</v>
      </c>
      <c r="G102" s="51">
        <f t="shared" si="26"/>
        <v>663.70798217317497</v>
      </c>
      <c r="H102" s="52">
        <f>SUM(H65:H101)</f>
        <v>10999.999999999996</v>
      </c>
      <c r="I102" s="53">
        <f t="shared" si="26"/>
        <v>578.9473684210526</v>
      </c>
      <c r="J102" s="52">
        <f t="shared" si="26"/>
        <v>6989</v>
      </c>
      <c r="K102" s="53">
        <f t="shared" si="26"/>
        <v>367.84210526315786</v>
      </c>
      <c r="L102" s="50">
        <f t="shared" si="26"/>
        <v>15638.440306451615</v>
      </c>
      <c r="M102" s="51">
        <f t="shared" si="26"/>
        <v>823.07580560271663</v>
      </c>
      <c r="N102" s="50">
        <f>SUM(N65:N101)</f>
        <v>17047.000500000002</v>
      </c>
      <c r="O102" s="51">
        <f t="shared" si="26"/>
        <v>897.21055263157905</v>
      </c>
      <c r="P102" s="331" t="str">
        <f t="shared" si="22"/>
        <v>SSR25</v>
      </c>
      <c r="Q102" s="165"/>
      <c r="R102" s="163"/>
      <c r="S102" s="335">
        <f t="shared" si="22"/>
        <v>0</v>
      </c>
      <c r="T102" s="37">
        <f t="shared" si="23"/>
        <v>0</v>
      </c>
      <c r="U102" s="335">
        <f t="shared" si="22"/>
        <v>65</v>
      </c>
      <c r="V102" s="37">
        <f t="shared" si="24"/>
        <v>3.4210526315789473</v>
      </c>
      <c r="W102" s="330">
        <f t="shared" si="22"/>
        <v>624</v>
      </c>
      <c r="X102" s="37">
        <f t="shared" si="16"/>
        <v>32.842105263157897</v>
      </c>
      <c r="Y102" s="330">
        <f t="shared" si="22"/>
        <v>624</v>
      </c>
      <c r="Z102" s="37">
        <f t="shared" si="16"/>
        <v>32.842105263157897</v>
      </c>
    </row>
    <row r="103" spans="1:26" ht="15.75" thickTop="1">
      <c r="A103" s="29"/>
      <c r="B103" s="29"/>
      <c r="C103" s="29"/>
      <c r="D103" s="29"/>
      <c r="E103" s="29"/>
      <c r="F103" s="29"/>
      <c r="G103" s="29"/>
      <c r="H103" s="29"/>
      <c r="I103" s="29"/>
      <c r="J103" s="36"/>
      <c r="K103" s="36"/>
      <c r="L103" s="29"/>
      <c r="M103" s="29"/>
      <c r="N103" s="345"/>
      <c r="O103" s="345"/>
      <c r="P103" s="331" t="str">
        <f t="shared" si="22"/>
        <v>SSR30</v>
      </c>
      <c r="Q103" s="165"/>
      <c r="R103" s="163"/>
      <c r="S103" s="171"/>
      <c r="T103" s="170"/>
      <c r="U103" s="171"/>
      <c r="V103" s="170"/>
      <c r="W103" s="330">
        <f t="shared" si="22"/>
        <v>206</v>
      </c>
      <c r="X103" s="37">
        <f t="shared" si="16"/>
        <v>10.842105263157896</v>
      </c>
      <c r="Y103" s="330">
        <f t="shared" si="22"/>
        <v>206</v>
      </c>
      <c r="Z103" s="37">
        <f t="shared" si="16"/>
        <v>10.842105263157896</v>
      </c>
    </row>
    <row r="104" spans="1:26" ht="15">
      <c r="A104" s="29"/>
      <c r="B104" s="29"/>
      <c r="C104" s="29"/>
      <c r="D104" s="54"/>
      <c r="E104" s="54"/>
      <c r="F104" s="29"/>
      <c r="G104" s="29"/>
      <c r="H104" s="29"/>
      <c r="I104" s="29"/>
      <c r="J104" s="36"/>
      <c r="K104" s="36"/>
      <c r="L104" s="29"/>
      <c r="M104" s="29"/>
      <c r="N104" s="54"/>
      <c r="O104" s="54"/>
      <c r="P104" s="346" t="str">
        <f t="shared" si="22"/>
        <v>SSR35</v>
      </c>
      <c r="Q104" s="165"/>
      <c r="R104" s="163"/>
      <c r="S104" s="165"/>
      <c r="T104" s="163"/>
      <c r="U104" s="165"/>
      <c r="V104" s="163"/>
      <c r="W104" s="338">
        <f t="shared" si="22"/>
        <v>1</v>
      </c>
      <c r="X104" s="37">
        <f t="shared" si="16"/>
        <v>5.2631578947368418E-2</v>
      </c>
      <c r="Y104" s="338">
        <f t="shared" si="22"/>
        <v>1</v>
      </c>
      <c r="Z104" s="37">
        <f t="shared" si="16"/>
        <v>5.2631578947368418E-2</v>
      </c>
    </row>
    <row r="105" spans="1:26" ht="15">
      <c r="A105" s="29"/>
      <c r="B105" s="29"/>
      <c r="C105" s="29"/>
      <c r="D105" s="54"/>
      <c r="E105" s="29"/>
      <c r="F105" s="29"/>
      <c r="G105" s="29"/>
      <c r="H105" s="29"/>
      <c r="I105" s="29"/>
      <c r="J105" s="36"/>
      <c r="K105" s="36"/>
      <c r="L105" s="54"/>
      <c r="M105" s="29"/>
      <c r="N105" s="54"/>
      <c r="O105" s="54"/>
      <c r="P105" s="331" t="str">
        <f t="shared" si="22"/>
        <v>HDR35</v>
      </c>
      <c r="Q105" s="165"/>
      <c r="R105" s="163"/>
      <c r="S105" s="165"/>
      <c r="T105" s="163"/>
      <c r="U105" s="165"/>
      <c r="V105" s="163"/>
      <c r="W105" s="330">
        <f t="shared" si="22"/>
        <v>432</v>
      </c>
      <c r="X105" s="37">
        <f t="shared" si="16"/>
        <v>22.736842105263158</v>
      </c>
      <c r="Y105" s="330">
        <f t="shared" si="22"/>
        <v>432</v>
      </c>
      <c r="Z105" s="37">
        <f t="shared" si="16"/>
        <v>22.736842105263158</v>
      </c>
    </row>
    <row r="106" spans="1:26" ht="15.75" thickBot="1">
      <c r="A106" s="29"/>
      <c r="B106" s="29"/>
      <c r="C106" s="29"/>
      <c r="D106" s="29"/>
      <c r="E106" s="29"/>
      <c r="F106" s="29"/>
      <c r="G106" s="29"/>
      <c r="H106" s="36"/>
      <c r="I106" s="29"/>
      <c r="J106" s="36"/>
      <c r="K106" s="36"/>
      <c r="L106" s="29"/>
      <c r="M106" s="29"/>
      <c r="N106" s="54"/>
      <c r="O106" s="54"/>
      <c r="P106" s="347" t="str">
        <f t="shared" si="22"/>
        <v>SRG45</v>
      </c>
      <c r="Q106" s="344"/>
      <c r="R106" s="172"/>
      <c r="S106" s="344"/>
      <c r="T106" s="172"/>
      <c r="U106" s="344"/>
      <c r="V106" s="172"/>
      <c r="W106" s="348">
        <f t="shared" si="22"/>
        <v>0</v>
      </c>
      <c r="X106" s="37">
        <f t="shared" si="16"/>
        <v>0</v>
      </c>
      <c r="Y106" s="348">
        <f t="shared" si="22"/>
        <v>0</v>
      </c>
      <c r="Z106" s="37">
        <f t="shared" si="16"/>
        <v>0</v>
      </c>
    </row>
    <row r="107" spans="1:26" ht="16.5" thickTop="1" thickBot="1">
      <c r="A107" s="29"/>
      <c r="B107" s="29"/>
      <c r="C107" s="29"/>
      <c r="D107" s="29"/>
      <c r="E107" s="29"/>
      <c r="F107" s="29"/>
      <c r="G107" s="54"/>
      <c r="H107" s="36"/>
      <c r="I107" s="29"/>
      <c r="J107" s="36"/>
      <c r="K107" s="36"/>
      <c r="L107" s="29"/>
      <c r="M107" s="29"/>
      <c r="N107" s="29"/>
      <c r="O107" s="29"/>
      <c r="P107" s="347" t="str">
        <f t="shared" si="22"/>
        <v>TOTAL</v>
      </c>
      <c r="Q107" s="52">
        <f t="shared" ref="Q107:Z107" si="27">SUM(Q65:Q106)</f>
        <v>13544</v>
      </c>
      <c r="R107" s="53">
        <f t="shared" si="27"/>
        <v>712.84210526315792</v>
      </c>
      <c r="S107" s="52">
        <f t="shared" si="27"/>
        <v>21616</v>
      </c>
      <c r="T107" s="53">
        <f t="shared" si="27"/>
        <v>1137.6842105263158</v>
      </c>
      <c r="U107" s="52">
        <f t="shared" si="27"/>
        <v>28161</v>
      </c>
      <c r="V107" s="53">
        <f t="shared" si="27"/>
        <v>1482.1578947368423</v>
      </c>
      <c r="W107" s="52">
        <f>SUM(W65:W106)</f>
        <v>43712</v>
      </c>
      <c r="X107" s="53">
        <f t="shared" si="27"/>
        <v>2300.6315789473692</v>
      </c>
      <c r="Y107" s="52">
        <f>SUM(Y65:Y106)</f>
        <v>43712</v>
      </c>
      <c r="Z107" s="53">
        <f t="shared" si="27"/>
        <v>2300.6315789473692</v>
      </c>
    </row>
    <row r="108" spans="1:26" ht="13.5" thickTop="1"/>
  </sheetData>
  <mergeCells count="24">
    <mergeCell ref="Y63:Z63"/>
    <mergeCell ref="B63:C63"/>
    <mergeCell ref="D63:E63"/>
    <mergeCell ref="F63:G63"/>
    <mergeCell ref="H63:I63"/>
    <mergeCell ref="J63:K63"/>
    <mergeCell ref="L63:M63"/>
    <mergeCell ref="N63:O63"/>
    <mergeCell ref="Q63:R63"/>
    <mergeCell ref="S63:T63"/>
    <mergeCell ref="U63:V63"/>
    <mergeCell ref="W63:X63"/>
    <mergeCell ref="Y16:Z16"/>
    <mergeCell ref="B16:C16"/>
    <mergeCell ref="D16:E16"/>
    <mergeCell ref="F16:G16"/>
    <mergeCell ref="H16:I16"/>
    <mergeCell ref="J16:K16"/>
    <mergeCell ref="L16:M16"/>
    <mergeCell ref="N16:O16"/>
    <mergeCell ref="Q16:R16"/>
    <mergeCell ref="S16:T16"/>
    <mergeCell ref="U16:V16"/>
    <mergeCell ref="W16:X16"/>
  </mergeCells>
  <phoneticPr fontId="47"/>
  <conditionalFormatting sqref="C3:C14">
    <cfRule type="cellIs" dxfId="1" priority="1" stopIfTrue="1" operator="greaterThanOrEqual">
      <formula>B3</formula>
    </cfRule>
    <cfRule type="cellIs" dxfId="0" priority="2" stopIfTrue="1" operator="lessThan">
      <formula>B3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R249"/>
  <sheetViews>
    <sheetView showGridLines="0" zoomScaleNormal="100" workbookViewId="0">
      <pane xSplit="2" ySplit="4" topLeftCell="C5" activePane="bottomRight" state="frozen"/>
      <selection pane="bottomRight" activeCell="E39" sqref="E39"/>
      <selection pane="bottomLeft" activeCell="A6" sqref="A6"/>
      <selection pane="topRight" activeCell="C1" sqref="C1"/>
    </sheetView>
  </sheetViews>
  <sheetFormatPr defaultColWidth="9.140625" defaultRowHeight="12.75"/>
  <cols>
    <col min="1" max="1" width="11.42578125" style="1" customWidth="1"/>
    <col min="2" max="2" width="30.85546875" style="1" customWidth="1"/>
    <col min="3" max="3" width="9.140625" style="1"/>
    <col min="4" max="4" width="11" style="1" bestFit="1" customWidth="1"/>
    <col min="5" max="6" width="11" style="1" customWidth="1"/>
    <col min="7" max="16384" width="9.140625" style="1"/>
  </cols>
  <sheetData>
    <row r="2" spans="1:15" ht="21.75" customHeight="1">
      <c r="B2" s="2" t="s">
        <v>0</v>
      </c>
      <c r="C2" s="1" t="s">
        <v>1</v>
      </c>
      <c r="D2" s="59">
        <v>19</v>
      </c>
      <c r="E2" s="316"/>
      <c r="F2" s="316"/>
      <c r="G2" s="1" t="s">
        <v>2</v>
      </c>
      <c r="I2" s="270" t="s">
        <v>28</v>
      </c>
    </row>
    <row r="3" spans="1:15">
      <c r="J3" s="619"/>
      <c r="K3" s="619"/>
      <c r="L3" s="619"/>
      <c r="M3" s="619"/>
      <c r="N3" s="619"/>
      <c r="O3" s="619"/>
    </row>
    <row r="4" spans="1:15" ht="51">
      <c r="A4" s="69" t="s">
        <v>3</v>
      </c>
      <c r="B4" s="69" t="s">
        <v>4</v>
      </c>
      <c r="C4" s="387" t="s">
        <v>29</v>
      </c>
      <c r="D4" s="387" t="s">
        <v>30</v>
      </c>
      <c r="E4" s="387" t="s">
        <v>31</v>
      </c>
      <c r="F4" s="387" t="s">
        <v>8</v>
      </c>
      <c r="G4" s="387" t="s">
        <v>9</v>
      </c>
      <c r="H4" s="387" t="s">
        <v>32</v>
      </c>
      <c r="I4" s="387" t="s">
        <v>11</v>
      </c>
      <c r="J4" s="21"/>
      <c r="K4" s="21"/>
      <c r="L4" s="21"/>
      <c r="M4" s="21"/>
      <c r="N4" s="21"/>
      <c r="O4" s="21"/>
    </row>
    <row r="5" spans="1:15">
      <c r="A5" s="355" t="s">
        <v>33</v>
      </c>
      <c r="B5" s="355" t="s">
        <v>34</v>
      </c>
      <c r="C5" s="395">
        <f>L39*D2</f>
        <v>2629.565217391304</v>
      </c>
      <c r="D5" s="393"/>
      <c r="E5" s="393"/>
      <c r="F5" s="420" t="e">
        <f>E5/D5</f>
        <v>#DIV/0!</v>
      </c>
      <c r="G5" s="394">
        <f t="shared" ref="G5:G11" si="0">D5/C5</f>
        <v>0</v>
      </c>
      <c r="H5" s="394">
        <f>E5/C5</f>
        <v>0</v>
      </c>
      <c r="I5" s="396" t="s">
        <v>35</v>
      </c>
      <c r="L5" s="18"/>
    </row>
    <row r="6" spans="1:15">
      <c r="A6" s="355" t="s">
        <v>36</v>
      </c>
      <c r="B6" s="355" t="s">
        <v>37</v>
      </c>
      <c r="C6" s="393">
        <f>O45*D2</f>
        <v>1856.4135702746364</v>
      </c>
      <c r="D6" s="393"/>
      <c r="E6" s="393"/>
      <c r="F6" s="420" t="e">
        <f t="shared" ref="F6:F35" si="1">E6/D6</f>
        <v>#DIV/0!</v>
      </c>
      <c r="G6" s="394">
        <f t="shared" si="0"/>
        <v>0</v>
      </c>
      <c r="H6" s="394">
        <f t="shared" ref="H6:H34" si="2">E6/C6</f>
        <v>0</v>
      </c>
      <c r="I6" s="396" t="s">
        <v>35</v>
      </c>
      <c r="L6" s="18"/>
    </row>
    <row r="7" spans="1:15">
      <c r="A7" s="355" t="s">
        <v>38</v>
      </c>
      <c r="B7" s="355" t="s">
        <v>39</v>
      </c>
      <c r="C7" s="393">
        <f>L59*D2</f>
        <v>2349.9386503067485</v>
      </c>
      <c r="D7" s="393"/>
      <c r="E7" s="393"/>
      <c r="F7" s="420" t="e">
        <f t="shared" si="1"/>
        <v>#DIV/0!</v>
      </c>
      <c r="G7" s="394">
        <f t="shared" si="0"/>
        <v>0</v>
      </c>
      <c r="H7" s="394">
        <f t="shared" si="2"/>
        <v>0</v>
      </c>
      <c r="I7" s="396" t="s">
        <v>35</v>
      </c>
      <c r="L7" s="18"/>
    </row>
    <row r="8" spans="1:15">
      <c r="A8" s="501" t="s">
        <v>40</v>
      </c>
      <c r="B8" s="502" t="s">
        <v>41</v>
      </c>
      <c r="C8" s="506"/>
      <c r="D8" s="503"/>
      <c r="E8" s="503"/>
      <c r="F8" s="504" t="e">
        <f t="shared" si="1"/>
        <v>#DIV/0!</v>
      </c>
      <c r="G8" s="505" t="e">
        <f t="shared" si="0"/>
        <v>#DIV/0!</v>
      </c>
      <c r="H8" s="505" t="e">
        <f t="shared" si="2"/>
        <v>#DIV/0!</v>
      </c>
      <c r="I8" s="501" t="s">
        <v>35</v>
      </c>
      <c r="L8" s="18"/>
    </row>
    <row r="9" spans="1:15">
      <c r="A9" s="355" t="s">
        <v>42</v>
      </c>
      <c r="B9" s="398" t="s">
        <v>43</v>
      </c>
      <c r="C9" s="393">
        <f>L45*D2</f>
        <v>1896.237623762376</v>
      </c>
      <c r="D9" s="393"/>
      <c r="E9" s="393"/>
      <c r="F9" s="420" t="e">
        <f t="shared" si="1"/>
        <v>#DIV/0!</v>
      </c>
      <c r="G9" s="394">
        <f t="shared" si="0"/>
        <v>0</v>
      </c>
      <c r="H9" s="394">
        <f t="shared" si="2"/>
        <v>0</v>
      </c>
      <c r="I9" s="396" t="s">
        <v>35</v>
      </c>
      <c r="L9" s="18"/>
    </row>
    <row r="10" spans="1:15">
      <c r="A10" s="355" t="s">
        <v>44</v>
      </c>
      <c r="B10" s="355" t="s">
        <v>39</v>
      </c>
      <c r="C10" s="395">
        <f>L59*D2</f>
        <v>2349.9386503067485</v>
      </c>
      <c r="D10" s="393"/>
      <c r="E10" s="393"/>
      <c r="F10" s="420" t="e">
        <f t="shared" si="1"/>
        <v>#DIV/0!</v>
      </c>
      <c r="G10" s="394">
        <f t="shared" si="0"/>
        <v>0</v>
      </c>
      <c r="H10" s="394">
        <f t="shared" si="2"/>
        <v>0</v>
      </c>
      <c r="I10" s="396" t="s">
        <v>35</v>
      </c>
      <c r="L10" s="18"/>
    </row>
    <row r="11" spans="1:15">
      <c r="A11" s="355" t="s">
        <v>45</v>
      </c>
      <c r="B11" s="398" t="s">
        <v>46</v>
      </c>
      <c r="C11" s="393">
        <f>L45*D2</f>
        <v>1896.237623762376</v>
      </c>
      <c r="D11" s="393">
        <v>1653</v>
      </c>
      <c r="E11" s="393"/>
      <c r="F11" s="420">
        <f t="shared" si="1"/>
        <v>0</v>
      </c>
      <c r="G11" s="394">
        <f t="shared" si="0"/>
        <v>0.8717261904761906</v>
      </c>
      <c r="H11" s="394">
        <f t="shared" si="2"/>
        <v>0</v>
      </c>
      <c r="I11" s="396" t="s">
        <v>35</v>
      </c>
      <c r="L11" s="18"/>
    </row>
    <row r="12" spans="1:15">
      <c r="A12" s="501" t="s">
        <v>47</v>
      </c>
      <c r="B12" s="502" t="s">
        <v>48</v>
      </c>
      <c r="C12" s="506"/>
      <c r="D12" s="503"/>
      <c r="E12" s="503"/>
      <c r="F12" s="504" t="e">
        <f t="shared" si="1"/>
        <v>#DIV/0!</v>
      </c>
      <c r="G12" s="505" t="e">
        <f t="shared" ref="G12:G34" si="3">D12/C12</f>
        <v>#DIV/0!</v>
      </c>
      <c r="H12" s="505" t="e">
        <f t="shared" si="2"/>
        <v>#DIV/0!</v>
      </c>
      <c r="I12" s="501" t="s">
        <v>49</v>
      </c>
      <c r="L12" s="18"/>
    </row>
    <row r="13" spans="1:15">
      <c r="A13" s="501" t="s">
        <v>50</v>
      </c>
      <c r="B13" s="502" t="s">
        <v>51</v>
      </c>
      <c r="C13" s="503"/>
      <c r="D13" s="503"/>
      <c r="E13" s="503"/>
      <c r="F13" s="504" t="e">
        <f t="shared" si="1"/>
        <v>#DIV/0!</v>
      </c>
      <c r="G13" s="505" t="e">
        <f t="shared" si="3"/>
        <v>#DIV/0!</v>
      </c>
      <c r="H13" s="505" t="e">
        <f t="shared" si="2"/>
        <v>#DIV/0!</v>
      </c>
      <c r="I13" s="501" t="s">
        <v>49</v>
      </c>
      <c r="L13" s="18"/>
    </row>
    <row r="14" spans="1:15">
      <c r="A14" s="501" t="s">
        <v>52</v>
      </c>
      <c r="B14" s="521" t="s">
        <v>53</v>
      </c>
      <c r="C14" s="503"/>
      <c r="D14" s="503"/>
      <c r="E14" s="503"/>
      <c r="F14" s="504" t="e">
        <f t="shared" si="1"/>
        <v>#DIV/0!</v>
      </c>
      <c r="G14" s="505" t="e">
        <f t="shared" si="3"/>
        <v>#DIV/0!</v>
      </c>
      <c r="H14" s="505" t="e">
        <f t="shared" si="2"/>
        <v>#DIV/0!</v>
      </c>
      <c r="I14" s="501" t="s">
        <v>49</v>
      </c>
      <c r="L14" s="18"/>
    </row>
    <row r="15" spans="1:15">
      <c r="A15" s="355" t="s">
        <v>54</v>
      </c>
      <c r="B15" s="397" t="s">
        <v>55</v>
      </c>
      <c r="C15" s="393">
        <f>O132*D2</f>
        <v>705.41436464088406</v>
      </c>
      <c r="D15" s="393"/>
      <c r="E15" s="393"/>
      <c r="F15" s="420" t="e">
        <f t="shared" si="1"/>
        <v>#DIV/0!</v>
      </c>
      <c r="G15" s="394">
        <f t="shared" si="3"/>
        <v>0</v>
      </c>
      <c r="H15" s="394">
        <f t="shared" si="2"/>
        <v>0</v>
      </c>
      <c r="I15" s="396" t="s">
        <v>56</v>
      </c>
      <c r="L15" s="18"/>
    </row>
    <row r="16" spans="1:15">
      <c r="A16" s="501" t="s">
        <v>57</v>
      </c>
      <c r="B16" s="502" t="s">
        <v>58</v>
      </c>
      <c r="C16" s="503"/>
      <c r="D16" s="503"/>
      <c r="E16" s="503"/>
      <c r="F16" s="504" t="e">
        <f t="shared" si="1"/>
        <v>#DIV/0!</v>
      </c>
      <c r="G16" s="505" t="e">
        <f t="shared" si="3"/>
        <v>#DIV/0!</v>
      </c>
      <c r="H16" s="505" t="e">
        <f t="shared" si="2"/>
        <v>#DIV/0!</v>
      </c>
      <c r="I16" s="501" t="s">
        <v>59</v>
      </c>
      <c r="L16" s="18"/>
    </row>
    <row r="17" spans="1:12">
      <c r="A17" s="355" t="s">
        <v>60</v>
      </c>
      <c r="B17" s="397" t="s">
        <v>61</v>
      </c>
      <c r="C17" s="393">
        <f>L142*D2</f>
        <v>1227.6923076923078</v>
      </c>
      <c r="D17" s="393"/>
      <c r="E17" s="393"/>
      <c r="F17" s="420" t="e">
        <f t="shared" si="1"/>
        <v>#DIV/0!</v>
      </c>
      <c r="G17" s="394">
        <f t="shared" si="3"/>
        <v>0</v>
      </c>
      <c r="H17" s="394">
        <f t="shared" si="2"/>
        <v>0</v>
      </c>
      <c r="I17" s="396" t="s">
        <v>35</v>
      </c>
      <c r="L17" s="18"/>
    </row>
    <row r="18" spans="1:12">
      <c r="A18" s="355" t="s">
        <v>62</v>
      </c>
      <c r="B18" s="355" t="s">
        <v>63</v>
      </c>
      <c r="C18" s="393">
        <f>L146*D2</f>
        <v>934.2439024390244</v>
      </c>
      <c r="D18" s="393">
        <v>883</v>
      </c>
      <c r="E18" s="393"/>
      <c r="F18" s="420">
        <f t="shared" si="1"/>
        <v>0</v>
      </c>
      <c r="G18" s="394">
        <f t="shared" si="3"/>
        <v>0.9451493316624896</v>
      </c>
      <c r="H18" s="394">
        <f t="shared" si="2"/>
        <v>0</v>
      </c>
      <c r="I18" s="396" t="s">
        <v>35</v>
      </c>
      <c r="J18" s="263" t="s">
        <v>64</v>
      </c>
      <c r="L18" s="18"/>
    </row>
    <row r="19" spans="1:12">
      <c r="A19" s="501" t="s">
        <v>65</v>
      </c>
      <c r="B19" s="522" t="s">
        <v>66</v>
      </c>
      <c r="C19" s="503"/>
      <c r="D19" s="503"/>
      <c r="E19" s="503"/>
      <c r="F19" s="504" t="e">
        <f t="shared" si="1"/>
        <v>#DIV/0!</v>
      </c>
      <c r="G19" s="505" t="e">
        <f t="shared" si="3"/>
        <v>#DIV/0!</v>
      </c>
      <c r="H19" s="505" t="e">
        <f t="shared" si="2"/>
        <v>#DIV/0!</v>
      </c>
      <c r="I19" s="501" t="s">
        <v>35</v>
      </c>
      <c r="J19" s="263" t="s">
        <v>67</v>
      </c>
      <c r="L19" s="18"/>
    </row>
    <row r="20" spans="1:12">
      <c r="A20" s="399" t="s">
        <v>68</v>
      </c>
      <c r="B20" s="397" t="s">
        <v>41</v>
      </c>
      <c r="C20" s="393">
        <f>L173*D2</f>
        <v>1311.7808219178082</v>
      </c>
      <c r="D20" s="393">
        <v>1261</v>
      </c>
      <c r="E20" s="393"/>
      <c r="F20" s="420">
        <f t="shared" si="1"/>
        <v>0</v>
      </c>
      <c r="G20" s="394">
        <f t="shared" si="3"/>
        <v>0.96128863826232247</v>
      </c>
      <c r="H20" s="394">
        <f t="shared" si="2"/>
        <v>0</v>
      </c>
      <c r="I20" s="396" t="s">
        <v>35</v>
      </c>
      <c r="L20" s="18"/>
    </row>
    <row r="21" spans="1:12">
      <c r="A21" s="355" t="s">
        <v>69</v>
      </c>
      <c r="B21" s="398" t="s">
        <v>70</v>
      </c>
      <c r="C21" s="393">
        <f>L185*D2</f>
        <v>3482.1818181818185</v>
      </c>
      <c r="D21" s="393"/>
      <c r="E21" s="393"/>
      <c r="F21" s="420" t="e">
        <f t="shared" si="1"/>
        <v>#DIV/0!</v>
      </c>
      <c r="G21" s="394">
        <f t="shared" si="3"/>
        <v>0</v>
      </c>
      <c r="H21" s="394">
        <f t="shared" si="2"/>
        <v>0</v>
      </c>
      <c r="I21" s="399" t="s">
        <v>49</v>
      </c>
      <c r="L21" s="18"/>
    </row>
    <row r="22" spans="1:12">
      <c r="A22" s="399" t="s">
        <v>71</v>
      </c>
      <c r="B22" s="401" t="s">
        <v>72</v>
      </c>
      <c r="C22" s="393">
        <f>L190*D2</f>
        <v>2647.7419354838707</v>
      </c>
      <c r="D22" s="393">
        <v>2495</v>
      </c>
      <c r="E22" s="393"/>
      <c r="F22" s="420">
        <f t="shared" si="1"/>
        <v>0</v>
      </c>
      <c r="G22" s="394">
        <f t="shared" si="3"/>
        <v>0.94231237816764135</v>
      </c>
      <c r="H22" s="394">
        <f t="shared" si="2"/>
        <v>0</v>
      </c>
      <c r="I22" s="399" t="s">
        <v>49</v>
      </c>
      <c r="L22" s="18"/>
    </row>
    <row r="23" spans="1:12">
      <c r="A23" s="355" t="s">
        <v>73</v>
      </c>
      <c r="B23" s="397" t="s">
        <v>58</v>
      </c>
      <c r="C23" s="393">
        <f>L196*D2</f>
        <v>3546.6666666666665</v>
      </c>
      <c r="D23" s="393">
        <v>1937</v>
      </c>
      <c r="E23" s="393"/>
      <c r="F23" s="420">
        <f t="shared" si="1"/>
        <v>0</v>
      </c>
      <c r="G23" s="394">
        <f t="shared" si="3"/>
        <v>0.54614661654135344</v>
      </c>
      <c r="H23" s="394">
        <f t="shared" si="2"/>
        <v>0</v>
      </c>
      <c r="I23" s="399" t="s">
        <v>49</v>
      </c>
      <c r="L23" s="18"/>
    </row>
    <row r="24" spans="1:12">
      <c r="A24" s="399" t="s">
        <v>74</v>
      </c>
      <c r="B24" s="355" t="s">
        <v>34</v>
      </c>
      <c r="C24" s="393">
        <f>L200*D2</f>
        <v>2583.7436762225971</v>
      </c>
      <c r="D24" s="393">
        <v>954</v>
      </c>
      <c r="E24" s="393"/>
      <c r="F24" s="420">
        <f t="shared" si="1"/>
        <v>0</v>
      </c>
      <c r="G24" s="394">
        <f t="shared" si="3"/>
        <v>0.36923167293233083</v>
      </c>
      <c r="H24" s="394">
        <f t="shared" si="2"/>
        <v>0</v>
      </c>
      <c r="I24" s="399" t="s">
        <v>49</v>
      </c>
      <c r="L24" s="18"/>
    </row>
    <row r="25" spans="1:12">
      <c r="A25" s="355" t="s">
        <v>75</v>
      </c>
      <c r="B25" s="398" t="s">
        <v>58</v>
      </c>
      <c r="C25" s="395">
        <f>L208*D2</f>
        <v>2755.68345323741</v>
      </c>
      <c r="D25" s="393">
        <v>1500</v>
      </c>
      <c r="E25" s="393"/>
      <c r="F25" s="420">
        <f t="shared" si="1"/>
        <v>0</v>
      </c>
      <c r="G25" s="394">
        <f t="shared" si="3"/>
        <v>0.54432957393483705</v>
      </c>
      <c r="H25" s="394">
        <f t="shared" si="2"/>
        <v>0</v>
      </c>
      <c r="I25" s="399" t="s">
        <v>49</v>
      </c>
      <c r="L25" s="260"/>
    </row>
    <row r="26" spans="1:12">
      <c r="A26" s="355" t="s">
        <v>76</v>
      </c>
      <c r="B26" s="355" t="s">
        <v>77</v>
      </c>
      <c r="C26" s="393">
        <f>L210*D2</f>
        <v>1937.807757166948</v>
      </c>
      <c r="D26" s="393"/>
      <c r="E26" s="393"/>
      <c r="F26" s="420" t="e">
        <f t="shared" si="1"/>
        <v>#DIV/0!</v>
      </c>
      <c r="G26" s="394">
        <f t="shared" si="3"/>
        <v>0</v>
      </c>
      <c r="H26" s="394">
        <f t="shared" si="2"/>
        <v>0</v>
      </c>
      <c r="I26" s="396" t="s">
        <v>35</v>
      </c>
      <c r="L26" s="18"/>
    </row>
    <row r="27" spans="1:12">
      <c r="A27" s="402" t="s">
        <v>78</v>
      </c>
      <c r="B27" s="355" t="s">
        <v>79</v>
      </c>
      <c r="C27" s="393">
        <f>L216*D2</f>
        <v>1176.1719549641762</v>
      </c>
      <c r="D27" s="393">
        <v>121</v>
      </c>
      <c r="E27" s="393"/>
      <c r="F27" s="420">
        <f t="shared" si="1"/>
        <v>0</v>
      </c>
      <c r="G27" s="394">
        <f t="shared" si="3"/>
        <v>0.10287611389585073</v>
      </c>
      <c r="H27" s="394">
        <f t="shared" si="2"/>
        <v>0</v>
      </c>
      <c r="I27" s="396" t="s">
        <v>35</v>
      </c>
      <c r="L27" s="18"/>
    </row>
    <row r="28" spans="1:12">
      <c r="A28" s="403" t="s">
        <v>80</v>
      </c>
      <c r="B28" s="398" t="s">
        <v>81</v>
      </c>
      <c r="C28" s="393">
        <f>L223*D2</f>
        <v>3773.0973451327436</v>
      </c>
      <c r="D28" s="393">
        <v>1460</v>
      </c>
      <c r="E28" s="393"/>
      <c r="F28" s="420">
        <f t="shared" si="1"/>
        <v>0</v>
      </c>
      <c r="G28" s="388">
        <f t="shared" si="3"/>
        <v>0.38694999530912844</v>
      </c>
      <c r="H28" s="394">
        <f t="shared" si="2"/>
        <v>0</v>
      </c>
      <c r="I28" s="399" t="s">
        <v>49</v>
      </c>
      <c r="L28" s="18"/>
    </row>
    <row r="29" spans="1:12">
      <c r="A29" s="355" t="s">
        <v>82</v>
      </c>
      <c r="B29" s="398" t="s">
        <v>83</v>
      </c>
      <c r="C29" s="393">
        <f>L227*D2</f>
        <v>4292.2147651006708</v>
      </c>
      <c r="D29" s="393">
        <v>936</v>
      </c>
      <c r="E29" s="393"/>
      <c r="F29" s="420">
        <f t="shared" si="1"/>
        <v>0</v>
      </c>
      <c r="G29" s="394">
        <f t="shared" si="3"/>
        <v>0.21806923726428373</v>
      </c>
      <c r="H29" s="394">
        <f t="shared" si="2"/>
        <v>0</v>
      </c>
      <c r="I29" s="399" t="s">
        <v>49</v>
      </c>
      <c r="L29" s="18"/>
    </row>
    <row r="30" spans="1:12">
      <c r="A30" s="403" t="s">
        <v>84</v>
      </c>
      <c r="B30" s="355" t="s">
        <v>39</v>
      </c>
      <c r="C30" s="393">
        <f>L230*D2</f>
        <v>2408.8135593220331</v>
      </c>
      <c r="D30" s="393">
        <v>3594</v>
      </c>
      <c r="E30" s="393"/>
      <c r="F30" s="420">
        <f t="shared" si="1"/>
        <v>0</v>
      </c>
      <c r="G30" s="394">
        <f t="shared" si="3"/>
        <v>1.4920208274697444</v>
      </c>
      <c r="H30" s="394">
        <f t="shared" si="2"/>
        <v>0</v>
      </c>
      <c r="I30" s="399" t="s">
        <v>49</v>
      </c>
      <c r="L30" s="18"/>
    </row>
    <row r="31" spans="1:12">
      <c r="A31" s="403" t="s">
        <v>85</v>
      </c>
      <c r="B31" s="355" t="s">
        <v>86</v>
      </c>
      <c r="C31" s="393">
        <f>L232*D2</f>
        <v>2131.8000000000002</v>
      </c>
      <c r="D31" s="393">
        <v>2100</v>
      </c>
      <c r="E31" s="393"/>
      <c r="F31" s="420">
        <f t="shared" si="1"/>
        <v>0</v>
      </c>
      <c r="G31" s="394">
        <f t="shared" si="3"/>
        <v>0.98508302842668161</v>
      </c>
      <c r="H31" s="394">
        <f t="shared" si="2"/>
        <v>0</v>
      </c>
      <c r="I31" s="399" t="s">
        <v>49</v>
      </c>
      <c r="L31" s="18"/>
    </row>
    <row r="32" spans="1:12">
      <c r="A32" s="403" t="s">
        <v>87</v>
      </c>
      <c r="B32" s="355" t="s">
        <v>37</v>
      </c>
      <c r="C32" s="393">
        <f>L235*D2</f>
        <v>2920.2739726027398</v>
      </c>
      <c r="D32" s="393">
        <v>1027</v>
      </c>
      <c r="E32" s="393"/>
      <c r="F32" s="420">
        <f t="shared" si="1"/>
        <v>0</v>
      </c>
      <c r="G32" s="394">
        <f t="shared" si="3"/>
        <v>0.35167933201988927</v>
      </c>
      <c r="H32" s="394">
        <f t="shared" si="2"/>
        <v>0</v>
      </c>
      <c r="I32" s="399" t="s">
        <v>49</v>
      </c>
      <c r="L32" s="18"/>
    </row>
    <row r="33" spans="1:15">
      <c r="A33" s="399" t="s">
        <v>88</v>
      </c>
      <c r="B33" s="399" t="s">
        <v>89</v>
      </c>
      <c r="C33" s="393">
        <f>L237*D2</f>
        <v>5450.625</v>
      </c>
      <c r="D33" s="530">
        <v>1229</v>
      </c>
      <c r="E33" s="530"/>
      <c r="F33" s="531">
        <f>E33/D33</f>
        <v>0</v>
      </c>
      <c r="G33" s="532">
        <f t="shared" si="3"/>
        <v>0.22547872950349732</v>
      </c>
      <c r="H33" s="532">
        <f t="shared" si="2"/>
        <v>0</v>
      </c>
      <c r="I33" s="399" t="s">
        <v>49</v>
      </c>
      <c r="J33" s="617"/>
      <c r="L33" s="18"/>
    </row>
    <row r="34" spans="1:15">
      <c r="A34" s="399" t="s">
        <v>90</v>
      </c>
      <c r="B34" s="399" t="s">
        <v>89</v>
      </c>
      <c r="C34" s="393">
        <f>L237*D2</f>
        <v>5450.625</v>
      </c>
      <c r="D34" s="530">
        <v>466</v>
      </c>
      <c r="E34" s="530"/>
      <c r="F34" s="531">
        <f t="shared" ref="F34" si="4">E34/D34</f>
        <v>0</v>
      </c>
      <c r="G34" s="532">
        <f t="shared" si="3"/>
        <v>8.5494782708404993E-2</v>
      </c>
      <c r="H34" s="532">
        <f t="shared" si="2"/>
        <v>0</v>
      </c>
      <c r="I34" s="399" t="s">
        <v>49</v>
      </c>
      <c r="J34" s="617"/>
      <c r="L34" s="18"/>
    </row>
    <row r="35" spans="1:15" ht="13.5">
      <c r="A35" s="355"/>
      <c r="B35" s="404"/>
      <c r="C35" s="393">
        <v>70333</v>
      </c>
      <c r="D35" s="393"/>
      <c r="E35" s="393">
        <f>SUM(E5:E32)</f>
        <v>0</v>
      </c>
      <c r="F35" s="420" t="e">
        <f t="shared" si="1"/>
        <v>#DIV/0!</v>
      </c>
      <c r="G35" s="388" t="e">
        <f>AVERAGE(G5:G32)</f>
        <v>#DIV/0!</v>
      </c>
      <c r="H35" s="394">
        <f>E35/C35</f>
        <v>0</v>
      </c>
      <c r="I35" s="396"/>
    </row>
    <row r="36" spans="1:15">
      <c r="D36" s="1">
        <f>D35/D2</f>
        <v>0</v>
      </c>
    </row>
    <row r="37" spans="1:15" ht="14.25" thickBot="1">
      <c r="B37" s="20"/>
      <c r="D37" s="15"/>
      <c r="E37" s="15"/>
      <c r="F37" s="15"/>
    </row>
    <row r="38" spans="1:15" ht="64.5" thickBot="1">
      <c r="A38" s="3" t="s">
        <v>3</v>
      </c>
      <c r="B38" s="620" t="s">
        <v>91</v>
      </c>
      <c r="C38" s="621"/>
      <c r="D38" s="98" t="s">
        <v>92</v>
      </c>
      <c r="E38" s="98"/>
      <c r="F38" s="98"/>
      <c r="G38" s="99" t="s">
        <v>93</v>
      </c>
      <c r="H38" s="99"/>
      <c r="I38" s="99" t="s">
        <v>94</v>
      </c>
      <c r="J38" s="99" t="s">
        <v>95</v>
      </c>
      <c r="K38" s="99" t="s">
        <v>96</v>
      </c>
      <c r="L38" s="100" t="s">
        <v>97</v>
      </c>
    </row>
    <row r="39" spans="1:15" ht="13.5" thickTop="1">
      <c r="A39" s="579" t="s">
        <v>33</v>
      </c>
      <c r="B39" s="88" t="s">
        <v>34</v>
      </c>
      <c r="C39" s="88" t="s">
        <v>98</v>
      </c>
      <c r="D39" s="89">
        <v>8</v>
      </c>
      <c r="E39" s="89"/>
      <c r="F39" s="89"/>
      <c r="G39" s="90">
        <v>56.5</v>
      </c>
      <c r="H39" s="90"/>
      <c r="I39" s="91">
        <f t="shared" ref="I39:I45" si="5">ROUND(G39/D39,1)</f>
        <v>7.1</v>
      </c>
      <c r="J39" s="561">
        <f>AVERAGE(I39:I44)</f>
        <v>7.2833333333333341</v>
      </c>
      <c r="K39" s="564">
        <f>21*60/J39</f>
        <v>172.99771167048053</v>
      </c>
      <c r="L39" s="567">
        <f>K39*0.8</f>
        <v>138.39816933638443</v>
      </c>
      <c r="M39" s="21"/>
      <c r="N39" s="21"/>
    </row>
    <row r="40" spans="1:15">
      <c r="A40" s="580"/>
      <c r="B40" s="66" t="s">
        <v>34</v>
      </c>
      <c r="C40" s="66" t="s">
        <v>99</v>
      </c>
      <c r="D40" s="67">
        <v>8</v>
      </c>
      <c r="E40" s="67"/>
      <c r="F40" s="67"/>
      <c r="G40" s="68">
        <v>57.8</v>
      </c>
      <c r="H40" s="68"/>
      <c r="I40" s="69">
        <f t="shared" si="5"/>
        <v>7.2</v>
      </c>
      <c r="J40" s="562"/>
      <c r="K40" s="565"/>
      <c r="L40" s="568"/>
      <c r="M40" s="21"/>
      <c r="N40" s="21"/>
    </row>
    <row r="41" spans="1:15">
      <c r="A41" s="580"/>
      <c r="B41" s="66" t="s">
        <v>34</v>
      </c>
      <c r="C41" s="66" t="s">
        <v>100</v>
      </c>
      <c r="D41" s="67">
        <v>8</v>
      </c>
      <c r="E41" s="67"/>
      <c r="F41" s="67"/>
      <c r="G41" s="68">
        <v>55.2</v>
      </c>
      <c r="H41" s="68"/>
      <c r="I41" s="69">
        <f t="shared" si="5"/>
        <v>6.9</v>
      </c>
      <c r="J41" s="562"/>
      <c r="K41" s="565"/>
      <c r="L41" s="568"/>
      <c r="M41" s="21"/>
      <c r="N41" s="21"/>
    </row>
    <row r="42" spans="1:15" ht="13.5" thickBot="1">
      <c r="A42" s="580"/>
      <c r="B42" s="66" t="s">
        <v>34</v>
      </c>
      <c r="C42" s="66" t="s">
        <v>101</v>
      </c>
      <c r="D42" s="67">
        <v>8</v>
      </c>
      <c r="E42" s="67"/>
      <c r="F42" s="67"/>
      <c r="G42" s="68">
        <v>60</v>
      </c>
      <c r="H42" s="68"/>
      <c r="I42" s="69">
        <f t="shared" si="5"/>
        <v>7.5</v>
      </c>
      <c r="J42" s="562"/>
      <c r="K42" s="565"/>
      <c r="L42" s="568"/>
      <c r="M42" s="21"/>
      <c r="N42" s="21"/>
    </row>
    <row r="43" spans="1:15">
      <c r="A43" s="580"/>
      <c r="B43" s="66" t="s">
        <v>34</v>
      </c>
      <c r="C43" s="66" t="s">
        <v>102</v>
      </c>
      <c r="D43" s="67">
        <v>8</v>
      </c>
      <c r="E43" s="67"/>
      <c r="F43" s="67"/>
      <c r="G43" s="68">
        <v>61.5</v>
      </c>
      <c r="H43" s="68"/>
      <c r="I43" s="69">
        <f t="shared" si="5"/>
        <v>7.7</v>
      </c>
      <c r="J43" s="562"/>
      <c r="K43" s="565"/>
      <c r="L43" s="568"/>
      <c r="M43" s="79" t="s">
        <v>103</v>
      </c>
      <c r="N43" s="80" t="s">
        <v>104</v>
      </c>
      <c r="O43" s="81" t="s">
        <v>36</v>
      </c>
    </row>
    <row r="44" spans="1:15" ht="13.5" thickBot="1">
      <c r="A44" s="603"/>
      <c r="B44" s="92" t="s">
        <v>34</v>
      </c>
      <c r="C44" s="92" t="s">
        <v>105</v>
      </c>
      <c r="D44" s="93">
        <v>8</v>
      </c>
      <c r="E44" s="93"/>
      <c r="F44" s="93"/>
      <c r="G44" s="94">
        <v>58.5</v>
      </c>
      <c r="H44" s="94"/>
      <c r="I44" s="95">
        <f t="shared" si="5"/>
        <v>7.3</v>
      </c>
      <c r="J44" s="563"/>
      <c r="K44" s="566"/>
      <c r="L44" s="569"/>
      <c r="M44" s="78" t="s">
        <v>106</v>
      </c>
      <c r="N44" s="72" t="s">
        <v>107</v>
      </c>
      <c r="O44" s="82" t="s">
        <v>108</v>
      </c>
    </row>
    <row r="45" spans="1:15" ht="13.5" thickTop="1">
      <c r="A45" s="591" t="s">
        <v>109</v>
      </c>
      <c r="B45" s="88" t="s">
        <v>37</v>
      </c>
      <c r="C45" s="88" t="s">
        <v>98</v>
      </c>
      <c r="D45" s="89">
        <v>6</v>
      </c>
      <c r="E45" s="89"/>
      <c r="F45" s="89"/>
      <c r="G45" s="90">
        <v>60</v>
      </c>
      <c r="H45" s="90"/>
      <c r="I45" s="91">
        <f t="shared" si="5"/>
        <v>10</v>
      </c>
      <c r="J45" s="561">
        <f>AVERAGE(I45:I58)</f>
        <v>10.100000000000001</v>
      </c>
      <c r="K45" s="564">
        <f>21*60/J45</f>
        <v>124.75247524752473</v>
      </c>
      <c r="L45" s="567">
        <f>K45*0.8</f>
        <v>99.801980198019791</v>
      </c>
      <c r="M45" s="598">
        <f>AVERAGE(I45:I52)</f>
        <v>10.316666666666668</v>
      </c>
      <c r="N45" s="582">
        <f>21*60/M45</f>
        <v>122.1324717285945</v>
      </c>
      <c r="O45" s="583">
        <f>N45*0.8</f>
        <v>97.705977382875602</v>
      </c>
    </row>
    <row r="46" spans="1:15">
      <c r="A46" s="559"/>
      <c r="B46" s="66" t="s">
        <v>37</v>
      </c>
      <c r="C46" s="66" t="s">
        <v>110</v>
      </c>
      <c r="D46" s="67"/>
      <c r="E46" s="67"/>
      <c r="F46" s="67"/>
      <c r="G46" s="68"/>
      <c r="H46" s="68"/>
      <c r="I46" s="69"/>
      <c r="J46" s="562"/>
      <c r="K46" s="565"/>
      <c r="L46" s="568"/>
      <c r="M46" s="618"/>
      <c r="N46" s="555"/>
      <c r="O46" s="557"/>
    </row>
    <row r="47" spans="1:15">
      <c r="A47" s="559"/>
      <c r="B47" s="66" t="s">
        <v>37</v>
      </c>
      <c r="C47" s="66" t="s">
        <v>111</v>
      </c>
      <c r="D47" s="67"/>
      <c r="E47" s="67"/>
      <c r="F47" s="67"/>
      <c r="G47" s="68"/>
      <c r="H47" s="68"/>
      <c r="I47" s="69"/>
      <c r="J47" s="562"/>
      <c r="K47" s="565"/>
      <c r="L47" s="568"/>
      <c r="M47" s="618"/>
      <c r="N47" s="555"/>
      <c r="O47" s="557"/>
    </row>
    <row r="48" spans="1:15">
      <c r="A48" s="559"/>
      <c r="B48" s="66" t="s">
        <v>37</v>
      </c>
      <c r="C48" s="66" t="s">
        <v>99</v>
      </c>
      <c r="D48" s="67">
        <v>6</v>
      </c>
      <c r="E48" s="67"/>
      <c r="F48" s="67"/>
      <c r="G48" s="68">
        <v>66.7</v>
      </c>
      <c r="H48" s="68"/>
      <c r="I48" s="69">
        <f t="shared" ref="I48:I79" si="6">ROUND(G48/D48,1)</f>
        <v>11.1</v>
      </c>
      <c r="J48" s="562"/>
      <c r="K48" s="565"/>
      <c r="L48" s="568"/>
      <c r="M48" s="618"/>
      <c r="N48" s="555"/>
      <c r="O48" s="557"/>
    </row>
    <row r="49" spans="1:15">
      <c r="A49" s="559"/>
      <c r="B49" s="66" t="s">
        <v>37</v>
      </c>
      <c r="C49" s="66" t="s">
        <v>100</v>
      </c>
      <c r="D49" s="67">
        <v>6</v>
      </c>
      <c r="E49" s="67"/>
      <c r="F49" s="67"/>
      <c r="G49" s="68">
        <v>52.2</v>
      </c>
      <c r="H49" s="68"/>
      <c r="I49" s="69">
        <f t="shared" si="6"/>
        <v>8.6999999999999993</v>
      </c>
      <c r="J49" s="562"/>
      <c r="K49" s="565"/>
      <c r="L49" s="568"/>
      <c r="M49" s="618"/>
      <c r="N49" s="555"/>
      <c r="O49" s="557"/>
    </row>
    <row r="50" spans="1:15">
      <c r="A50" s="559"/>
      <c r="B50" s="66" t="s">
        <v>37</v>
      </c>
      <c r="C50" s="66" t="s">
        <v>101</v>
      </c>
      <c r="D50" s="67">
        <v>6</v>
      </c>
      <c r="E50" s="67"/>
      <c r="F50" s="67"/>
      <c r="G50" s="68">
        <v>65.5</v>
      </c>
      <c r="H50" s="68"/>
      <c r="I50" s="69">
        <f t="shared" si="6"/>
        <v>10.9</v>
      </c>
      <c r="J50" s="562"/>
      <c r="K50" s="565"/>
      <c r="L50" s="568"/>
      <c r="M50" s="618"/>
      <c r="N50" s="555"/>
      <c r="O50" s="557"/>
    </row>
    <row r="51" spans="1:15">
      <c r="A51" s="559"/>
      <c r="B51" s="66" t="s">
        <v>37</v>
      </c>
      <c r="C51" s="66" t="s">
        <v>102</v>
      </c>
      <c r="D51" s="67">
        <v>6</v>
      </c>
      <c r="E51" s="67"/>
      <c r="F51" s="67"/>
      <c r="G51" s="68">
        <v>72</v>
      </c>
      <c r="H51" s="68"/>
      <c r="I51" s="69">
        <f t="shared" si="6"/>
        <v>12</v>
      </c>
      <c r="J51" s="562"/>
      <c r="K51" s="565"/>
      <c r="L51" s="568"/>
      <c r="M51" s="618"/>
      <c r="N51" s="555"/>
      <c r="O51" s="557"/>
    </row>
    <row r="52" spans="1:15" ht="13.5" thickBot="1">
      <c r="A52" s="559"/>
      <c r="B52" s="66" t="s">
        <v>37</v>
      </c>
      <c r="C52" s="66" t="s">
        <v>105</v>
      </c>
      <c r="D52" s="67">
        <v>6</v>
      </c>
      <c r="E52" s="67"/>
      <c r="F52" s="67"/>
      <c r="G52" s="68">
        <v>55.4</v>
      </c>
      <c r="H52" s="68"/>
      <c r="I52" s="69">
        <f t="shared" si="6"/>
        <v>9.1999999999999993</v>
      </c>
      <c r="J52" s="562"/>
      <c r="K52" s="565"/>
      <c r="L52" s="568"/>
      <c r="M52" s="599"/>
      <c r="N52" s="600"/>
      <c r="O52" s="587"/>
    </row>
    <row r="53" spans="1:15">
      <c r="A53" s="559" t="s">
        <v>112</v>
      </c>
      <c r="B53" s="66" t="s">
        <v>113</v>
      </c>
      <c r="C53" s="66" t="s">
        <v>114</v>
      </c>
      <c r="D53" s="67">
        <v>6</v>
      </c>
      <c r="E53" s="67"/>
      <c r="F53" s="67"/>
      <c r="G53" s="68">
        <v>60</v>
      </c>
      <c r="H53" s="68"/>
      <c r="I53" s="69">
        <f t="shared" si="6"/>
        <v>10</v>
      </c>
      <c r="J53" s="562"/>
      <c r="K53" s="565"/>
      <c r="L53" s="568"/>
      <c r="M53" s="21"/>
      <c r="N53" s="21"/>
    </row>
    <row r="54" spans="1:15">
      <c r="A54" s="559"/>
      <c r="B54" s="66" t="s">
        <v>113</v>
      </c>
      <c r="C54" s="66" t="s">
        <v>115</v>
      </c>
      <c r="D54" s="67">
        <v>6</v>
      </c>
      <c r="E54" s="67"/>
      <c r="F54" s="67"/>
      <c r="G54" s="68">
        <v>65.5</v>
      </c>
      <c r="H54" s="68"/>
      <c r="I54" s="69">
        <f t="shared" si="6"/>
        <v>10.9</v>
      </c>
      <c r="J54" s="562"/>
      <c r="K54" s="565"/>
      <c r="L54" s="568"/>
      <c r="M54" s="21"/>
      <c r="N54" s="21"/>
    </row>
    <row r="55" spans="1:15">
      <c r="A55" s="559"/>
      <c r="B55" s="66" t="s">
        <v>113</v>
      </c>
      <c r="C55" s="66" t="s">
        <v>116</v>
      </c>
      <c r="D55" s="67">
        <v>6</v>
      </c>
      <c r="E55" s="67"/>
      <c r="F55" s="67"/>
      <c r="G55" s="68">
        <v>55.4</v>
      </c>
      <c r="H55" s="68"/>
      <c r="I55" s="69">
        <f t="shared" si="6"/>
        <v>9.1999999999999993</v>
      </c>
      <c r="J55" s="562"/>
      <c r="K55" s="565"/>
      <c r="L55" s="568"/>
      <c r="M55" s="21"/>
      <c r="N55" s="21"/>
    </row>
    <row r="56" spans="1:15">
      <c r="A56" s="559"/>
      <c r="B56" s="66" t="s">
        <v>113</v>
      </c>
      <c r="C56" s="66" t="s">
        <v>117</v>
      </c>
      <c r="D56" s="67">
        <v>6</v>
      </c>
      <c r="E56" s="67"/>
      <c r="F56" s="67"/>
      <c r="G56" s="68">
        <v>60</v>
      </c>
      <c r="H56" s="68"/>
      <c r="I56" s="69">
        <f t="shared" si="6"/>
        <v>10</v>
      </c>
      <c r="J56" s="562"/>
      <c r="K56" s="565"/>
      <c r="L56" s="568"/>
      <c r="M56" s="21"/>
      <c r="N56" s="21"/>
    </row>
    <row r="57" spans="1:15">
      <c r="A57" s="559"/>
      <c r="B57" s="66" t="s">
        <v>113</v>
      </c>
      <c r="C57" s="66" t="s">
        <v>100</v>
      </c>
      <c r="D57" s="67">
        <v>6</v>
      </c>
      <c r="E57" s="67"/>
      <c r="F57" s="67"/>
      <c r="G57" s="68">
        <v>55.4</v>
      </c>
      <c r="H57" s="68"/>
      <c r="I57" s="69">
        <f t="shared" si="6"/>
        <v>9.1999999999999993</v>
      </c>
      <c r="J57" s="562"/>
      <c r="K57" s="565"/>
      <c r="L57" s="568"/>
      <c r="M57" s="21"/>
      <c r="N57" s="21"/>
    </row>
    <row r="58" spans="1:15" ht="13.5" thickBot="1">
      <c r="A58" s="560"/>
      <c r="B58" s="92" t="s">
        <v>113</v>
      </c>
      <c r="C58" s="92" t="s">
        <v>105</v>
      </c>
      <c r="D58" s="93">
        <v>6</v>
      </c>
      <c r="E58" s="93"/>
      <c r="F58" s="93"/>
      <c r="G58" s="94">
        <v>60</v>
      </c>
      <c r="H58" s="94"/>
      <c r="I58" s="95">
        <f t="shared" si="6"/>
        <v>10</v>
      </c>
      <c r="J58" s="563"/>
      <c r="K58" s="566"/>
      <c r="L58" s="569"/>
      <c r="M58" s="21"/>
      <c r="N58" s="21"/>
    </row>
    <row r="59" spans="1:15" ht="13.5" thickTop="1">
      <c r="A59" s="591" t="s">
        <v>118</v>
      </c>
      <c r="B59" s="88" t="s">
        <v>39</v>
      </c>
      <c r="C59" s="88" t="s">
        <v>98</v>
      </c>
      <c r="D59" s="89">
        <v>6</v>
      </c>
      <c r="E59" s="89"/>
      <c r="F59" s="89"/>
      <c r="G59" s="90">
        <v>46.2</v>
      </c>
      <c r="H59" s="90"/>
      <c r="I59" s="91">
        <f t="shared" si="6"/>
        <v>7.7</v>
      </c>
      <c r="J59" s="561">
        <f>AVERAGE(I59:I64)</f>
        <v>8.15</v>
      </c>
      <c r="K59" s="564">
        <f>21*60/J59</f>
        <v>154.60122699386503</v>
      </c>
      <c r="L59" s="567">
        <f>K59*0.8</f>
        <v>123.68098159509202</v>
      </c>
      <c r="M59" s="21"/>
      <c r="N59" s="21"/>
    </row>
    <row r="60" spans="1:15">
      <c r="A60" s="559"/>
      <c r="B60" s="66" t="s">
        <v>39</v>
      </c>
      <c r="C60" s="66" t="s">
        <v>99</v>
      </c>
      <c r="D60" s="67">
        <v>6</v>
      </c>
      <c r="E60" s="67"/>
      <c r="F60" s="67"/>
      <c r="G60" s="68">
        <v>51.4</v>
      </c>
      <c r="H60" s="68"/>
      <c r="I60" s="69">
        <f t="shared" si="6"/>
        <v>8.6</v>
      </c>
      <c r="J60" s="562"/>
      <c r="K60" s="565"/>
      <c r="L60" s="568"/>
      <c r="M60" s="21"/>
      <c r="N60" s="21"/>
    </row>
    <row r="61" spans="1:15">
      <c r="A61" s="559"/>
      <c r="B61" s="66" t="s">
        <v>39</v>
      </c>
      <c r="C61" s="66" t="s">
        <v>100</v>
      </c>
      <c r="D61" s="67">
        <v>6</v>
      </c>
      <c r="E61" s="67"/>
      <c r="F61" s="67"/>
      <c r="G61" s="68">
        <v>45</v>
      </c>
      <c r="H61" s="68"/>
      <c r="I61" s="69">
        <f t="shared" si="6"/>
        <v>7.5</v>
      </c>
      <c r="J61" s="562"/>
      <c r="K61" s="565"/>
      <c r="L61" s="568"/>
      <c r="M61" s="21"/>
      <c r="N61" s="21"/>
    </row>
    <row r="62" spans="1:15">
      <c r="A62" s="559"/>
      <c r="B62" s="66" t="s">
        <v>39</v>
      </c>
      <c r="C62" s="66" t="s">
        <v>101</v>
      </c>
      <c r="D62" s="67">
        <v>6</v>
      </c>
      <c r="E62" s="67"/>
      <c r="F62" s="67"/>
      <c r="G62" s="68">
        <v>51.4</v>
      </c>
      <c r="H62" s="68"/>
      <c r="I62" s="69">
        <f t="shared" si="6"/>
        <v>8.6</v>
      </c>
      <c r="J62" s="562"/>
      <c r="K62" s="565"/>
      <c r="L62" s="568"/>
      <c r="M62" s="21"/>
      <c r="N62" s="21"/>
    </row>
    <row r="63" spans="1:15">
      <c r="A63" s="559"/>
      <c r="B63" s="66" t="s">
        <v>39</v>
      </c>
      <c r="C63" s="66" t="s">
        <v>102</v>
      </c>
      <c r="D63" s="67">
        <v>6</v>
      </c>
      <c r="E63" s="67"/>
      <c r="F63" s="67"/>
      <c r="G63" s="68">
        <v>52.9</v>
      </c>
      <c r="H63" s="68"/>
      <c r="I63" s="69">
        <f t="shared" si="6"/>
        <v>8.8000000000000007</v>
      </c>
      <c r="J63" s="562"/>
      <c r="K63" s="565"/>
      <c r="L63" s="568"/>
      <c r="M63" s="21"/>
      <c r="N63" s="21"/>
    </row>
    <row r="64" spans="1:15" ht="13.5" thickBot="1">
      <c r="A64" s="560"/>
      <c r="B64" s="92" t="s">
        <v>39</v>
      </c>
      <c r="C64" s="92" t="s">
        <v>105</v>
      </c>
      <c r="D64" s="93">
        <v>6</v>
      </c>
      <c r="E64" s="93"/>
      <c r="F64" s="93"/>
      <c r="G64" s="94">
        <v>46.2</v>
      </c>
      <c r="H64" s="94"/>
      <c r="I64" s="95">
        <f t="shared" si="6"/>
        <v>7.7</v>
      </c>
      <c r="J64" s="563"/>
      <c r="K64" s="566"/>
      <c r="L64" s="569"/>
      <c r="M64" s="21"/>
      <c r="N64" s="21"/>
    </row>
    <row r="65" spans="1:14" ht="13.5" thickTop="1">
      <c r="A65" s="579" t="s">
        <v>40</v>
      </c>
      <c r="B65" s="88" t="s">
        <v>119</v>
      </c>
      <c r="C65" s="88" t="s">
        <v>98</v>
      </c>
      <c r="D65" s="89">
        <v>4</v>
      </c>
      <c r="E65" s="89"/>
      <c r="F65" s="89"/>
      <c r="G65" s="90">
        <v>60</v>
      </c>
      <c r="H65" s="90"/>
      <c r="I65" s="91">
        <f t="shared" si="6"/>
        <v>15</v>
      </c>
      <c r="J65" s="561">
        <f>AVERAGE(I65:I76)</f>
        <v>15.191666666666668</v>
      </c>
      <c r="K65" s="564">
        <f>21*60/J65</f>
        <v>82.940208447613813</v>
      </c>
      <c r="L65" s="567">
        <f>K65*0.8</f>
        <v>66.352166758091059</v>
      </c>
      <c r="M65" s="15" t="s">
        <v>120</v>
      </c>
      <c r="N65" s="21"/>
    </row>
    <row r="66" spans="1:14">
      <c r="A66" s="580"/>
      <c r="B66" s="66" t="s">
        <v>119</v>
      </c>
      <c r="C66" s="66" t="s">
        <v>99</v>
      </c>
      <c r="D66" s="67">
        <v>4</v>
      </c>
      <c r="E66" s="67"/>
      <c r="F66" s="67"/>
      <c r="G66" s="68">
        <v>66.7</v>
      </c>
      <c r="H66" s="68"/>
      <c r="I66" s="69">
        <f t="shared" si="6"/>
        <v>16.7</v>
      </c>
      <c r="J66" s="562"/>
      <c r="K66" s="565"/>
      <c r="L66" s="568"/>
      <c r="M66" s="15" t="s">
        <v>120</v>
      </c>
      <c r="N66" s="21"/>
    </row>
    <row r="67" spans="1:14">
      <c r="A67" s="580"/>
      <c r="B67" s="66" t="s">
        <v>119</v>
      </c>
      <c r="C67" s="66" t="s">
        <v>100</v>
      </c>
      <c r="D67" s="67">
        <v>4</v>
      </c>
      <c r="E67" s="67"/>
      <c r="F67" s="67"/>
      <c r="G67" s="68">
        <v>52.2</v>
      </c>
      <c r="H67" s="68"/>
      <c r="I67" s="69">
        <f t="shared" si="6"/>
        <v>13.1</v>
      </c>
      <c r="J67" s="562"/>
      <c r="K67" s="565"/>
      <c r="L67" s="568"/>
      <c r="M67" s="15" t="s">
        <v>120</v>
      </c>
      <c r="N67" s="21"/>
    </row>
    <row r="68" spans="1:14">
      <c r="A68" s="580"/>
      <c r="B68" s="66" t="s">
        <v>119</v>
      </c>
      <c r="C68" s="66" t="s">
        <v>101</v>
      </c>
      <c r="D68" s="67">
        <v>4</v>
      </c>
      <c r="E68" s="67"/>
      <c r="F68" s="67"/>
      <c r="G68" s="68">
        <v>65.5</v>
      </c>
      <c r="H68" s="68"/>
      <c r="I68" s="69">
        <f t="shared" si="6"/>
        <v>16.399999999999999</v>
      </c>
      <c r="J68" s="562"/>
      <c r="K68" s="565"/>
      <c r="L68" s="568"/>
      <c r="M68" s="15" t="s">
        <v>120</v>
      </c>
      <c r="N68" s="21"/>
    </row>
    <row r="69" spans="1:14">
      <c r="A69" s="580"/>
      <c r="B69" s="66" t="s">
        <v>119</v>
      </c>
      <c r="C69" s="66" t="s">
        <v>102</v>
      </c>
      <c r="D69" s="67">
        <v>4</v>
      </c>
      <c r="E69" s="67"/>
      <c r="F69" s="67"/>
      <c r="G69" s="68">
        <v>72</v>
      </c>
      <c r="H69" s="68"/>
      <c r="I69" s="69">
        <f t="shared" si="6"/>
        <v>18</v>
      </c>
      <c r="J69" s="562"/>
      <c r="K69" s="565"/>
      <c r="L69" s="568"/>
      <c r="M69" s="15" t="s">
        <v>120</v>
      </c>
      <c r="N69" s="21"/>
    </row>
    <row r="70" spans="1:14">
      <c r="A70" s="580"/>
      <c r="B70" s="66" t="s">
        <v>119</v>
      </c>
      <c r="C70" s="66" t="s">
        <v>105</v>
      </c>
      <c r="D70" s="67">
        <v>4</v>
      </c>
      <c r="E70" s="67"/>
      <c r="F70" s="67"/>
      <c r="G70" s="68">
        <v>55.4</v>
      </c>
      <c r="H70" s="68"/>
      <c r="I70" s="69">
        <f t="shared" si="6"/>
        <v>13.9</v>
      </c>
      <c r="J70" s="562"/>
      <c r="K70" s="565"/>
      <c r="L70" s="568"/>
      <c r="M70" s="15" t="s">
        <v>120</v>
      </c>
      <c r="N70" s="21"/>
    </row>
    <row r="71" spans="1:14">
      <c r="A71" s="580" t="s">
        <v>40</v>
      </c>
      <c r="B71" s="66" t="s">
        <v>121</v>
      </c>
      <c r="C71" s="66" t="s">
        <v>114</v>
      </c>
      <c r="D71" s="67">
        <v>4</v>
      </c>
      <c r="E71" s="67"/>
      <c r="F71" s="67"/>
      <c r="G71" s="68">
        <v>60</v>
      </c>
      <c r="H71" s="68"/>
      <c r="I71" s="69">
        <f t="shared" si="6"/>
        <v>15</v>
      </c>
      <c r="J71" s="562"/>
      <c r="K71" s="565"/>
      <c r="L71" s="568"/>
      <c r="M71" s="15" t="s">
        <v>120</v>
      </c>
      <c r="N71" s="21"/>
    </row>
    <row r="72" spans="1:14">
      <c r="A72" s="580"/>
      <c r="B72" s="66" t="s">
        <v>121</v>
      </c>
      <c r="C72" s="66" t="s">
        <v>115</v>
      </c>
      <c r="D72" s="67">
        <v>4</v>
      </c>
      <c r="E72" s="67"/>
      <c r="F72" s="67"/>
      <c r="G72" s="68">
        <v>65.5</v>
      </c>
      <c r="H72" s="68"/>
      <c r="I72" s="69">
        <f t="shared" si="6"/>
        <v>16.399999999999999</v>
      </c>
      <c r="J72" s="562"/>
      <c r="K72" s="565"/>
      <c r="L72" s="568"/>
      <c r="M72" s="15" t="s">
        <v>120</v>
      </c>
      <c r="N72" s="21"/>
    </row>
    <row r="73" spans="1:14">
      <c r="A73" s="580"/>
      <c r="B73" s="66" t="s">
        <v>121</v>
      </c>
      <c r="C73" s="66" t="s">
        <v>116</v>
      </c>
      <c r="D73" s="67">
        <v>4</v>
      </c>
      <c r="E73" s="67"/>
      <c r="F73" s="67"/>
      <c r="G73" s="68">
        <v>55.4</v>
      </c>
      <c r="H73" s="68"/>
      <c r="I73" s="69">
        <f t="shared" si="6"/>
        <v>13.9</v>
      </c>
      <c r="J73" s="562"/>
      <c r="K73" s="565"/>
      <c r="L73" s="568"/>
      <c r="M73" s="15" t="s">
        <v>120</v>
      </c>
      <c r="N73" s="21"/>
    </row>
    <row r="74" spans="1:14">
      <c r="A74" s="580"/>
      <c r="B74" s="66" t="s">
        <v>121</v>
      </c>
      <c r="C74" s="66" t="s">
        <v>117</v>
      </c>
      <c r="D74" s="67">
        <v>4</v>
      </c>
      <c r="E74" s="67"/>
      <c r="F74" s="67"/>
      <c r="G74" s="68">
        <v>60</v>
      </c>
      <c r="H74" s="68"/>
      <c r="I74" s="69">
        <f t="shared" si="6"/>
        <v>15</v>
      </c>
      <c r="J74" s="562"/>
      <c r="K74" s="565"/>
      <c r="L74" s="568"/>
      <c r="M74" s="15" t="s">
        <v>120</v>
      </c>
      <c r="N74" s="21"/>
    </row>
    <row r="75" spans="1:14">
      <c r="A75" s="580"/>
      <c r="B75" s="66" t="s">
        <v>121</v>
      </c>
      <c r="C75" s="66" t="s">
        <v>100</v>
      </c>
      <c r="D75" s="67">
        <v>4</v>
      </c>
      <c r="E75" s="67"/>
      <c r="F75" s="67"/>
      <c r="G75" s="68">
        <v>55.4</v>
      </c>
      <c r="H75" s="68"/>
      <c r="I75" s="69">
        <f t="shared" si="6"/>
        <v>13.9</v>
      </c>
      <c r="J75" s="562"/>
      <c r="K75" s="565"/>
      <c r="L75" s="568"/>
      <c r="M75" s="15" t="s">
        <v>120</v>
      </c>
      <c r="N75" s="21"/>
    </row>
    <row r="76" spans="1:14" ht="13.5" thickBot="1">
      <c r="A76" s="603"/>
      <c r="B76" s="92" t="s">
        <v>121</v>
      </c>
      <c r="C76" s="92" t="s">
        <v>105</v>
      </c>
      <c r="D76" s="93">
        <v>4</v>
      </c>
      <c r="E76" s="93"/>
      <c r="F76" s="93"/>
      <c r="G76" s="94">
        <v>60</v>
      </c>
      <c r="H76" s="94"/>
      <c r="I76" s="95">
        <f t="shared" si="6"/>
        <v>15</v>
      </c>
      <c r="J76" s="563"/>
      <c r="K76" s="566"/>
      <c r="L76" s="569"/>
      <c r="M76" s="15" t="s">
        <v>120</v>
      </c>
      <c r="N76" s="21"/>
    </row>
    <row r="77" spans="1:14" ht="13.5" thickTop="1">
      <c r="A77" s="573" t="s">
        <v>122</v>
      </c>
      <c r="B77" s="88" t="s">
        <v>72</v>
      </c>
      <c r="C77" s="88" t="s">
        <v>98</v>
      </c>
      <c r="D77" s="89">
        <v>8</v>
      </c>
      <c r="E77" s="89"/>
      <c r="F77" s="89"/>
      <c r="G77" s="90">
        <v>54.5</v>
      </c>
      <c r="H77" s="90"/>
      <c r="I77" s="91">
        <f t="shared" si="6"/>
        <v>6.8</v>
      </c>
      <c r="J77" s="561">
        <f>AVERAGE(I77:I79)</f>
        <v>6.7333333333333343</v>
      </c>
      <c r="K77" s="564">
        <f>21*60/J77</f>
        <v>187.12871287128709</v>
      </c>
      <c r="L77" s="567">
        <f>K77*0.8*0</f>
        <v>0</v>
      </c>
      <c r="M77" s="21"/>
      <c r="N77" s="21"/>
    </row>
    <row r="78" spans="1:14">
      <c r="A78" s="574"/>
      <c r="B78" s="66" t="s">
        <v>72</v>
      </c>
      <c r="C78" s="66" t="s">
        <v>99</v>
      </c>
      <c r="D78" s="67">
        <v>8</v>
      </c>
      <c r="E78" s="67"/>
      <c r="F78" s="67"/>
      <c r="G78" s="68">
        <v>55.8</v>
      </c>
      <c r="H78" s="68"/>
      <c r="I78" s="69">
        <f t="shared" si="6"/>
        <v>7</v>
      </c>
      <c r="J78" s="562"/>
      <c r="K78" s="565"/>
      <c r="L78" s="568"/>
      <c r="M78" s="21"/>
      <c r="N78" s="21"/>
    </row>
    <row r="79" spans="1:14" ht="13.5" thickBot="1">
      <c r="A79" s="575"/>
      <c r="B79" s="92" t="s">
        <v>72</v>
      </c>
      <c r="C79" s="92" t="s">
        <v>100</v>
      </c>
      <c r="D79" s="93">
        <v>8</v>
      </c>
      <c r="E79" s="93"/>
      <c r="F79" s="93"/>
      <c r="G79" s="94">
        <v>51.1</v>
      </c>
      <c r="H79" s="94"/>
      <c r="I79" s="95">
        <f t="shared" si="6"/>
        <v>6.4</v>
      </c>
      <c r="J79" s="563"/>
      <c r="K79" s="566"/>
      <c r="L79" s="569"/>
      <c r="M79" s="21"/>
      <c r="N79" s="21"/>
    </row>
    <row r="80" spans="1:14" ht="13.5" thickTop="1">
      <c r="A80" s="579" t="s">
        <v>123</v>
      </c>
      <c r="B80" s="88" t="s">
        <v>124</v>
      </c>
      <c r="C80" s="88" t="s">
        <v>125</v>
      </c>
      <c r="D80" s="89">
        <v>8</v>
      </c>
      <c r="E80" s="89"/>
      <c r="F80" s="89"/>
      <c r="G80" s="90">
        <v>78.7</v>
      </c>
      <c r="H80" s="90"/>
      <c r="I80" s="91">
        <f t="shared" ref="I80:I111" si="7">ROUND(G80/D80,1)</f>
        <v>9.8000000000000007</v>
      </c>
      <c r="J80" s="561">
        <f>AVERAGE(I80:I85)</f>
        <v>9.7166666666666668</v>
      </c>
      <c r="K80" s="564">
        <f>21*60/J80</f>
        <v>129.67409948542024</v>
      </c>
      <c r="L80" s="567">
        <f>K80*0.8*0</f>
        <v>0</v>
      </c>
      <c r="M80" s="21"/>
      <c r="N80" s="21"/>
    </row>
    <row r="81" spans="1:14">
      <c r="A81" s="580"/>
      <c r="B81" s="66" t="s">
        <v>124</v>
      </c>
      <c r="C81" s="66" t="s">
        <v>126</v>
      </c>
      <c r="D81" s="67">
        <v>8</v>
      </c>
      <c r="E81" s="67"/>
      <c r="F81" s="67"/>
      <c r="G81" s="68">
        <v>69.599999999999994</v>
      </c>
      <c r="H81" s="68"/>
      <c r="I81" s="69">
        <f t="shared" si="7"/>
        <v>8.6999999999999993</v>
      </c>
      <c r="J81" s="562"/>
      <c r="K81" s="565"/>
      <c r="L81" s="568"/>
      <c r="M81" s="21"/>
      <c r="N81" s="21"/>
    </row>
    <row r="82" spans="1:14">
      <c r="A82" s="580"/>
      <c r="B82" s="66" t="s">
        <v>127</v>
      </c>
      <c r="C82" s="66" t="s">
        <v>125</v>
      </c>
      <c r="D82" s="67">
        <v>8</v>
      </c>
      <c r="E82" s="67"/>
      <c r="F82" s="67"/>
      <c r="G82" s="68">
        <v>85.7</v>
      </c>
      <c r="H82" s="68"/>
      <c r="I82" s="69">
        <f t="shared" si="7"/>
        <v>10.7</v>
      </c>
      <c r="J82" s="562"/>
      <c r="K82" s="565"/>
      <c r="L82" s="568"/>
      <c r="M82" s="21"/>
      <c r="N82" s="21"/>
    </row>
    <row r="83" spans="1:14">
      <c r="A83" s="580"/>
      <c r="B83" s="66" t="s">
        <v>127</v>
      </c>
      <c r="C83" s="66" t="s">
        <v>126</v>
      </c>
      <c r="D83" s="67">
        <v>8</v>
      </c>
      <c r="E83" s="67"/>
      <c r="F83" s="67"/>
      <c r="G83" s="68">
        <v>90.6</v>
      </c>
      <c r="H83" s="68"/>
      <c r="I83" s="69">
        <f t="shared" si="7"/>
        <v>11.3</v>
      </c>
      <c r="J83" s="562"/>
      <c r="K83" s="565"/>
      <c r="L83" s="568"/>
      <c r="M83" s="21"/>
      <c r="N83" s="21"/>
    </row>
    <row r="84" spans="1:14">
      <c r="A84" s="580" t="s">
        <v>123</v>
      </c>
      <c r="B84" s="66" t="s">
        <v>128</v>
      </c>
      <c r="C84" s="66" t="s">
        <v>125</v>
      </c>
      <c r="D84" s="67">
        <v>8</v>
      </c>
      <c r="E84" s="67"/>
      <c r="F84" s="67"/>
      <c r="G84" s="68">
        <v>71.099999999999994</v>
      </c>
      <c r="H84" s="68"/>
      <c r="I84" s="69">
        <f t="shared" si="7"/>
        <v>8.9</v>
      </c>
      <c r="J84" s="562"/>
      <c r="K84" s="565"/>
      <c r="L84" s="568"/>
      <c r="M84" s="21"/>
      <c r="N84" s="21"/>
    </row>
    <row r="85" spans="1:14" ht="13.5" thickBot="1">
      <c r="A85" s="603"/>
      <c r="B85" s="92" t="s">
        <v>128</v>
      </c>
      <c r="C85" s="92" t="s">
        <v>126</v>
      </c>
      <c r="D85" s="93">
        <v>8</v>
      </c>
      <c r="E85" s="93"/>
      <c r="F85" s="93"/>
      <c r="G85" s="94">
        <v>71.05</v>
      </c>
      <c r="H85" s="94"/>
      <c r="I85" s="95">
        <f t="shared" si="7"/>
        <v>8.9</v>
      </c>
      <c r="J85" s="563"/>
      <c r="K85" s="566"/>
      <c r="L85" s="569"/>
      <c r="M85" s="21"/>
      <c r="N85" s="21"/>
    </row>
    <row r="86" spans="1:14" ht="13.5" thickTop="1">
      <c r="A86" s="579" t="s">
        <v>129</v>
      </c>
      <c r="B86" s="88" t="s">
        <v>130</v>
      </c>
      <c r="C86" s="88" t="s">
        <v>125</v>
      </c>
      <c r="D86" s="89">
        <v>6</v>
      </c>
      <c r="E86" s="89"/>
      <c r="F86" s="89"/>
      <c r="G86" s="90">
        <v>88.9</v>
      </c>
      <c r="H86" s="90"/>
      <c r="I86" s="91">
        <f t="shared" si="7"/>
        <v>14.8</v>
      </c>
      <c r="J86" s="561">
        <f>AVERAGE(I86:I92)</f>
        <v>15.014285714285714</v>
      </c>
      <c r="K86" s="564">
        <f>21*60/J86</f>
        <v>83.920076117982873</v>
      </c>
      <c r="L86" s="567">
        <f>K86*0.8*0</f>
        <v>0</v>
      </c>
      <c r="M86" s="21"/>
      <c r="N86" s="21"/>
    </row>
    <row r="87" spans="1:14">
      <c r="A87" s="580"/>
      <c r="B87" s="66" t="s">
        <v>130</v>
      </c>
      <c r="C87" s="66" t="s">
        <v>126</v>
      </c>
      <c r="D87" s="67">
        <v>6</v>
      </c>
      <c r="E87" s="67"/>
      <c r="F87" s="67"/>
      <c r="G87" s="68">
        <v>90.6</v>
      </c>
      <c r="H87" s="68"/>
      <c r="I87" s="69">
        <f t="shared" si="7"/>
        <v>15.1</v>
      </c>
      <c r="J87" s="562"/>
      <c r="K87" s="565"/>
      <c r="L87" s="568"/>
      <c r="M87" s="21"/>
      <c r="N87" s="21"/>
    </row>
    <row r="88" spans="1:14">
      <c r="A88" s="580"/>
      <c r="B88" s="66" t="s">
        <v>131</v>
      </c>
      <c r="C88" s="66" t="s">
        <v>125</v>
      </c>
      <c r="D88" s="67">
        <v>6</v>
      </c>
      <c r="E88" s="67"/>
      <c r="F88" s="67"/>
      <c r="G88" s="68">
        <v>94.1</v>
      </c>
      <c r="H88" s="68"/>
      <c r="I88" s="69">
        <f t="shared" si="7"/>
        <v>15.7</v>
      </c>
      <c r="J88" s="562"/>
      <c r="K88" s="565"/>
      <c r="L88" s="568"/>
      <c r="M88" s="21"/>
      <c r="N88" s="21"/>
    </row>
    <row r="89" spans="1:14">
      <c r="A89" s="580"/>
      <c r="B89" s="66" t="s">
        <v>131</v>
      </c>
      <c r="C89" s="66" t="s">
        <v>126</v>
      </c>
      <c r="D89" s="67">
        <v>6</v>
      </c>
      <c r="E89" s="67"/>
      <c r="F89" s="67"/>
      <c r="G89" s="68">
        <v>96</v>
      </c>
      <c r="H89" s="68"/>
      <c r="I89" s="69">
        <f t="shared" si="7"/>
        <v>16</v>
      </c>
      <c r="J89" s="562"/>
      <c r="K89" s="565"/>
      <c r="L89" s="568"/>
      <c r="M89" s="21"/>
      <c r="N89" s="21"/>
    </row>
    <row r="90" spans="1:14">
      <c r="A90" s="580" t="s">
        <v>129</v>
      </c>
      <c r="B90" s="66" t="s">
        <v>132</v>
      </c>
      <c r="C90" s="66" t="s">
        <v>125</v>
      </c>
      <c r="D90" s="67">
        <v>6</v>
      </c>
      <c r="E90" s="67"/>
      <c r="F90" s="67"/>
      <c r="G90" s="68">
        <v>84.13</v>
      </c>
      <c r="H90" s="68"/>
      <c r="I90" s="69">
        <f t="shared" si="7"/>
        <v>14</v>
      </c>
      <c r="J90" s="562"/>
      <c r="K90" s="565"/>
      <c r="L90" s="568"/>
      <c r="M90" s="21"/>
      <c r="N90" s="21"/>
    </row>
    <row r="91" spans="1:14">
      <c r="A91" s="580"/>
      <c r="B91" s="66" t="s">
        <v>132</v>
      </c>
      <c r="C91" s="66" t="s">
        <v>126</v>
      </c>
      <c r="D91" s="67">
        <v>6</v>
      </c>
      <c r="E91" s="67"/>
      <c r="F91" s="67"/>
      <c r="G91" s="68">
        <v>81.25</v>
      </c>
      <c r="H91" s="68"/>
      <c r="I91" s="69">
        <f t="shared" si="7"/>
        <v>13.5</v>
      </c>
      <c r="J91" s="562"/>
      <c r="K91" s="565"/>
      <c r="L91" s="568"/>
      <c r="M91" s="21"/>
      <c r="N91" s="21"/>
    </row>
    <row r="92" spans="1:14">
      <c r="A92" s="580"/>
      <c r="B92" s="66" t="s">
        <v>133</v>
      </c>
      <c r="C92" s="66" t="s">
        <v>125</v>
      </c>
      <c r="D92" s="67">
        <v>6</v>
      </c>
      <c r="E92" s="67"/>
      <c r="F92" s="67"/>
      <c r="G92" s="68">
        <v>96.24</v>
      </c>
      <c r="H92" s="68"/>
      <c r="I92" s="69">
        <f t="shared" si="7"/>
        <v>16</v>
      </c>
      <c r="J92" s="562"/>
      <c r="K92" s="565"/>
      <c r="L92" s="568"/>
      <c r="M92" s="21"/>
      <c r="N92" s="21"/>
    </row>
    <row r="93" spans="1:14" ht="13.5" thickBot="1">
      <c r="A93" s="603"/>
      <c r="B93" s="92" t="s">
        <v>133</v>
      </c>
      <c r="C93" s="92" t="s">
        <v>126</v>
      </c>
      <c r="D93" s="93">
        <v>6</v>
      </c>
      <c r="E93" s="93"/>
      <c r="F93" s="93"/>
      <c r="G93" s="94"/>
      <c r="H93" s="94"/>
      <c r="I93" s="95">
        <f t="shared" si="7"/>
        <v>0</v>
      </c>
      <c r="J93" s="563"/>
      <c r="K93" s="566"/>
      <c r="L93" s="569"/>
      <c r="M93" s="21"/>
      <c r="N93" s="21"/>
    </row>
    <row r="94" spans="1:14" ht="13.5" thickTop="1">
      <c r="A94" s="579" t="s">
        <v>47</v>
      </c>
      <c r="B94" s="88" t="s">
        <v>83</v>
      </c>
      <c r="C94" s="88" t="s">
        <v>114</v>
      </c>
      <c r="D94" s="89">
        <v>3</v>
      </c>
      <c r="E94" s="89"/>
      <c r="F94" s="89"/>
      <c r="G94" s="90">
        <v>22</v>
      </c>
      <c r="H94" s="90"/>
      <c r="I94" s="91">
        <f t="shared" si="7"/>
        <v>7.3</v>
      </c>
      <c r="J94" s="561">
        <f>AVERAGE(I94:I96)</f>
        <v>4.666666666666667</v>
      </c>
      <c r="K94" s="564">
        <f>21*60/J94</f>
        <v>270</v>
      </c>
      <c r="L94" s="567">
        <f>K94*0.8</f>
        <v>216</v>
      </c>
      <c r="M94" s="21"/>
      <c r="N94" s="21"/>
    </row>
    <row r="95" spans="1:14">
      <c r="A95" s="580"/>
      <c r="B95" s="66" t="s">
        <v>83</v>
      </c>
      <c r="C95" s="66" t="s">
        <v>116</v>
      </c>
      <c r="D95" s="67">
        <v>8</v>
      </c>
      <c r="E95" s="67"/>
      <c r="F95" s="67"/>
      <c r="G95" s="68">
        <v>27.1</v>
      </c>
      <c r="H95" s="68"/>
      <c r="I95" s="69">
        <f t="shared" si="7"/>
        <v>3.4</v>
      </c>
      <c r="J95" s="562"/>
      <c r="K95" s="565"/>
      <c r="L95" s="568"/>
      <c r="M95" s="21"/>
      <c r="N95" s="21"/>
    </row>
    <row r="96" spans="1:14">
      <c r="A96" s="580"/>
      <c r="B96" s="66" t="s">
        <v>83</v>
      </c>
      <c r="C96" s="66" t="s">
        <v>100</v>
      </c>
      <c r="D96" s="67">
        <v>8</v>
      </c>
      <c r="E96" s="67"/>
      <c r="F96" s="67"/>
      <c r="G96" s="68">
        <v>26.4</v>
      </c>
      <c r="H96" s="68"/>
      <c r="I96" s="69">
        <f t="shared" si="7"/>
        <v>3.3</v>
      </c>
      <c r="J96" s="562"/>
      <c r="K96" s="565"/>
      <c r="L96" s="568"/>
      <c r="M96" s="21"/>
      <c r="N96" s="21"/>
    </row>
    <row r="97" spans="1:15">
      <c r="A97" s="580" t="s">
        <v>47</v>
      </c>
      <c r="B97" s="66" t="s">
        <v>134</v>
      </c>
      <c r="C97" s="66" t="s">
        <v>135</v>
      </c>
      <c r="D97" s="67">
        <v>6</v>
      </c>
      <c r="E97" s="67"/>
      <c r="F97" s="67"/>
      <c r="G97" s="68">
        <v>21.48</v>
      </c>
      <c r="H97" s="68"/>
      <c r="I97" s="69">
        <f t="shared" si="7"/>
        <v>3.6</v>
      </c>
      <c r="J97" s="562"/>
      <c r="K97" s="565"/>
      <c r="L97" s="568"/>
      <c r="M97" s="21"/>
      <c r="N97" s="21"/>
    </row>
    <row r="98" spans="1:15" ht="13.5" thickBot="1">
      <c r="A98" s="603"/>
      <c r="B98" s="92" t="s">
        <v>134</v>
      </c>
      <c r="C98" s="92" t="s">
        <v>116</v>
      </c>
      <c r="D98" s="93">
        <v>6</v>
      </c>
      <c r="E98" s="93"/>
      <c r="F98" s="93"/>
      <c r="G98" s="94">
        <v>16.22</v>
      </c>
      <c r="H98" s="94"/>
      <c r="I98" s="95">
        <f t="shared" si="7"/>
        <v>2.7</v>
      </c>
      <c r="J98" s="563"/>
      <c r="K98" s="566"/>
      <c r="L98" s="569"/>
      <c r="M98" s="21"/>
      <c r="N98" s="21"/>
    </row>
    <row r="99" spans="1:15" ht="13.5" thickTop="1">
      <c r="A99" s="579" t="s">
        <v>50</v>
      </c>
      <c r="B99" s="88" t="s">
        <v>81</v>
      </c>
      <c r="C99" s="88" t="s">
        <v>114</v>
      </c>
      <c r="D99" s="89">
        <v>2</v>
      </c>
      <c r="E99" s="89"/>
      <c r="F99" s="89"/>
      <c r="G99" s="90">
        <v>20</v>
      </c>
      <c r="H99" s="90"/>
      <c r="I99" s="91">
        <f t="shared" si="7"/>
        <v>10</v>
      </c>
      <c r="J99" s="561">
        <f>AVERAGE(I99:I99)</f>
        <v>10</v>
      </c>
      <c r="K99" s="564">
        <f>21*60/J99</f>
        <v>126</v>
      </c>
      <c r="L99" s="567">
        <f>K99*0.8</f>
        <v>100.80000000000001</v>
      </c>
      <c r="M99" s="21"/>
      <c r="N99" s="21"/>
    </row>
    <row r="100" spans="1:15">
      <c r="A100" s="580"/>
      <c r="B100" s="66" t="s">
        <v>81</v>
      </c>
      <c r="C100" s="66" t="s">
        <v>115</v>
      </c>
      <c r="D100" s="67">
        <v>2</v>
      </c>
      <c r="E100" s="67"/>
      <c r="F100" s="67"/>
      <c r="G100" s="68">
        <v>15.08</v>
      </c>
      <c r="H100" s="68"/>
      <c r="I100" s="69">
        <f t="shared" si="7"/>
        <v>7.5</v>
      </c>
      <c r="J100" s="562"/>
      <c r="K100" s="565"/>
      <c r="L100" s="568"/>
      <c r="M100" s="21"/>
      <c r="N100" s="21"/>
    </row>
    <row r="101" spans="1:15">
      <c r="A101" s="580"/>
      <c r="B101" s="66" t="s">
        <v>81</v>
      </c>
      <c r="C101" s="66" t="s">
        <v>116</v>
      </c>
      <c r="D101" s="67">
        <v>6</v>
      </c>
      <c r="E101" s="67"/>
      <c r="F101" s="67"/>
      <c r="G101" s="68">
        <v>25.35</v>
      </c>
      <c r="H101" s="68"/>
      <c r="I101" s="69">
        <f t="shared" si="7"/>
        <v>4.2</v>
      </c>
      <c r="J101" s="562"/>
      <c r="K101" s="565"/>
      <c r="L101" s="568"/>
      <c r="M101" s="21"/>
      <c r="N101" s="21"/>
    </row>
    <row r="102" spans="1:15" ht="17.25" thickBot="1">
      <c r="A102" s="580"/>
      <c r="B102" s="66" t="s">
        <v>81</v>
      </c>
      <c r="C102" s="66" t="s">
        <v>117</v>
      </c>
      <c r="D102" s="67">
        <v>6</v>
      </c>
      <c r="E102" s="67"/>
      <c r="F102" s="67"/>
      <c r="G102" s="68">
        <v>27.13</v>
      </c>
      <c r="H102" s="68"/>
      <c r="I102" s="69">
        <f t="shared" si="7"/>
        <v>4.5</v>
      </c>
      <c r="J102" s="562"/>
      <c r="K102" s="565"/>
      <c r="L102" s="568"/>
      <c r="M102" s="70"/>
      <c r="N102" s="21"/>
    </row>
    <row r="103" spans="1:15">
      <c r="A103" s="580" t="s">
        <v>50</v>
      </c>
      <c r="B103" s="66" t="s">
        <v>136</v>
      </c>
      <c r="C103" s="66" t="s">
        <v>135</v>
      </c>
      <c r="D103" s="67">
        <v>6</v>
      </c>
      <c r="E103" s="67"/>
      <c r="F103" s="67"/>
      <c r="G103" s="68">
        <v>18.41</v>
      </c>
      <c r="H103" s="68"/>
      <c r="I103" s="69">
        <f t="shared" si="7"/>
        <v>3.1</v>
      </c>
      <c r="J103" s="562"/>
      <c r="K103" s="565"/>
      <c r="L103" s="568"/>
      <c r="M103" s="79" t="s">
        <v>103</v>
      </c>
      <c r="N103" s="80" t="s">
        <v>104</v>
      </c>
      <c r="O103" s="81" t="s">
        <v>52</v>
      </c>
    </row>
    <row r="104" spans="1:15" ht="13.5" thickBot="1">
      <c r="A104" s="603"/>
      <c r="B104" s="92" t="s">
        <v>136</v>
      </c>
      <c r="C104" s="92" t="s">
        <v>116</v>
      </c>
      <c r="D104" s="93">
        <v>6</v>
      </c>
      <c r="E104" s="93"/>
      <c r="F104" s="93"/>
      <c r="G104" s="94">
        <v>15.41</v>
      </c>
      <c r="H104" s="94"/>
      <c r="I104" s="95">
        <f t="shared" si="7"/>
        <v>2.6</v>
      </c>
      <c r="J104" s="563"/>
      <c r="K104" s="566"/>
      <c r="L104" s="569"/>
      <c r="M104" s="78" t="s">
        <v>106</v>
      </c>
      <c r="N104" s="72" t="s">
        <v>107</v>
      </c>
      <c r="O104" s="82" t="s">
        <v>108</v>
      </c>
    </row>
    <row r="105" spans="1:15" ht="13.5" thickTop="1">
      <c r="A105" s="593" t="s">
        <v>137</v>
      </c>
      <c r="B105" s="85" t="s">
        <v>58</v>
      </c>
      <c r="C105" s="85" t="s">
        <v>114</v>
      </c>
      <c r="D105" s="86">
        <v>2</v>
      </c>
      <c r="E105" s="86"/>
      <c r="F105" s="86"/>
      <c r="G105" s="87">
        <v>23.04</v>
      </c>
      <c r="H105" s="87"/>
      <c r="I105" s="83">
        <f t="shared" si="7"/>
        <v>11.5</v>
      </c>
      <c r="J105" s="576">
        <f>AVERAGE(I105:I110)</f>
        <v>7.05</v>
      </c>
      <c r="K105" s="577">
        <f>21*60/J105</f>
        <v>178.72340425531917</v>
      </c>
      <c r="L105" s="585">
        <f>K105*0.8</f>
        <v>142.97872340425533</v>
      </c>
      <c r="M105" s="586">
        <f>AVERAGE(I105:I110)</f>
        <v>7.05</v>
      </c>
      <c r="N105" s="582">
        <f>21*60/M105</f>
        <v>178.72340425531917</v>
      </c>
      <c r="O105" s="583">
        <f>N105*0.8</f>
        <v>142.97872340425533</v>
      </c>
    </row>
    <row r="106" spans="1:15">
      <c r="A106" s="559"/>
      <c r="B106" s="66" t="s">
        <v>58</v>
      </c>
      <c r="C106" s="66" t="s">
        <v>115</v>
      </c>
      <c r="D106" s="67">
        <v>2</v>
      </c>
      <c r="E106" s="67"/>
      <c r="F106" s="67"/>
      <c r="G106" s="68">
        <v>23.19</v>
      </c>
      <c r="H106" s="68"/>
      <c r="I106" s="69">
        <f t="shared" si="7"/>
        <v>11.6</v>
      </c>
      <c r="J106" s="562"/>
      <c r="K106" s="565"/>
      <c r="L106" s="585"/>
      <c r="M106" s="552"/>
      <c r="N106" s="555"/>
      <c r="O106" s="557"/>
    </row>
    <row r="107" spans="1:15">
      <c r="A107" s="559"/>
      <c r="B107" s="66" t="s">
        <v>58</v>
      </c>
      <c r="C107" s="66" t="s">
        <v>116</v>
      </c>
      <c r="D107" s="67">
        <v>6</v>
      </c>
      <c r="E107" s="67"/>
      <c r="F107" s="67"/>
      <c r="G107" s="68">
        <v>28.04</v>
      </c>
      <c r="H107" s="68"/>
      <c r="I107" s="69">
        <f t="shared" si="7"/>
        <v>4.7</v>
      </c>
      <c r="J107" s="562"/>
      <c r="K107" s="565"/>
      <c r="L107" s="585"/>
      <c r="M107" s="552"/>
      <c r="N107" s="555"/>
      <c r="O107" s="557"/>
    </row>
    <row r="108" spans="1:15">
      <c r="A108" s="559"/>
      <c r="B108" s="66" t="s">
        <v>58</v>
      </c>
      <c r="C108" s="66" t="s">
        <v>117</v>
      </c>
      <c r="D108" s="67">
        <v>6</v>
      </c>
      <c r="E108" s="67"/>
      <c r="F108" s="67"/>
      <c r="G108" s="68">
        <v>30.11</v>
      </c>
      <c r="H108" s="68"/>
      <c r="I108" s="69">
        <f t="shared" si="7"/>
        <v>5</v>
      </c>
      <c r="J108" s="562"/>
      <c r="K108" s="565"/>
      <c r="L108" s="585"/>
      <c r="M108" s="552"/>
      <c r="N108" s="555"/>
      <c r="O108" s="557"/>
    </row>
    <row r="109" spans="1:15">
      <c r="A109" s="559"/>
      <c r="B109" s="66" t="s">
        <v>58</v>
      </c>
      <c r="C109" s="66" t="s">
        <v>100</v>
      </c>
      <c r="D109" s="67">
        <v>6</v>
      </c>
      <c r="E109" s="67"/>
      <c r="F109" s="67"/>
      <c r="G109" s="68">
        <v>27.33</v>
      </c>
      <c r="H109" s="68"/>
      <c r="I109" s="69">
        <f t="shared" si="7"/>
        <v>4.5999999999999996</v>
      </c>
      <c r="J109" s="562"/>
      <c r="K109" s="565"/>
      <c r="L109" s="585"/>
      <c r="M109" s="552"/>
      <c r="N109" s="555"/>
      <c r="O109" s="557"/>
    </row>
    <row r="110" spans="1:15">
      <c r="A110" s="559"/>
      <c r="B110" s="66" t="s">
        <v>58</v>
      </c>
      <c r="C110" s="66" t="s">
        <v>105</v>
      </c>
      <c r="D110" s="67">
        <v>6</v>
      </c>
      <c r="E110" s="67"/>
      <c r="F110" s="67"/>
      <c r="G110" s="68">
        <v>29.18</v>
      </c>
      <c r="H110" s="68"/>
      <c r="I110" s="69">
        <f t="shared" si="7"/>
        <v>4.9000000000000004</v>
      </c>
      <c r="J110" s="562"/>
      <c r="K110" s="565"/>
      <c r="L110" s="604"/>
      <c r="M110" s="552"/>
      <c r="N110" s="555"/>
      <c r="O110" s="557"/>
    </row>
    <row r="111" spans="1:15">
      <c r="A111" s="580" t="s">
        <v>138</v>
      </c>
      <c r="B111" s="66" t="s">
        <v>139</v>
      </c>
      <c r="C111" s="66" t="s">
        <v>135</v>
      </c>
      <c r="D111" s="67">
        <v>8</v>
      </c>
      <c r="E111" s="67"/>
      <c r="F111" s="67"/>
      <c r="G111" s="68">
        <v>23.03</v>
      </c>
      <c r="H111" s="68"/>
      <c r="I111" s="69">
        <f t="shared" si="7"/>
        <v>2.9</v>
      </c>
      <c r="J111" s="562">
        <f>AVERAGE(I111:I112)</f>
        <v>2.5999999999999996</v>
      </c>
      <c r="K111" s="565">
        <f>21*60/J111</f>
        <v>484.6153846153847</v>
      </c>
      <c r="L111" s="582">
        <f>K111*0.8</f>
        <v>387.69230769230779</v>
      </c>
      <c r="M111" s="552"/>
      <c r="N111" s="555"/>
      <c r="O111" s="557"/>
    </row>
    <row r="112" spans="1:15" ht="13.5" thickBot="1">
      <c r="A112" s="603"/>
      <c r="B112" s="92" t="s">
        <v>139</v>
      </c>
      <c r="C112" s="92" t="s">
        <v>116</v>
      </c>
      <c r="D112" s="93">
        <v>8</v>
      </c>
      <c r="E112" s="93"/>
      <c r="F112" s="93"/>
      <c r="G112" s="94">
        <v>18.11</v>
      </c>
      <c r="H112" s="94"/>
      <c r="I112" s="95">
        <f t="shared" ref="I112:I141" si="8">ROUND(G112/D112,1)</f>
        <v>2.2999999999999998</v>
      </c>
      <c r="J112" s="563"/>
      <c r="K112" s="566"/>
      <c r="L112" s="597"/>
      <c r="M112" s="576"/>
      <c r="N112" s="577"/>
      <c r="O112" s="578"/>
    </row>
    <row r="113" spans="1:18" ht="13.5" thickTop="1">
      <c r="A113" s="592" t="s">
        <v>140</v>
      </c>
      <c r="B113" s="85" t="s">
        <v>61</v>
      </c>
      <c r="C113" s="85" t="s">
        <v>114</v>
      </c>
      <c r="D113" s="86">
        <v>4</v>
      </c>
      <c r="E113" s="86"/>
      <c r="F113" s="86"/>
      <c r="G113" s="87">
        <v>80</v>
      </c>
      <c r="H113" s="87"/>
      <c r="I113" s="83">
        <f t="shared" si="8"/>
        <v>20</v>
      </c>
      <c r="J113" s="551">
        <f>AVERAGE(I119:I125)</f>
        <v>15.899999999999997</v>
      </c>
      <c r="K113" s="554">
        <f>21*60/J113</f>
        <v>79.245283018867937</v>
      </c>
      <c r="L113" s="554">
        <f>K113*0.8</f>
        <v>63.396226415094354</v>
      </c>
      <c r="M113" s="21"/>
      <c r="N113" s="21"/>
    </row>
    <row r="114" spans="1:18">
      <c r="A114" s="571"/>
      <c r="B114" s="66" t="s">
        <v>61</v>
      </c>
      <c r="C114" s="66" t="s">
        <v>115</v>
      </c>
      <c r="D114" s="86">
        <v>4</v>
      </c>
      <c r="E114" s="86"/>
      <c r="F114" s="86"/>
      <c r="G114" s="68">
        <v>90</v>
      </c>
      <c r="H114" s="68"/>
      <c r="I114" s="69">
        <f t="shared" si="8"/>
        <v>22.5</v>
      </c>
      <c r="J114" s="552"/>
      <c r="K114" s="555"/>
      <c r="L114" s="555"/>
      <c r="M114" s="21"/>
      <c r="N114" s="21"/>
    </row>
    <row r="115" spans="1:18">
      <c r="A115" s="571"/>
      <c r="B115" s="66" t="s">
        <v>61</v>
      </c>
      <c r="C115" s="66" t="s">
        <v>116</v>
      </c>
      <c r="D115" s="86">
        <v>4</v>
      </c>
      <c r="E115" s="86"/>
      <c r="F115" s="86"/>
      <c r="G115" s="68">
        <v>72</v>
      </c>
      <c r="H115" s="68"/>
      <c r="I115" s="69">
        <f t="shared" si="8"/>
        <v>18</v>
      </c>
      <c r="J115" s="552"/>
      <c r="K115" s="555"/>
      <c r="L115" s="555"/>
      <c r="M115" s="21"/>
      <c r="N115" s="21"/>
    </row>
    <row r="116" spans="1:18" ht="13.5" thickBot="1">
      <c r="A116" s="571"/>
      <c r="B116" s="66" t="s">
        <v>61</v>
      </c>
      <c r="C116" s="66" t="s">
        <v>117</v>
      </c>
      <c r="D116" s="86">
        <v>4</v>
      </c>
      <c r="E116" s="86"/>
      <c r="F116" s="86"/>
      <c r="G116" s="68">
        <v>80</v>
      </c>
      <c r="H116" s="68"/>
      <c r="I116" s="69">
        <f t="shared" si="8"/>
        <v>20</v>
      </c>
      <c r="J116" s="552"/>
      <c r="K116" s="555"/>
      <c r="L116" s="555"/>
      <c r="M116" s="21"/>
      <c r="N116" s="21"/>
    </row>
    <row r="117" spans="1:18">
      <c r="A117" s="571"/>
      <c r="B117" s="66" t="s">
        <v>61</v>
      </c>
      <c r="C117" s="66" t="s">
        <v>100</v>
      </c>
      <c r="D117" s="86">
        <v>4</v>
      </c>
      <c r="E117" s="86"/>
      <c r="F117" s="86"/>
      <c r="G117" s="68">
        <v>72</v>
      </c>
      <c r="H117" s="68"/>
      <c r="I117" s="69">
        <f t="shared" si="8"/>
        <v>18</v>
      </c>
      <c r="J117" s="552"/>
      <c r="K117" s="555"/>
      <c r="L117" s="605"/>
      <c r="M117" s="97" t="s">
        <v>103</v>
      </c>
      <c r="N117" s="80" t="s">
        <v>104</v>
      </c>
      <c r="O117" s="81" t="s">
        <v>141</v>
      </c>
    </row>
    <row r="118" spans="1:18">
      <c r="A118" s="593"/>
      <c r="B118" s="66" t="s">
        <v>61</v>
      </c>
      <c r="C118" s="66" t="s">
        <v>105</v>
      </c>
      <c r="D118" s="86">
        <v>4</v>
      </c>
      <c r="E118" s="86"/>
      <c r="F118" s="86"/>
      <c r="G118" s="68">
        <v>80</v>
      </c>
      <c r="H118" s="68"/>
      <c r="I118" s="69">
        <f t="shared" si="8"/>
        <v>20</v>
      </c>
      <c r="J118" s="552"/>
      <c r="K118" s="555"/>
      <c r="L118" s="555"/>
      <c r="M118" s="78" t="s">
        <v>106</v>
      </c>
      <c r="N118" s="72" t="s">
        <v>107</v>
      </c>
      <c r="O118" s="82" t="s">
        <v>108</v>
      </c>
    </row>
    <row r="119" spans="1:18">
      <c r="A119" s="571" t="s">
        <v>140</v>
      </c>
      <c r="B119" s="85" t="s">
        <v>142</v>
      </c>
      <c r="C119" s="85" t="s">
        <v>98</v>
      </c>
      <c r="D119" s="86">
        <v>4</v>
      </c>
      <c r="E119" s="86"/>
      <c r="F119" s="86"/>
      <c r="G119" s="87">
        <v>67</v>
      </c>
      <c r="H119" s="87"/>
      <c r="I119" s="83">
        <f t="shared" si="8"/>
        <v>16.8</v>
      </c>
      <c r="J119" s="552"/>
      <c r="K119" s="555"/>
      <c r="L119" s="555"/>
      <c r="M119" s="586">
        <f>AVERAGE(I119:I125)</f>
        <v>15.899999999999997</v>
      </c>
      <c r="N119" s="582">
        <f>21*60/M119</f>
        <v>79.245283018867937</v>
      </c>
      <c r="O119" s="607">
        <f>N119*0.8</f>
        <v>63.396226415094354</v>
      </c>
      <c r="P119" s="84"/>
      <c r="Q119" s="21"/>
      <c r="R119" s="21"/>
    </row>
    <row r="120" spans="1:18">
      <c r="A120" s="571"/>
      <c r="B120" s="66" t="s">
        <v>142</v>
      </c>
      <c r="C120" s="66" t="s">
        <v>143</v>
      </c>
      <c r="D120" s="86">
        <v>4</v>
      </c>
      <c r="E120" s="86"/>
      <c r="F120" s="86"/>
      <c r="G120" s="68">
        <v>70</v>
      </c>
      <c r="H120" s="68"/>
      <c r="I120" s="69">
        <f t="shared" si="8"/>
        <v>17.5</v>
      </c>
      <c r="J120" s="540"/>
      <c r="K120" s="540"/>
      <c r="L120" s="540"/>
      <c r="M120" s="553"/>
      <c r="N120" s="553"/>
      <c r="O120" s="608"/>
      <c r="P120" s="84"/>
      <c r="Q120" s="21"/>
      <c r="R120" s="21"/>
    </row>
    <row r="121" spans="1:18">
      <c r="A121" s="571"/>
      <c r="B121" s="66" t="s">
        <v>142</v>
      </c>
      <c r="C121" s="66" t="s">
        <v>99</v>
      </c>
      <c r="D121" s="86">
        <v>4</v>
      </c>
      <c r="E121" s="86"/>
      <c r="F121" s="86"/>
      <c r="G121" s="68">
        <v>65</v>
      </c>
      <c r="H121" s="68"/>
      <c r="I121" s="69">
        <f t="shared" si="8"/>
        <v>16.3</v>
      </c>
      <c r="J121" s="540"/>
      <c r="K121" s="540"/>
      <c r="L121" s="540"/>
      <c r="M121" s="553"/>
      <c r="N121" s="553"/>
      <c r="O121" s="608"/>
      <c r="P121" s="84"/>
      <c r="Q121" s="21"/>
      <c r="R121" s="21"/>
    </row>
    <row r="122" spans="1:18">
      <c r="A122" s="571"/>
      <c r="B122" s="66" t="s">
        <v>142</v>
      </c>
      <c r="C122" s="66" t="s">
        <v>100</v>
      </c>
      <c r="D122" s="86">
        <v>4</v>
      </c>
      <c r="E122" s="86"/>
      <c r="F122" s="86"/>
      <c r="G122" s="68">
        <v>55</v>
      </c>
      <c r="H122" s="68"/>
      <c r="I122" s="69">
        <f t="shared" si="8"/>
        <v>13.8</v>
      </c>
      <c r="J122" s="540"/>
      <c r="K122" s="540"/>
      <c r="L122" s="540"/>
      <c r="M122" s="553"/>
      <c r="N122" s="553"/>
      <c r="O122" s="608"/>
      <c r="P122" s="84"/>
      <c r="Q122" s="21"/>
      <c r="R122" s="21"/>
    </row>
    <row r="123" spans="1:18">
      <c r="A123" s="571"/>
      <c r="B123" s="66" t="s">
        <v>142</v>
      </c>
      <c r="C123" s="66" t="s">
        <v>101</v>
      </c>
      <c r="D123" s="86">
        <v>4</v>
      </c>
      <c r="E123" s="86"/>
      <c r="F123" s="86"/>
      <c r="G123" s="68">
        <v>67</v>
      </c>
      <c r="H123" s="68"/>
      <c r="I123" s="69">
        <f t="shared" si="8"/>
        <v>16.8</v>
      </c>
      <c r="J123" s="540"/>
      <c r="K123" s="540"/>
      <c r="L123" s="540"/>
      <c r="M123" s="553"/>
      <c r="N123" s="553"/>
      <c r="O123" s="608"/>
      <c r="P123" s="84"/>
      <c r="Q123" s="21"/>
      <c r="R123" s="21"/>
    </row>
    <row r="124" spans="1:18">
      <c r="A124" s="571"/>
      <c r="B124" s="66" t="s">
        <v>142</v>
      </c>
      <c r="C124" s="66" t="s">
        <v>102</v>
      </c>
      <c r="D124" s="86">
        <v>4</v>
      </c>
      <c r="E124" s="86"/>
      <c r="F124" s="86"/>
      <c r="G124" s="68">
        <v>65</v>
      </c>
      <c r="H124" s="68"/>
      <c r="I124" s="69">
        <f t="shared" si="8"/>
        <v>16.3</v>
      </c>
      <c r="J124" s="540"/>
      <c r="K124" s="540"/>
      <c r="L124" s="540"/>
      <c r="M124" s="553"/>
      <c r="N124" s="553"/>
      <c r="O124" s="608"/>
      <c r="P124" s="84"/>
      <c r="Q124" s="21"/>
      <c r="R124" s="21"/>
    </row>
    <row r="125" spans="1:18" ht="13.5" thickBot="1">
      <c r="A125" s="572"/>
      <c r="B125" s="92" t="s">
        <v>142</v>
      </c>
      <c r="C125" s="92" t="s">
        <v>105</v>
      </c>
      <c r="D125" s="86">
        <v>4</v>
      </c>
      <c r="E125" s="390"/>
      <c r="F125" s="390"/>
      <c r="G125" s="94">
        <v>55</v>
      </c>
      <c r="H125" s="94"/>
      <c r="I125" s="95">
        <f t="shared" si="8"/>
        <v>13.8</v>
      </c>
      <c r="J125" s="541"/>
      <c r="K125" s="541"/>
      <c r="L125" s="541"/>
      <c r="M125" s="606"/>
      <c r="N125" s="606"/>
      <c r="O125" s="609"/>
      <c r="P125" s="84"/>
      <c r="Q125" s="21"/>
      <c r="R125" s="21"/>
    </row>
    <row r="126" spans="1:18" ht="13.5" thickTop="1">
      <c r="A126" s="588" t="s">
        <v>144</v>
      </c>
      <c r="B126" s="85" t="s">
        <v>61</v>
      </c>
      <c r="C126" s="85" t="s">
        <v>114</v>
      </c>
      <c r="D126" s="86">
        <v>8</v>
      </c>
      <c r="E126" s="86"/>
      <c r="F126" s="86"/>
      <c r="G126" s="87">
        <v>80</v>
      </c>
      <c r="H126" s="87"/>
      <c r="I126" s="83">
        <f t="shared" si="8"/>
        <v>10</v>
      </c>
      <c r="J126" s="552">
        <f>AVERAGE(I132:I141)</f>
        <v>27.15</v>
      </c>
      <c r="K126" s="577">
        <f>21*60/J126</f>
        <v>46.408839779005525</v>
      </c>
      <c r="L126" s="555">
        <f>K126*0.8</f>
        <v>37.127071823204425</v>
      </c>
      <c r="M126" s="73"/>
      <c r="N126" s="74"/>
      <c r="O126" s="74"/>
      <c r="P126" s="73"/>
      <c r="Q126" s="74"/>
      <c r="R126" s="74"/>
    </row>
    <row r="127" spans="1:18">
      <c r="A127" s="580"/>
      <c r="B127" s="66" t="s">
        <v>61</v>
      </c>
      <c r="C127" s="66" t="s">
        <v>115</v>
      </c>
      <c r="D127" s="67">
        <v>8</v>
      </c>
      <c r="E127" s="67"/>
      <c r="F127" s="67"/>
      <c r="G127" s="68">
        <v>90</v>
      </c>
      <c r="H127" s="68"/>
      <c r="I127" s="69">
        <f t="shared" si="8"/>
        <v>11.3</v>
      </c>
      <c r="J127" s="552"/>
      <c r="K127" s="565"/>
      <c r="L127" s="555"/>
      <c r="M127" s="73"/>
      <c r="N127" s="74"/>
      <c r="O127" s="74"/>
      <c r="P127" s="73"/>
      <c r="Q127" s="74"/>
      <c r="R127" s="74"/>
    </row>
    <row r="128" spans="1:18">
      <c r="A128" s="580"/>
      <c r="B128" s="66" t="s">
        <v>61</v>
      </c>
      <c r="C128" s="66" t="s">
        <v>116</v>
      </c>
      <c r="D128" s="67">
        <v>8</v>
      </c>
      <c r="E128" s="67"/>
      <c r="F128" s="67"/>
      <c r="G128" s="68">
        <v>72</v>
      </c>
      <c r="H128" s="68"/>
      <c r="I128" s="69">
        <f t="shared" si="8"/>
        <v>9</v>
      </c>
      <c r="J128" s="552"/>
      <c r="K128" s="565"/>
      <c r="L128" s="555"/>
      <c r="M128" s="73"/>
      <c r="N128" s="74"/>
      <c r="O128" s="74"/>
      <c r="P128" s="73"/>
      <c r="Q128" s="74"/>
      <c r="R128" s="74"/>
    </row>
    <row r="129" spans="1:18">
      <c r="A129" s="580"/>
      <c r="B129" s="66" t="s">
        <v>61</v>
      </c>
      <c r="C129" s="66" t="s">
        <v>117</v>
      </c>
      <c r="D129" s="67">
        <v>8</v>
      </c>
      <c r="E129" s="67"/>
      <c r="F129" s="67"/>
      <c r="G129" s="68">
        <v>80</v>
      </c>
      <c r="H129" s="68"/>
      <c r="I129" s="69">
        <f t="shared" si="8"/>
        <v>10</v>
      </c>
      <c r="J129" s="552"/>
      <c r="K129" s="565"/>
      <c r="L129" s="555"/>
      <c r="M129" s="75"/>
      <c r="N129" s="76"/>
      <c r="O129" s="76"/>
      <c r="P129" s="73"/>
      <c r="Q129" s="74"/>
      <c r="R129" s="74"/>
    </row>
    <row r="130" spans="1:18">
      <c r="A130" s="580"/>
      <c r="B130" s="66" t="s">
        <v>61</v>
      </c>
      <c r="C130" s="66" t="s">
        <v>100</v>
      </c>
      <c r="D130" s="67">
        <v>8</v>
      </c>
      <c r="E130" s="67"/>
      <c r="F130" s="67"/>
      <c r="G130" s="68">
        <v>72</v>
      </c>
      <c r="H130" s="68"/>
      <c r="I130" s="69">
        <f t="shared" si="8"/>
        <v>9</v>
      </c>
      <c r="J130" s="552"/>
      <c r="K130" s="565"/>
      <c r="L130" s="555"/>
      <c r="M130" s="77" t="s">
        <v>103</v>
      </c>
      <c r="N130" s="71" t="s">
        <v>104</v>
      </c>
      <c r="O130" s="96" t="s">
        <v>54</v>
      </c>
      <c r="P130" s="73"/>
      <c r="Q130" s="74"/>
      <c r="R130" s="74"/>
    </row>
    <row r="131" spans="1:18">
      <c r="A131" s="580"/>
      <c r="B131" s="66" t="s">
        <v>61</v>
      </c>
      <c r="C131" s="66" t="s">
        <v>105</v>
      </c>
      <c r="D131" s="67">
        <v>8</v>
      </c>
      <c r="E131" s="67"/>
      <c r="F131" s="67"/>
      <c r="G131" s="68">
        <v>80</v>
      </c>
      <c r="H131" s="68"/>
      <c r="I131" s="69">
        <f t="shared" si="8"/>
        <v>10</v>
      </c>
      <c r="J131" s="552"/>
      <c r="K131" s="565"/>
      <c r="L131" s="555"/>
      <c r="M131" s="78" t="s">
        <v>106</v>
      </c>
      <c r="N131" s="72" t="s">
        <v>107</v>
      </c>
      <c r="O131" s="82" t="s">
        <v>108</v>
      </c>
      <c r="P131" s="73"/>
      <c r="Q131" s="74"/>
      <c r="R131" s="74"/>
    </row>
    <row r="132" spans="1:18" ht="12.75" customHeight="1">
      <c r="A132" s="589" t="s">
        <v>144</v>
      </c>
      <c r="B132" s="66" t="s">
        <v>145</v>
      </c>
      <c r="C132" s="66" t="s">
        <v>114</v>
      </c>
      <c r="D132" s="67">
        <v>1</v>
      </c>
      <c r="E132" s="67"/>
      <c r="F132" s="67"/>
      <c r="G132" s="68">
        <v>30.03</v>
      </c>
      <c r="H132" s="68"/>
      <c r="I132" s="69">
        <f t="shared" si="8"/>
        <v>30</v>
      </c>
      <c r="J132" s="552"/>
      <c r="K132" s="565"/>
      <c r="L132" s="555"/>
      <c r="M132" s="586">
        <f>AVERAGE(I132:I141)</f>
        <v>27.15</v>
      </c>
      <c r="N132" s="582">
        <f>21*60/M132</f>
        <v>46.408839779005525</v>
      </c>
      <c r="O132" s="583">
        <f>N132*0.8</f>
        <v>37.127071823204425</v>
      </c>
    </row>
    <row r="133" spans="1:18" ht="12.75" customHeight="1">
      <c r="A133" s="580"/>
      <c r="B133" s="66" t="s">
        <v>145</v>
      </c>
      <c r="C133" s="66" t="s">
        <v>115</v>
      </c>
      <c r="D133" s="67">
        <v>1</v>
      </c>
      <c r="E133" s="67"/>
      <c r="F133" s="67"/>
      <c r="G133" s="68">
        <v>32.18</v>
      </c>
      <c r="H133" s="68"/>
      <c r="I133" s="69">
        <f t="shared" si="8"/>
        <v>32.200000000000003</v>
      </c>
      <c r="J133" s="552"/>
      <c r="K133" s="565"/>
      <c r="L133" s="555"/>
      <c r="M133" s="552"/>
      <c r="N133" s="555"/>
      <c r="O133" s="557"/>
    </row>
    <row r="134" spans="1:18" ht="12.75" customHeight="1">
      <c r="A134" s="580"/>
      <c r="B134" s="66" t="s">
        <v>145</v>
      </c>
      <c r="C134" s="66" t="s">
        <v>116</v>
      </c>
      <c r="D134" s="67">
        <v>1</v>
      </c>
      <c r="E134" s="67"/>
      <c r="F134" s="67"/>
      <c r="G134" s="68">
        <v>16.399999999999999</v>
      </c>
      <c r="H134" s="68"/>
      <c r="I134" s="69">
        <f t="shared" si="8"/>
        <v>16.399999999999999</v>
      </c>
      <c r="J134" s="552"/>
      <c r="K134" s="565"/>
      <c r="L134" s="555"/>
      <c r="M134" s="552"/>
      <c r="N134" s="555"/>
      <c r="O134" s="557"/>
    </row>
    <row r="135" spans="1:18" ht="12.75" customHeight="1">
      <c r="A135" s="580"/>
      <c r="B135" s="66" t="s">
        <v>145</v>
      </c>
      <c r="C135" s="66" t="s">
        <v>117</v>
      </c>
      <c r="D135" s="67">
        <v>1</v>
      </c>
      <c r="E135" s="67"/>
      <c r="F135" s="67"/>
      <c r="G135" s="68">
        <v>18.12</v>
      </c>
      <c r="H135" s="68"/>
      <c r="I135" s="69">
        <f t="shared" si="8"/>
        <v>18.100000000000001</v>
      </c>
      <c r="J135" s="552"/>
      <c r="K135" s="596"/>
      <c r="L135" s="555"/>
      <c r="M135" s="552"/>
      <c r="N135" s="555"/>
      <c r="O135" s="557"/>
    </row>
    <row r="136" spans="1:18" ht="12.75" customHeight="1">
      <c r="A136" s="580"/>
      <c r="B136" s="66" t="s">
        <v>145</v>
      </c>
      <c r="C136" s="66" t="s">
        <v>100</v>
      </c>
      <c r="D136" s="67">
        <v>1</v>
      </c>
      <c r="E136" s="67"/>
      <c r="F136" s="67"/>
      <c r="G136" s="68">
        <v>17.12</v>
      </c>
      <c r="H136" s="68"/>
      <c r="I136" s="69">
        <f t="shared" si="8"/>
        <v>17.100000000000001</v>
      </c>
      <c r="J136" s="552"/>
      <c r="K136" s="565"/>
      <c r="L136" s="555"/>
      <c r="M136" s="552"/>
      <c r="N136" s="555"/>
      <c r="O136" s="557"/>
    </row>
    <row r="137" spans="1:18" ht="12.75" customHeight="1">
      <c r="A137" s="580"/>
      <c r="B137" s="66" t="s">
        <v>145</v>
      </c>
      <c r="C137" s="66" t="s">
        <v>105</v>
      </c>
      <c r="D137" s="67">
        <v>1</v>
      </c>
      <c r="E137" s="67"/>
      <c r="F137" s="67"/>
      <c r="G137" s="68">
        <v>21.06</v>
      </c>
      <c r="H137" s="68"/>
      <c r="I137" s="69">
        <f t="shared" si="8"/>
        <v>21.1</v>
      </c>
      <c r="J137" s="552"/>
      <c r="K137" s="565"/>
      <c r="L137" s="555"/>
      <c r="M137" s="552"/>
      <c r="N137" s="555"/>
      <c r="O137" s="557"/>
    </row>
    <row r="138" spans="1:18">
      <c r="A138" s="590" t="s">
        <v>144</v>
      </c>
      <c r="B138" s="66" t="s">
        <v>146</v>
      </c>
      <c r="C138" s="66" t="s">
        <v>114</v>
      </c>
      <c r="D138" s="67">
        <v>1</v>
      </c>
      <c r="E138" s="67"/>
      <c r="F138" s="67"/>
      <c r="G138" s="68">
        <v>46.1</v>
      </c>
      <c r="H138" s="68"/>
      <c r="I138" s="69">
        <f t="shared" si="8"/>
        <v>46.1</v>
      </c>
      <c r="J138" s="552"/>
      <c r="K138" s="565"/>
      <c r="L138" s="555"/>
      <c r="M138" s="552"/>
      <c r="N138" s="555"/>
      <c r="O138" s="557"/>
    </row>
    <row r="139" spans="1:18">
      <c r="A139" s="574"/>
      <c r="B139" s="66" t="s">
        <v>146</v>
      </c>
      <c r="C139" s="66" t="s">
        <v>115</v>
      </c>
      <c r="D139" s="67">
        <v>1</v>
      </c>
      <c r="E139" s="67"/>
      <c r="F139" s="67"/>
      <c r="G139" s="68">
        <v>49.17</v>
      </c>
      <c r="H139" s="68"/>
      <c r="I139" s="69">
        <f t="shared" si="8"/>
        <v>49.2</v>
      </c>
      <c r="J139" s="552"/>
      <c r="K139" s="565"/>
      <c r="L139" s="555"/>
      <c r="M139" s="552"/>
      <c r="N139" s="555"/>
      <c r="O139" s="557"/>
    </row>
    <row r="140" spans="1:18">
      <c r="A140" s="574"/>
      <c r="B140" s="66" t="s">
        <v>146</v>
      </c>
      <c r="C140" s="66" t="s">
        <v>116</v>
      </c>
      <c r="D140" s="67">
        <v>1</v>
      </c>
      <c r="E140" s="67"/>
      <c r="F140" s="67"/>
      <c r="G140" s="68">
        <v>19.079999999999998</v>
      </c>
      <c r="H140" s="68"/>
      <c r="I140" s="69">
        <f t="shared" si="8"/>
        <v>19.100000000000001</v>
      </c>
      <c r="J140" s="552"/>
      <c r="K140" s="565"/>
      <c r="L140" s="555"/>
      <c r="M140" s="552"/>
      <c r="N140" s="555"/>
      <c r="O140" s="557"/>
    </row>
    <row r="141" spans="1:18" ht="13.5" thickBot="1">
      <c r="A141" s="575"/>
      <c r="B141" s="92" t="s">
        <v>146</v>
      </c>
      <c r="C141" s="92" t="s">
        <v>117</v>
      </c>
      <c r="D141" s="93">
        <v>1</v>
      </c>
      <c r="E141" s="93"/>
      <c r="F141" s="93"/>
      <c r="G141" s="94">
        <v>22.24</v>
      </c>
      <c r="H141" s="94"/>
      <c r="I141" s="95">
        <f t="shared" si="8"/>
        <v>22.2</v>
      </c>
      <c r="J141" s="595"/>
      <c r="K141" s="566"/>
      <c r="L141" s="597"/>
      <c r="M141" s="595"/>
      <c r="N141" s="597"/>
      <c r="O141" s="594"/>
    </row>
    <row r="142" spans="1:18" ht="13.5" thickTop="1">
      <c r="A142" s="592" t="s">
        <v>147</v>
      </c>
      <c r="B142" s="88" t="s">
        <v>61</v>
      </c>
      <c r="C142" s="88" t="s">
        <v>114</v>
      </c>
      <c r="D142" s="89"/>
      <c r="E142" s="89"/>
      <c r="F142" s="89"/>
      <c r="G142" s="90"/>
      <c r="H142" s="90"/>
      <c r="I142" s="91"/>
      <c r="J142" s="551">
        <f>AVERAGE(I142:I145)</f>
        <v>15.6</v>
      </c>
      <c r="K142" s="554">
        <f>21*60/J142</f>
        <v>80.769230769230774</v>
      </c>
      <c r="L142" s="602">
        <f>K142*0.8</f>
        <v>64.615384615384627</v>
      </c>
      <c r="M142" s="73"/>
      <c r="N142" s="74"/>
      <c r="O142" s="74"/>
    </row>
    <row r="143" spans="1:18">
      <c r="A143" s="571"/>
      <c r="B143" s="66" t="s">
        <v>61</v>
      </c>
      <c r="C143" s="66" t="s">
        <v>115</v>
      </c>
      <c r="D143" s="67">
        <v>2</v>
      </c>
      <c r="E143" s="67"/>
      <c r="F143" s="67"/>
      <c r="G143" s="68">
        <v>33</v>
      </c>
      <c r="H143" s="68"/>
      <c r="I143" s="69">
        <f>ROUND(G143/D143,1)</f>
        <v>16.5</v>
      </c>
      <c r="J143" s="540"/>
      <c r="K143" s="540"/>
      <c r="L143" s="549"/>
      <c r="M143" s="73"/>
      <c r="N143" s="74"/>
      <c r="O143" s="74"/>
    </row>
    <row r="144" spans="1:18">
      <c r="A144" s="571"/>
      <c r="B144" s="66" t="s">
        <v>61</v>
      </c>
      <c r="C144" s="66" t="s">
        <v>116</v>
      </c>
      <c r="D144" s="103">
        <v>2</v>
      </c>
      <c r="E144" s="103"/>
      <c r="F144" s="103"/>
      <c r="G144" s="104">
        <v>29.4</v>
      </c>
      <c r="H144" s="104"/>
      <c r="I144" s="69">
        <f>ROUND(G144/D144,1)</f>
        <v>14.7</v>
      </c>
      <c r="J144" s="540"/>
      <c r="K144" s="540"/>
      <c r="L144" s="549"/>
      <c r="M144" s="73"/>
      <c r="N144" s="74"/>
      <c r="O144" s="74"/>
    </row>
    <row r="145" spans="1:15" ht="13.5" thickBot="1">
      <c r="A145" s="572"/>
      <c r="B145" s="92" t="s">
        <v>61</v>
      </c>
      <c r="C145" s="92" t="s">
        <v>117</v>
      </c>
      <c r="D145" s="93"/>
      <c r="E145" s="93"/>
      <c r="F145" s="93"/>
      <c r="G145" s="94"/>
      <c r="H145" s="94"/>
      <c r="I145" s="95"/>
      <c r="J145" s="541"/>
      <c r="K145" s="541"/>
      <c r="L145" s="550"/>
      <c r="M145" s="73"/>
      <c r="N145" s="74"/>
      <c r="O145" s="74"/>
    </row>
    <row r="146" spans="1:15" ht="13.5" thickTop="1">
      <c r="A146" s="591" t="s">
        <v>148</v>
      </c>
      <c r="B146" s="88" t="s">
        <v>142</v>
      </c>
      <c r="C146" s="88" t="s">
        <v>98</v>
      </c>
      <c r="D146" s="103">
        <v>1</v>
      </c>
      <c r="E146" s="391"/>
      <c r="F146" s="391"/>
      <c r="G146" s="90"/>
      <c r="H146" s="87"/>
      <c r="I146" s="83"/>
      <c r="J146" s="551">
        <f>AVERAGE(I146:I164)</f>
        <v>20.5</v>
      </c>
      <c r="K146" s="554">
        <f>21*60/J146</f>
        <v>61.463414634146339</v>
      </c>
      <c r="L146" s="556">
        <f>K146*0.8</f>
        <v>49.170731707317074</v>
      </c>
      <c r="M146" s="73"/>
      <c r="N146" s="74"/>
      <c r="O146" s="74"/>
    </row>
    <row r="147" spans="1:15">
      <c r="A147" s="559"/>
      <c r="B147" s="66" t="s">
        <v>142</v>
      </c>
      <c r="C147" s="66" t="s">
        <v>143</v>
      </c>
      <c r="D147" s="103">
        <v>1</v>
      </c>
      <c r="E147" s="103"/>
      <c r="F147" s="103"/>
      <c r="G147" s="68"/>
      <c r="H147" s="68"/>
      <c r="I147" s="69"/>
      <c r="J147" s="552"/>
      <c r="K147" s="555"/>
      <c r="L147" s="557"/>
      <c r="M147" s="73"/>
      <c r="N147" s="74"/>
      <c r="O147" s="74"/>
    </row>
    <row r="148" spans="1:15">
      <c r="A148" s="559"/>
      <c r="B148" s="66" t="s">
        <v>142</v>
      </c>
      <c r="C148" s="66" t="s">
        <v>99</v>
      </c>
      <c r="D148" s="103">
        <v>1</v>
      </c>
      <c r="E148" s="103"/>
      <c r="F148" s="103"/>
      <c r="G148" s="68"/>
      <c r="H148" s="68"/>
      <c r="I148" s="69"/>
      <c r="J148" s="552"/>
      <c r="K148" s="555"/>
      <c r="L148" s="557"/>
      <c r="M148" s="73"/>
      <c r="N148" s="74"/>
      <c r="O148" s="74"/>
    </row>
    <row r="149" spans="1:15">
      <c r="A149" s="559"/>
      <c r="B149" s="66" t="s">
        <v>142</v>
      </c>
      <c r="C149" s="66" t="s">
        <v>100</v>
      </c>
      <c r="D149" s="103">
        <v>1</v>
      </c>
      <c r="E149" s="103"/>
      <c r="F149" s="103"/>
      <c r="G149" s="68"/>
      <c r="H149" s="68"/>
      <c r="I149" s="69"/>
      <c r="J149" s="552"/>
      <c r="K149" s="555"/>
      <c r="L149" s="557"/>
      <c r="M149" s="73"/>
      <c r="N149" s="74"/>
      <c r="O149" s="74"/>
    </row>
    <row r="150" spans="1:15">
      <c r="A150" s="559"/>
      <c r="B150" s="66" t="s">
        <v>142</v>
      </c>
      <c r="C150" s="66" t="s">
        <v>101</v>
      </c>
      <c r="D150" s="103">
        <v>1</v>
      </c>
      <c r="E150" s="103"/>
      <c r="F150" s="103"/>
      <c r="G150" s="68"/>
      <c r="H150" s="68"/>
      <c r="I150" s="69"/>
      <c r="J150" s="552"/>
      <c r="K150" s="555"/>
      <c r="L150" s="557"/>
      <c r="M150" s="73"/>
      <c r="N150" s="74"/>
      <c r="O150" s="74"/>
    </row>
    <row r="151" spans="1:15">
      <c r="A151" s="559"/>
      <c r="B151" s="66" t="s">
        <v>142</v>
      </c>
      <c r="C151" s="66" t="s">
        <v>102</v>
      </c>
      <c r="D151" s="103">
        <v>1</v>
      </c>
      <c r="E151" s="103"/>
      <c r="F151" s="103"/>
      <c r="G151" s="68"/>
      <c r="H151" s="68"/>
      <c r="I151" s="69"/>
      <c r="J151" s="552"/>
      <c r="K151" s="555"/>
      <c r="L151" s="557"/>
      <c r="M151" s="73"/>
      <c r="N151" s="74"/>
      <c r="O151" s="74"/>
    </row>
    <row r="152" spans="1:15">
      <c r="A152" s="559"/>
      <c r="B152" s="66" t="s">
        <v>142</v>
      </c>
      <c r="C152" s="66" t="s">
        <v>105</v>
      </c>
      <c r="D152" s="103">
        <v>1</v>
      </c>
      <c r="E152" s="103"/>
      <c r="F152" s="103"/>
      <c r="G152" s="68"/>
      <c r="H152" s="68"/>
      <c r="I152" s="69"/>
      <c r="J152" s="552"/>
      <c r="K152" s="555"/>
      <c r="L152" s="557"/>
      <c r="M152" s="73"/>
      <c r="N152" s="74"/>
      <c r="O152" s="74"/>
    </row>
    <row r="153" spans="1:15">
      <c r="A153" s="559" t="s">
        <v>148</v>
      </c>
      <c r="B153" s="101" t="s">
        <v>149</v>
      </c>
      <c r="C153" s="66" t="s">
        <v>98</v>
      </c>
      <c r="D153" s="103">
        <v>1</v>
      </c>
      <c r="E153" s="103"/>
      <c r="F153" s="103"/>
      <c r="G153" s="104"/>
      <c r="H153" s="104"/>
      <c r="I153" s="69"/>
      <c r="J153" s="552"/>
      <c r="K153" s="555"/>
      <c r="L153" s="557"/>
      <c r="M153" s="73"/>
      <c r="N153" s="74"/>
      <c r="O153" s="74"/>
    </row>
    <row r="154" spans="1:15">
      <c r="A154" s="559"/>
      <c r="B154" s="101" t="s">
        <v>149</v>
      </c>
      <c r="C154" s="66" t="s">
        <v>99</v>
      </c>
      <c r="D154" s="103">
        <v>1</v>
      </c>
      <c r="E154" s="103"/>
      <c r="F154" s="103"/>
      <c r="G154" s="104"/>
      <c r="H154" s="104"/>
      <c r="I154" s="69"/>
      <c r="J154" s="552"/>
      <c r="K154" s="555"/>
      <c r="L154" s="557"/>
      <c r="M154" s="73"/>
      <c r="N154" s="74"/>
      <c r="O154" s="74"/>
    </row>
    <row r="155" spans="1:15">
      <c r="A155" s="559"/>
      <c r="B155" s="101" t="s">
        <v>149</v>
      </c>
      <c r="C155" s="66" t="s">
        <v>100</v>
      </c>
      <c r="D155" s="103">
        <v>1</v>
      </c>
      <c r="E155" s="103"/>
      <c r="F155" s="103"/>
      <c r="G155" s="104"/>
      <c r="H155" s="104"/>
      <c r="I155" s="69"/>
      <c r="J155" s="552"/>
      <c r="K155" s="540"/>
      <c r="L155" s="557"/>
      <c r="M155" s="73"/>
      <c r="N155" s="74"/>
      <c r="O155" s="74"/>
    </row>
    <row r="156" spans="1:15">
      <c r="A156" s="559"/>
      <c r="B156" s="101" t="s">
        <v>149</v>
      </c>
      <c r="C156" s="66" t="s">
        <v>101</v>
      </c>
      <c r="D156" s="103">
        <v>1</v>
      </c>
      <c r="E156" s="103"/>
      <c r="F156" s="103"/>
      <c r="G156" s="104"/>
      <c r="H156" s="104"/>
      <c r="I156" s="69"/>
      <c r="J156" s="552"/>
      <c r="K156" s="555"/>
      <c r="L156" s="557"/>
      <c r="M156" s="73"/>
      <c r="N156" s="74"/>
      <c r="O156" s="74"/>
    </row>
    <row r="157" spans="1:15">
      <c r="A157" s="559"/>
      <c r="B157" s="101" t="s">
        <v>149</v>
      </c>
      <c r="C157" s="66" t="s">
        <v>102</v>
      </c>
      <c r="D157" s="103">
        <v>1</v>
      </c>
      <c r="E157" s="103"/>
      <c r="F157" s="103"/>
      <c r="G157" s="104"/>
      <c r="H157" s="104"/>
      <c r="I157" s="69"/>
      <c r="J157" s="552"/>
      <c r="K157" s="555"/>
      <c r="L157" s="557"/>
      <c r="M157" s="73"/>
      <c r="N157" s="74"/>
      <c r="O157" s="74"/>
    </row>
    <row r="158" spans="1:15">
      <c r="A158" s="559"/>
      <c r="B158" s="101" t="s">
        <v>149</v>
      </c>
      <c r="C158" s="66" t="s">
        <v>105</v>
      </c>
      <c r="D158" s="103">
        <v>1</v>
      </c>
      <c r="E158" s="103"/>
      <c r="F158" s="103"/>
      <c r="G158" s="104">
        <v>21</v>
      </c>
      <c r="H158" s="104"/>
      <c r="I158" s="69">
        <f>ROUND(G158/D158,1)</f>
        <v>21</v>
      </c>
      <c r="J158" s="552"/>
      <c r="K158" s="555"/>
      <c r="L158" s="557"/>
      <c r="M158" s="73"/>
      <c r="N158" s="74"/>
      <c r="O158" s="74"/>
    </row>
    <row r="159" spans="1:15">
      <c r="A159" s="571" t="s">
        <v>148</v>
      </c>
      <c r="B159" s="101" t="s">
        <v>150</v>
      </c>
      <c r="C159" s="66" t="s">
        <v>98</v>
      </c>
      <c r="D159" s="103">
        <v>1</v>
      </c>
      <c r="E159" s="103"/>
      <c r="F159" s="103"/>
      <c r="G159" s="104"/>
      <c r="H159" s="104"/>
      <c r="I159" s="69"/>
      <c r="J159" s="552"/>
      <c r="K159" s="555"/>
      <c r="L159" s="557"/>
      <c r="M159" s="73"/>
      <c r="N159" s="74"/>
      <c r="O159" s="74"/>
    </row>
    <row r="160" spans="1:15">
      <c r="A160" s="571"/>
      <c r="B160" s="101" t="s">
        <v>150</v>
      </c>
      <c r="C160" s="66" t="s">
        <v>99</v>
      </c>
      <c r="D160" s="103">
        <v>1</v>
      </c>
      <c r="E160" s="103"/>
      <c r="F160" s="103"/>
      <c r="G160" s="104"/>
      <c r="H160" s="104"/>
      <c r="I160" s="69"/>
      <c r="J160" s="552"/>
      <c r="K160" s="555"/>
      <c r="L160" s="557"/>
      <c r="M160" s="73"/>
      <c r="N160" s="74"/>
      <c r="O160" s="74"/>
    </row>
    <row r="161" spans="1:15">
      <c r="A161" s="571"/>
      <c r="B161" s="101" t="s">
        <v>150</v>
      </c>
      <c r="C161" s="66" t="s">
        <v>100</v>
      </c>
      <c r="D161" s="103">
        <v>1</v>
      </c>
      <c r="E161" s="103"/>
      <c r="F161" s="103"/>
      <c r="G161" s="104">
        <v>20</v>
      </c>
      <c r="H161" s="104"/>
      <c r="I161" s="69">
        <f>ROUND(G161/D161,1)</f>
        <v>20</v>
      </c>
      <c r="J161" s="552"/>
      <c r="K161" s="555"/>
      <c r="L161" s="557"/>
      <c r="M161" s="73"/>
      <c r="N161" s="74"/>
      <c r="O161" s="74"/>
    </row>
    <row r="162" spans="1:15">
      <c r="A162" s="571"/>
      <c r="B162" s="101" t="s">
        <v>150</v>
      </c>
      <c r="C162" s="66" t="s">
        <v>101</v>
      </c>
      <c r="D162" s="103">
        <v>1</v>
      </c>
      <c r="E162" s="103"/>
      <c r="F162" s="103"/>
      <c r="G162" s="104"/>
      <c r="H162" s="104"/>
      <c r="I162" s="69"/>
      <c r="J162" s="540"/>
      <c r="K162" s="540"/>
      <c r="L162" s="549"/>
      <c r="M162" s="73"/>
      <c r="N162" s="74"/>
      <c r="O162" s="74"/>
    </row>
    <row r="163" spans="1:15">
      <c r="A163" s="571"/>
      <c r="B163" s="101" t="s">
        <v>150</v>
      </c>
      <c r="C163" s="66" t="s">
        <v>102</v>
      </c>
      <c r="D163" s="103">
        <v>1</v>
      </c>
      <c r="E163" s="103"/>
      <c r="F163" s="103"/>
      <c r="G163" s="104"/>
      <c r="H163" s="104"/>
      <c r="I163" s="69"/>
      <c r="J163" s="540"/>
      <c r="K163" s="540"/>
      <c r="L163" s="549"/>
      <c r="M163" s="73"/>
      <c r="N163" s="74"/>
      <c r="O163" s="74"/>
    </row>
    <row r="164" spans="1:15" ht="13.5" thickBot="1">
      <c r="A164" s="571"/>
      <c r="B164" s="102" t="s">
        <v>150</v>
      </c>
      <c r="C164" s="92" t="s">
        <v>105</v>
      </c>
      <c r="D164" s="126">
        <v>1</v>
      </c>
      <c r="E164" s="126"/>
      <c r="F164" s="126"/>
      <c r="G164" s="127"/>
      <c r="H164" s="127"/>
      <c r="I164" s="95"/>
      <c r="J164" s="541"/>
      <c r="K164" s="541"/>
      <c r="L164" s="550"/>
      <c r="M164" s="73"/>
      <c r="N164" s="74"/>
      <c r="O164" s="74"/>
    </row>
    <row r="165" spans="1:15" ht="13.5" thickTop="1">
      <c r="A165" s="592" t="s">
        <v>151</v>
      </c>
      <c r="B165" s="88" t="s">
        <v>34</v>
      </c>
      <c r="C165" s="88" t="s">
        <v>98</v>
      </c>
      <c r="D165" s="128">
        <v>2</v>
      </c>
      <c r="E165" s="128"/>
      <c r="F165" s="128"/>
      <c r="G165" s="129"/>
      <c r="H165" s="108"/>
      <c r="I165" s="83"/>
      <c r="J165" s="551">
        <f>AVERAGE(I165:I172)</f>
        <v>15.75</v>
      </c>
      <c r="K165" s="554">
        <f>21*60/J165</f>
        <v>80</v>
      </c>
      <c r="L165" s="556">
        <f>K165*0.8</f>
        <v>64</v>
      </c>
      <c r="M165" s="73"/>
      <c r="N165" s="74"/>
      <c r="O165" s="74"/>
    </row>
    <row r="166" spans="1:15">
      <c r="A166" s="571"/>
      <c r="B166" s="66" t="s">
        <v>34</v>
      </c>
      <c r="C166" s="66" t="s">
        <v>99</v>
      </c>
      <c r="D166" s="103">
        <v>2</v>
      </c>
      <c r="E166" s="103"/>
      <c r="F166" s="103"/>
      <c r="G166" s="104"/>
      <c r="H166" s="104"/>
      <c r="I166" s="69"/>
      <c r="J166" s="723"/>
      <c r="K166" s="723"/>
      <c r="L166" s="724"/>
      <c r="M166" s="73"/>
      <c r="N166" s="74"/>
      <c r="O166" s="74"/>
    </row>
    <row r="167" spans="1:15">
      <c r="A167" s="571"/>
      <c r="B167" s="66" t="s">
        <v>34</v>
      </c>
      <c r="C167" s="66" t="s">
        <v>100</v>
      </c>
      <c r="D167" s="103">
        <v>2</v>
      </c>
      <c r="E167" s="103"/>
      <c r="F167" s="103"/>
      <c r="G167" s="104"/>
      <c r="H167" s="104"/>
      <c r="I167" s="69"/>
      <c r="J167" s="723"/>
      <c r="K167" s="723"/>
      <c r="L167" s="724"/>
      <c r="M167" s="73"/>
      <c r="N167" s="74"/>
      <c r="O167" s="74"/>
    </row>
    <row r="168" spans="1:15">
      <c r="A168" s="571"/>
      <c r="B168" s="66" t="s">
        <v>34</v>
      </c>
      <c r="C168" s="66" t="s">
        <v>101</v>
      </c>
      <c r="D168" s="103">
        <v>2</v>
      </c>
      <c r="E168" s="103"/>
      <c r="F168" s="103"/>
      <c r="G168" s="104"/>
      <c r="H168" s="104"/>
      <c r="I168" s="69"/>
      <c r="J168" s="723"/>
      <c r="K168" s="723"/>
      <c r="L168" s="724"/>
      <c r="M168" s="73"/>
      <c r="N168" s="74"/>
      <c r="O168" s="74"/>
    </row>
    <row r="169" spans="1:15">
      <c r="A169" s="571"/>
      <c r="B169" s="66" t="s">
        <v>34</v>
      </c>
      <c r="C169" s="66" t="s">
        <v>102</v>
      </c>
      <c r="D169" s="103">
        <v>2</v>
      </c>
      <c r="E169" s="103"/>
      <c r="F169" s="103"/>
      <c r="G169" s="104"/>
      <c r="H169" s="104"/>
      <c r="I169" s="69"/>
      <c r="J169" s="723"/>
      <c r="K169" s="723"/>
      <c r="L169" s="724"/>
      <c r="M169" s="77" t="s">
        <v>103</v>
      </c>
      <c r="N169" s="71" t="s">
        <v>104</v>
      </c>
      <c r="O169" s="96" t="s">
        <v>65</v>
      </c>
    </row>
    <row r="170" spans="1:15">
      <c r="A170" s="593"/>
      <c r="B170" s="66" t="s">
        <v>34</v>
      </c>
      <c r="C170" s="66" t="s">
        <v>105</v>
      </c>
      <c r="D170" s="103">
        <v>2</v>
      </c>
      <c r="E170" s="103"/>
      <c r="F170" s="103"/>
      <c r="G170" s="104"/>
      <c r="H170" s="104"/>
      <c r="I170" s="69"/>
      <c r="J170" s="723"/>
      <c r="K170" s="723"/>
      <c r="L170" s="724"/>
      <c r="M170" s="78" t="s">
        <v>106</v>
      </c>
      <c r="N170" s="72" t="s">
        <v>107</v>
      </c>
      <c r="O170" s="82" t="s">
        <v>108</v>
      </c>
    </row>
    <row r="171" spans="1:15">
      <c r="A171" s="571" t="s">
        <v>151</v>
      </c>
      <c r="B171" s="101" t="s">
        <v>132</v>
      </c>
      <c r="C171" s="66" t="s">
        <v>125</v>
      </c>
      <c r="D171" s="103">
        <v>2</v>
      </c>
      <c r="E171" s="103"/>
      <c r="F171" s="103"/>
      <c r="G171" s="104">
        <v>34</v>
      </c>
      <c r="H171" s="104"/>
      <c r="I171" s="69">
        <f t="shared" ref="I171:I178" si="9">ROUND(G171/D171,1)</f>
        <v>17</v>
      </c>
      <c r="J171" s="723"/>
      <c r="K171" s="723"/>
      <c r="L171" s="724"/>
      <c r="M171" s="598">
        <f>AVERAGE(I171:I172)</f>
        <v>15.75</v>
      </c>
      <c r="N171" s="582">
        <f>21*60/M171</f>
        <v>80</v>
      </c>
      <c r="O171" s="583">
        <f>N171*0.8</f>
        <v>64</v>
      </c>
    </row>
    <row r="172" spans="1:15" ht="13.5" thickBot="1">
      <c r="A172" s="572"/>
      <c r="B172" s="102" t="s">
        <v>132</v>
      </c>
      <c r="C172" s="92" t="s">
        <v>126</v>
      </c>
      <c r="D172" s="126">
        <v>2</v>
      </c>
      <c r="E172" s="126"/>
      <c r="F172" s="126"/>
      <c r="G172" s="127">
        <v>29</v>
      </c>
      <c r="H172" s="392"/>
      <c r="I172" s="130">
        <f t="shared" si="9"/>
        <v>14.5</v>
      </c>
      <c r="J172" s="725"/>
      <c r="K172" s="725"/>
      <c r="L172" s="726"/>
      <c r="M172" s="599"/>
      <c r="N172" s="600"/>
      <c r="O172" s="587"/>
    </row>
    <row r="173" spans="1:15" ht="13.5" thickTop="1">
      <c r="A173" s="592" t="s">
        <v>152</v>
      </c>
      <c r="B173" s="88" t="s">
        <v>119</v>
      </c>
      <c r="C173" s="88" t="s">
        <v>98</v>
      </c>
      <c r="D173" s="128">
        <v>6</v>
      </c>
      <c r="E173" s="128"/>
      <c r="F173" s="128"/>
      <c r="G173" s="129">
        <v>84</v>
      </c>
      <c r="H173" s="108"/>
      <c r="I173" s="83">
        <f t="shared" si="9"/>
        <v>14</v>
      </c>
      <c r="J173" s="539">
        <f>AVERAGE(I173:I184)</f>
        <v>14.600000000000001</v>
      </c>
      <c r="K173" s="554">
        <f>21*60/J173</f>
        <v>86.30136986301369</v>
      </c>
      <c r="L173" s="556">
        <f>K173*0.8</f>
        <v>69.041095890410958</v>
      </c>
      <c r="M173" s="73"/>
      <c r="N173" s="74"/>
      <c r="O173" s="74"/>
    </row>
    <row r="174" spans="1:15">
      <c r="A174" s="571"/>
      <c r="B174" s="66" t="s">
        <v>119</v>
      </c>
      <c r="C174" s="66" t="s">
        <v>99</v>
      </c>
      <c r="D174" s="103">
        <v>6</v>
      </c>
      <c r="E174" s="103"/>
      <c r="F174" s="103"/>
      <c r="G174" s="104">
        <v>79</v>
      </c>
      <c r="H174" s="104"/>
      <c r="I174" s="69">
        <f t="shared" si="9"/>
        <v>13.2</v>
      </c>
      <c r="J174" s="540"/>
      <c r="K174" s="555"/>
      <c r="L174" s="557"/>
      <c r="M174" s="73"/>
      <c r="N174" s="74"/>
      <c r="O174" s="74"/>
    </row>
    <row r="175" spans="1:15">
      <c r="A175" s="571"/>
      <c r="B175" s="66" t="s">
        <v>119</v>
      </c>
      <c r="C175" s="66" t="s">
        <v>100</v>
      </c>
      <c r="D175" s="103">
        <v>6</v>
      </c>
      <c r="E175" s="103"/>
      <c r="F175" s="103"/>
      <c r="G175" s="104">
        <v>76.3</v>
      </c>
      <c r="H175" s="104"/>
      <c r="I175" s="69">
        <f t="shared" si="9"/>
        <v>12.7</v>
      </c>
      <c r="J175" s="540"/>
      <c r="K175" s="555"/>
      <c r="L175" s="557"/>
      <c r="M175" s="73"/>
      <c r="N175" s="74"/>
      <c r="O175" s="74"/>
    </row>
    <row r="176" spans="1:15">
      <c r="A176" s="571"/>
      <c r="B176" s="66" t="s">
        <v>119</v>
      </c>
      <c r="C176" s="66" t="s">
        <v>101</v>
      </c>
      <c r="D176" s="103">
        <v>6</v>
      </c>
      <c r="E176" s="103"/>
      <c r="F176" s="103"/>
      <c r="G176" s="104">
        <v>96.25</v>
      </c>
      <c r="H176" s="104"/>
      <c r="I176" s="69">
        <f t="shared" si="9"/>
        <v>16</v>
      </c>
      <c r="J176" s="540"/>
      <c r="K176" s="555"/>
      <c r="L176" s="557"/>
      <c r="M176" s="73"/>
      <c r="N176" s="74"/>
      <c r="O176" s="74"/>
    </row>
    <row r="177" spans="1:15">
      <c r="A177" s="571"/>
      <c r="B177" s="66" t="s">
        <v>119</v>
      </c>
      <c r="C177" s="66" t="s">
        <v>102</v>
      </c>
      <c r="D177" s="103">
        <v>6</v>
      </c>
      <c r="E177" s="103"/>
      <c r="F177" s="103"/>
      <c r="G177" s="104">
        <v>108</v>
      </c>
      <c r="H177" s="104"/>
      <c r="I177" s="69">
        <f t="shared" si="9"/>
        <v>18</v>
      </c>
      <c r="J177" s="540"/>
      <c r="K177" s="555"/>
      <c r="L177" s="557"/>
      <c r="M177" s="73"/>
      <c r="N177" s="74"/>
      <c r="O177" s="74"/>
    </row>
    <row r="178" spans="1:15">
      <c r="A178" s="593"/>
      <c r="B178" s="66" t="s">
        <v>119</v>
      </c>
      <c r="C178" s="66" t="s">
        <v>105</v>
      </c>
      <c r="D178" s="103">
        <v>6</v>
      </c>
      <c r="E178" s="103"/>
      <c r="F178" s="103"/>
      <c r="G178" s="104">
        <v>82.1</v>
      </c>
      <c r="H178" s="104"/>
      <c r="I178" s="69">
        <f t="shared" si="9"/>
        <v>13.7</v>
      </c>
      <c r="J178" s="540"/>
      <c r="K178" s="555"/>
      <c r="L178" s="557"/>
      <c r="M178" s="73"/>
      <c r="N178" s="74"/>
      <c r="O178" s="74"/>
    </row>
    <row r="179" spans="1:15">
      <c r="A179" s="601" t="s">
        <v>152</v>
      </c>
      <c r="B179" s="66" t="s">
        <v>121</v>
      </c>
      <c r="C179" s="66" t="s">
        <v>114</v>
      </c>
      <c r="D179" s="103">
        <v>6</v>
      </c>
      <c r="E179" s="103"/>
      <c r="F179" s="103"/>
      <c r="G179" s="104"/>
      <c r="H179" s="104"/>
      <c r="I179" s="69"/>
      <c r="J179" s="540"/>
      <c r="K179" s="555"/>
      <c r="L179" s="557"/>
      <c r="M179" s="73"/>
      <c r="N179" s="74"/>
      <c r="O179" s="74"/>
    </row>
    <row r="180" spans="1:15">
      <c r="A180" s="571"/>
      <c r="B180" s="66" t="s">
        <v>121</v>
      </c>
      <c r="C180" s="66" t="s">
        <v>115</v>
      </c>
      <c r="D180" s="103">
        <v>6</v>
      </c>
      <c r="E180" s="103"/>
      <c r="F180" s="103"/>
      <c r="G180" s="104"/>
      <c r="H180" s="104"/>
      <c r="I180" s="69"/>
      <c r="J180" s="540"/>
      <c r="K180" s="555"/>
      <c r="L180" s="557"/>
      <c r="M180" s="73"/>
      <c r="N180" s="74"/>
      <c r="O180" s="74"/>
    </row>
    <row r="181" spans="1:15">
      <c r="A181" s="571"/>
      <c r="B181" s="66" t="s">
        <v>121</v>
      </c>
      <c r="C181" s="66" t="s">
        <v>116</v>
      </c>
      <c r="D181" s="103">
        <v>6</v>
      </c>
      <c r="E181" s="103"/>
      <c r="F181" s="103"/>
      <c r="G181" s="104"/>
      <c r="H181" s="104"/>
      <c r="I181" s="69"/>
      <c r="J181" s="540"/>
      <c r="K181" s="555"/>
      <c r="L181" s="557"/>
      <c r="M181" s="73"/>
      <c r="N181" s="74"/>
      <c r="O181" s="74"/>
    </row>
    <row r="182" spans="1:15">
      <c r="A182" s="571"/>
      <c r="B182" s="66" t="s">
        <v>121</v>
      </c>
      <c r="C182" s="66" t="s">
        <v>117</v>
      </c>
      <c r="D182" s="103">
        <v>6</v>
      </c>
      <c r="E182" s="103"/>
      <c r="F182" s="103"/>
      <c r="G182" s="104"/>
      <c r="H182" s="104"/>
      <c r="I182" s="69"/>
      <c r="J182" s="540"/>
      <c r="K182" s="555"/>
      <c r="L182" s="557"/>
      <c r="M182" s="73"/>
      <c r="N182" s="74"/>
      <c r="O182" s="74"/>
    </row>
    <row r="183" spans="1:15">
      <c r="A183" s="571"/>
      <c r="B183" s="66" t="s">
        <v>121</v>
      </c>
      <c r="C183" s="66" t="s">
        <v>100</v>
      </c>
      <c r="D183" s="103">
        <v>6</v>
      </c>
      <c r="E183" s="103"/>
      <c r="F183" s="103"/>
      <c r="G183" s="104"/>
      <c r="H183" s="104"/>
      <c r="I183" s="69"/>
      <c r="J183" s="540"/>
      <c r="K183" s="555"/>
      <c r="L183" s="557"/>
      <c r="M183" s="77" t="s">
        <v>103</v>
      </c>
      <c r="N183" s="71" t="s">
        <v>104</v>
      </c>
      <c r="O183" s="96" t="s">
        <v>69</v>
      </c>
    </row>
    <row r="184" spans="1:15" ht="13.5" thickBot="1">
      <c r="A184" s="572"/>
      <c r="B184" s="92" t="s">
        <v>121</v>
      </c>
      <c r="C184" s="92" t="s">
        <v>105</v>
      </c>
      <c r="D184" s="126">
        <v>6</v>
      </c>
      <c r="E184" s="126"/>
      <c r="F184" s="126"/>
      <c r="G184" s="127"/>
      <c r="H184" s="127"/>
      <c r="I184" s="95"/>
      <c r="J184" s="541"/>
      <c r="K184" s="597"/>
      <c r="L184" s="594"/>
      <c r="M184" s="78" t="s">
        <v>106</v>
      </c>
      <c r="N184" s="72" t="s">
        <v>107</v>
      </c>
      <c r="O184" s="82" t="s">
        <v>108</v>
      </c>
    </row>
    <row r="185" spans="1:15" ht="13.5" thickTop="1">
      <c r="A185" s="584" t="s">
        <v>69</v>
      </c>
      <c r="B185" s="271" t="s">
        <v>83</v>
      </c>
      <c r="C185" s="271" t="s">
        <v>114</v>
      </c>
      <c r="D185" s="272">
        <v>2</v>
      </c>
      <c r="E185" s="272"/>
      <c r="F185" s="272"/>
      <c r="G185" s="273">
        <v>11.7</v>
      </c>
      <c r="H185" s="273"/>
      <c r="I185" s="83">
        <f t="shared" ref="I185:I216" si="10">ROUND(G185/D185,1)</f>
        <v>5.9</v>
      </c>
      <c r="J185" s="576">
        <f>AVERAGE(I185:I189)</f>
        <v>5.5</v>
      </c>
      <c r="K185" s="577">
        <f>21*60/J185</f>
        <v>229.09090909090909</v>
      </c>
      <c r="L185" s="585">
        <f>K185*0.8</f>
        <v>183.27272727272728</v>
      </c>
      <c r="M185" s="586">
        <f>AVERAGE(I185:I189)</f>
        <v>5.5</v>
      </c>
      <c r="N185" s="582">
        <f>21*60/M185</f>
        <v>229.09090909090909</v>
      </c>
      <c r="O185" s="583">
        <f>N185*0.8</f>
        <v>183.27272727272728</v>
      </c>
    </row>
    <row r="186" spans="1:15">
      <c r="A186" s="559"/>
      <c r="B186" s="274" t="s">
        <v>83</v>
      </c>
      <c r="C186" s="274" t="s">
        <v>115</v>
      </c>
      <c r="D186" s="275">
        <v>2</v>
      </c>
      <c r="E186" s="275"/>
      <c r="F186" s="275"/>
      <c r="G186" s="276">
        <v>13.9</v>
      </c>
      <c r="H186" s="276"/>
      <c r="I186" s="69">
        <f t="shared" si="10"/>
        <v>7</v>
      </c>
      <c r="J186" s="562"/>
      <c r="K186" s="565"/>
      <c r="L186" s="585"/>
      <c r="M186" s="552"/>
      <c r="N186" s="555"/>
      <c r="O186" s="557"/>
    </row>
    <row r="187" spans="1:15">
      <c r="A187" s="559"/>
      <c r="B187" s="274" t="s">
        <v>83</v>
      </c>
      <c r="C187" s="274" t="s">
        <v>116</v>
      </c>
      <c r="D187" s="275">
        <v>2</v>
      </c>
      <c r="E187" s="275"/>
      <c r="F187" s="275"/>
      <c r="G187" s="276">
        <v>8.9</v>
      </c>
      <c r="H187" s="276"/>
      <c r="I187" s="69">
        <f t="shared" si="10"/>
        <v>4.5</v>
      </c>
      <c r="J187" s="562"/>
      <c r="K187" s="565"/>
      <c r="L187" s="585"/>
      <c r="M187" s="552"/>
      <c r="N187" s="555"/>
      <c r="O187" s="557"/>
    </row>
    <row r="188" spans="1:15">
      <c r="A188" s="559"/>
      <c r="B188" s="274" t="s">
        <v>83</v>
      </c>
      <c r="C188" s="274" t="s">
        <v>117</v>
      </c>
      <c r="D188" s="275">
        <v>2</v>
      </c>
      <c r="E188" s="275"/>
      <c r="F188" s="275"/>
      <c r="G188" s="276">
        <v>11.1</v>
      </c>
      <c r="H188" s="276"/>
      <c r="I188" s="69">
        <f t="shared" si="10"/>
        <v>5.6</v>
      </c>
      <c r="J188" s="562"/>
      <c r="K188" s="565"/>
      <c r="L188" s="585"/>
      <c r="M188" s="552"/>
      <c r="N188" s="555"/>
      <c r="O188" s="557"/>
    </row>
    <row r="189" spans="1:15" ht="13.5" thickBot="1">
      <c r="A189" s="559"/>
      <c r="B189" s="274" t="s">
        <v>83</v>
      </c>
      <c r="C189" s="274" t="s">
        <v>100</v>
      </c>
      <c r="D189" s="275">
        <v>2</v>
      </c>
      <c r="E189" s="275"/>
      <c r="F189" s="275"/>
      <c r="G189" s="276">
        <v>8.9</v>
      </c>
      <c r="H189" s="276"/>
      <c r="I189" s="69">
        <f t="shared" si="10"/>
        <v>4.5</v>
      </c>
      <c r="J189" s="562"/>
      <c r="K189" s="565"/>
      <c r="L189" s="585"/>
      <c r="M189" s="552"/>
      <c r="N189" s="555"/>
      <c r="O189" s="557"/>
    </row>
    <row r="190" spans="1:15" ht="13.5" thickTop="1">
      <c r="A190" s="579" t="s">
        <v>71</v>
      </c>
      <c r="B190" s="277" t="s">
        <v>72</v>
      </c>
      <c r="C190" s="277" t="s">
        <v>98</v>
      </c>
      <c r="D190" s="278">
        <v>2</v>
      </c>
      <c r="E190" s="278"/>
      <c r="F190" s="278"/>
      <c r="G190" s="279">
        <v>13.9</v>
      </c>
      <c r="H190" s="279"/>
      <c r="I190" s="91">
        <f t="shared" si="10"/>
        <v>7</v>
      </c>
      <c r="J190" s="561">
        <f>AVERAGE(I190:I195)</f>
        <v>7.2333333333333334</v>
      </c>
      <c r="K190" s="564">
        <f>21*60/J190</f>
        <v>174.19354838709677</v>
      </c>
      <c r="L190" s="567">
        <f>K190*0.8</f>
        <v>139.35483870967741</v>
      </c>
      <c r="M190" s="21"/>
      <c r="N190" s="21"/>
    </row>
    <row r="191" spans="1:15">
      <c r="A191" s="581"/>
      <c r="B191" s="271" t="s">
        <v>72</v>
      </c>
      <c r="C191" s="271" t="s">
        <v>99</v>
      </c>
      <c r="D191" s="272">
        <v>2</v>
      </c>
      <c r="E191" s="272"/>
      <c r="F191" s="272"/>
      <c r="G191" s="273">
        <v>14.6</v>
      </c>
      <c r="H191" s="273"/>
      <c r="I191" s="69">
        <f t="shared" si="10"/>
        <v>7.3</v>
      </c>
      <c r="J191" s="576"/>
      <c r="K191" s="577"/>
      <c r="L191" s="578"/>
      <c r="M191" s="21"/>
      <c r="N191" s="21"/>
    </row>
    <row r="192" spans="1:15">
      <c r="A192" s="581"/>
      <c r="B192" s="271" t="s">
        <v>72</v>
      </c>
      <c r="C192" s="271" t="s">
        <v>114</v>
      </c>
      <c r="D192" s="272">
        <v>2</v>
      </c>
      <c r="E192" s="272"/>
      <c r="F192" s="272"/>
      <c r="G192" s="273">
        <v>15.1</v>
      </c>
      <c r="H192" s="273"/>
      <c r="I192" s="69">
        <f t="shared" si="10"/>
        <v>7.6</v>
      </c>
      <c r="J192" s="576"/>
      <c r="K192" s="577"/>
      <c r="L192" s="578"/>
      <c r="M192" s="21"/>
      <c r="N192" s="21"/>
    </row>
    <row r="193" spans="1:14">
      <c r="A193" s="581"/>
      <c r="B193" s="271" t="s">
        <v>72</v>
      </c>
      <c r="C193" s="271" t="s">
        <v>100</v>
      </c>
      <c r="D193" s="272">
        <v>2</v>
      </c>
      <c r="E193" s="272"/>
      <c r="F193" s="272"/>
      <c r="G193" s="273">
        <v>13</v>
      </c>
      <c r="H193" s="273"/>
      <c r="I193" s="69">
        <f t="shared" si="10"/>
        <v>6.5</v>
      </c>
      <c r="J193" s="576"/>
      <c r="K193" s="577"/>
      <c r="L193" s="578"/>
      <c r="M193" s="21"/>
      <c r="N193" s="21"/>
    </row>
    <row r="194" spans="1:14">
      <c r="A194" s="580"/>
      <c r="B194" s="274" t="s">
        <v>72</v>
      </c>
      <c r="C194" s="274" t="s">
        <v>115</v>
      </c>
      <c r="D194" s="275">
        <v>2</v>
      </c>
      <c r="E194" s="275"/>
      <c r="F194" s="275"/>
      <c r="G194" s="276">
        <v>16</v>
      </c>
      <c r="H194" s="276"/>
      <c r="I194" s="69">
        <f t="shared" si="10"/>
        <v>8</v>
      </c>
      <c r="J194" s="562"/>
      <c r="K194" s="565"/>
      <c r="L194" s="568"/>
      <c r="M194" s="21"/>
      <c r="N194" s="21"/>
    </row>
    <row r="195" spans="1:14" ht="13.5" thickBot="1">
      <c r="A195" s="580"/>
      <c r="B195" s="274" t="s">
        <v>72</v>
      </c>
      <c r="C195" s="274" t="s">
        <v>105</v>
      </c>
      <c r="D195" s="275">
        <v>2</v>
      </c>
      <c r="E195" s="275"/>
      <c r="F195" s="275"/>
      <c r="G195" s="276">
        <v>13.9</v>
      </c>
      <c r="H195" s="276"/>
      <c r="I195" s="69">
        <f t="shared" si="10"/>
        <v>7</v>
      </c>
      <c r="J195" s="562"/>
      <c r="K195" s="565"/>
      <c r="L195" s="568"/>
      <c r="M195" s="21"/>
      <c r="N195" s="21"/>
    </row>
    <row r="196" spans="1:14" ht="13.5" thickTop="1">
      <c r="A196" s="579" t="s">
        <v>73</v>
      </c>
      <c r="B196" s="277" t="s">
        <v>58</v>
      </c>
      <c r="C196" s="277" t="s">
        <v>100</v>
      </c>
      <c r="D196" s="278">
        <v>2</v>
      </c>
      <c r="E196" s="278"/>
      <c r="F196" s="278"/>
      <c r="G196" s="279">
        <v>10.8</v>
      </c>
      <c r="H196" s="279"/>
      <c r="I196" s="91">
        <f t="shared" si="10"/>
        <v>5.4</v>
      </c>
      <c r="J196" s="561">
        <f>AVERAGE(I196:I196)</f>
        <v>5.4</v>
      </c>
      <c r="K196" s="564">
        <f>21*60/J196</f>
        <v>233.33333333333331</v>
      </c>
      <c r="L196" s="567">
        <f>K196*0.8</f>
        <v>186.66666666666666</v>
      </c>
      <c r="M196" s="21"/>
      <c r="N196" s="21"/>
    </row>
    <row r="197" spans="1:14">
      <c r="A197" s="580"/>
      <c r="B197" s="274" t="s">
        <v>58</v>
      </c>
      <c r="C197" s="274" t="s">
        <v>105</v>
      </c>
      <c r="D197" s="275">
        <v>2</v>
      </c>
      <c r="E197" s="275"/>
      <c r="F197" s="275"/>
      <c r="G197" s="276">
        <v>11.2</v>
      </c>
      <c r="H197" s="276"/>
      <c r="I197" s="69">
        <f t="shared" si="10"/>
        <v>5.6</v>
      </c>
      <c r="J197" s="562"/>
      <c r="K197" s="565"/>
      <c r="L197" s="568"/>
      <c r="M197" s="21"/>
      <c r="N197" s="21"/>
    </row>
    <row r="198" spans="1:14">
      <c r="A198" s="580"/>
      <c r="B198" s="274" t="s">
        <v>58</v>
      </c>
      <c r="C198" s="274" t="s">
        <v>116</v>
      </c>
      <c r="D198" s="275">
        <v>2</v>
      </c>
      <c r="E198" s="275"/>
      <c r="F198" s="275"/>
      <c r="G198" s="276">
        <v>10.7</v>
      </c>
      <c r="H198" s="276"/>
      <c r="I198" s="69">
        <f t="shared" si="10"/>
        <v>5.4</v>
      </c>
      <c r="J198" s="562"/>
      <c r="K198" s="565"/>
      <c r="L198" s="568"/>
      <c r="M198" s="21"/>
      <c r="N198" s="21"/>
    </row>
    <row r="199" spans="1:14" ht="14.25" customHeight="1" thickBot="1">
      <c r="A199" s="580"/>
      <c r="B199" s="274" t="s">
        <v>58</v>
      </c>
      <c r="C199" s="274" t="s">
        <v>117</v>
      </c>
      <c r="D199" s="275">
        <v>2</v>
      </c>
      <c r="E199" s="275"/>
      <c r="F199" s="275"/>
      <c r="G199" s="276">
        <v>11.1</v>
      </c>
      <c r="H199" s="276"/>
      <c r="I199" s="69">
        <f t="shared" si="10"/>
        <v>5.6</v>
      </c>
      <c r="J199" s="562"/>
      <c r="K199" s="565"/>
      <c r="L199" s="568"/>
      <c r="M199" s="70"/>
      <c r="N199" s="21"/>
    </row>
    <row r="200" spans="1:14" ht="13.5" thickTop="1">
      <c r="A200" s="573" t="s">
        <v>74</v>
      </c>
      <c r="B200" s="277" t="s">
        <v>34</v>
      </c>
      <c r="C200" s="277" t="s">
        <v>98</v>
      </c>
      <c r="D200" s="278">
        <v>2</v>
      </c>
      <c r="E200" s="278"/>
      <c r="F200" s="278"/>
      <c r="G200" s="279">
        <v>14.1</v>
      </c>
      <c r="H200" s="279"/>
      <c r="I200" s="91">
        <f t="shared" si="10"/>
        <v>7.1</v>
      </c>
      <c r="J200" s="561">
        <f>AVERAGE(I200:I207)</f>
        <v>7.4125000000000005</v>
      </c>
      <c r="K200" s="564">
        <f>21*60/J200</f>
        <v>169.98313659359189</v>
      </c>
      <c r="L200" s="567">
        <f>K200*0.8</f>
        <v>135.98650927487353</v>
      </c>
      <c r="M200" s="21"/>
      <c r="N200" s="21"/>
    </row>
    <row r="201" spans="1:14">
      <c r="A201" s="574"/>
      <c r="B201" s="271" t="s">
        <v>34</v>
      </c>
      <c r="C201" s="271" t="s">
        <v>99</v>
      </c>
      <c r="D201" s="272">
        <v>2</v>
      </c>
      <c r="E201" s="272"/>
      <c r="F201" s="272"/>
      <c r="G201" s="273">
        <v>14.4</v>
      </c>
      <c r="H201" s="273"/>
      <c r="I201" s="69">
        <f t="shared" si="10"/>
        <v>7.2</v>
      </c>
      <c r="J201" s="576"/>
      <c r="K201" s="577"/>
      <c r="L201" s="578"/>
      <c r="M201" s="21"/>
      <c r="N201" s="21"/>
    </row>
    <row r="202" spans="1:14">
      <c r="A202" s="574"/>
      <c r="B202" s="271" t="s">
        <v>34</v>
      </c>
      <c r="C202" s="271" t="s">
        <v>114</v>
      </c>
      <c r="D202" s="272">
        <v>2</v>
      </c>
      <c r="E202" s="272"/>
      <c r="F202" s="272"/>
      <c r="G202" s="273">
        <v>15</v>
      </c>
      <c r="H202" s="273"/>
      <c r="I202" s="69">
        <f t="shared" si="10"/>
        <v>7.5</v>
      </c>
      <c r="J202" s="576"/>
      <c r="K202" s="577"/>
      <c r="L202" s="578"/>
      <c r="M202" s="21"/>
      <c r="N202" s="21"/>
    </row>
    <row r="203" spans="1:14">
      <c r="A203" s="574"/>
      <c r="B203" s="271" t="s">
        <v>34</v>
      </c>
      <c r="C203" s="271" t="s">
        <v>100</v>
      </c>
      <c r="D203" s="272">
        <v>2</v>
      </c>
      <c r="E203" s="272"/>
      <c r="F203" s="272"/>
      <c r="G203" s="273">
        <v>13.8</v>
      </c>
      <c r="H203" s="273"/>
      <c r="I203" s="69">
        <f t="shared" si="10"/>
        <v>6.9</v>
      </c>
      <c r="J203" s="576"/>
      <c r="K203" s="577"/>
      <c r="L203" s="578"/>
      <c r="M203" s="21"/>
      <c r="N203" s="21"/>
    </row>
    <row r="204" spans="1:14">
      <c r="A204" s="574"/>
      <c r="B204" s="271" t="s">
        <v>34</v>
      </c>
      <c r="C204" s="271" t="s">
        <v>101</v>
      </c>
      <c r="D204" s="272">
        <v>2</v>
      </c>
      <c r="E204" s="272"/>
      <c r="F204" s="272"/>
      <c r="G204" s="273">
        <v>15</v>
      </c>
      <c r="H204" s="273"/>
      <c r="I204" s="69">
        <f t="shared" si="10"/>
        <v>7.5</v>
      </c>
      <c r="J204" s="576"/>
      <c r="K204" s="577"/>
      <c r="L204" s="578"/>
      <c r="M204" s="21"/>
      <c r="N204" s="21"/>
    </row>
    <row r="205" spans="1:14">
      <c r="A205" s="574"/>
      <c r="B205" s="271" t="s">
        <v>34</v>
      </c>
      <c r="C205" s="271" t="s">
        <v>102</v>
      </c>
      <c r="D205" s="272">
        <v>2</v>
      </c>
      <c r="E205" s="272"/>
      <c r="F205" s="272"/>
      <c r="G205" s="273">
        <v>15.3</v>
      </c>
      <c r="H205" s="273"/>
      <c r="I205" s="69">
        <f t="shared" si="10"/>
        <v>7.7</v>
      </c>
      <c r="J205" s="576"/>
      <c r="K205" s="577"/>
      <c r="L205" s="578"/>
      <c r="M205" s="21"/>
      <c r="N205" s="21"/>
    </row>
    <row r="206" spans="1:14">
      <c r="A206" s="574"/>
      <c r="B206" s="274" t="s">
        <v>34</v>
      </c>
      <c r="C206" s="274" t="s">
        <v>115</v>
      </c>
      <c r="D206" s="275">
        <v>2</v>
      </c>
      <c r="E206" s="275"/>
      <c r="F206" s="275"/>
      <c r="G206" s="276">
        <v>15.9</v>
      </c>
      <c r="H206" s="276"/>
      <c r="I206" s="69">
        <f t="shared" si="10"/>
        <v>8</v>
      </c>
      <c r="J206" s="562"/>
      <c r="K206" s="565"/>
      <c r="L206" s="568"/>
      <c r="M206" s="21"/>
      <c r="N206" s="21"/>
    </row>
    <row r="207" spans="1:14" ht="13.5" thickBot="1">
      <c r="A207" s="575"/>
      <c r="B207" s="280" t="s">
        <v>34</v>
      </c>
      <c r="C207" s="280" t="s">
        <v>105</v>
      </c>
      <c r="D207" s="281">
        <v>2</v>
      </c>
      <c r="E207" s="281"/>
      <c r="F207" s="281"/>
      <c r="G207" s="282">
        <v>14.8</v>
      </c>
      <c r="H207" s="282"/>
      <c r="I207" s="95">
        <f t="shared" si="10"/>
        <v>7.4</v>
      </c>
      <c r="J207" s="563"/>
      <c r="K207" s="566"/>
      <c r="L207" s="569"/>
      <c r="M207" s="21"/>
      <c r="N207" s="21"/>
    </row>
    <row r="208" spans="1:14" ht="13.5" thickTop="1">
      <c r="A208" s="545" t="s">
        <v>75</v>
      </c>
      <c r="B208" s="277" t="s">
        <v>58</v>
      </c>
      <c r="C208" s="277" t="s">
        <v>114</v>
      </c>
      <c r="D208" s="278">
        <v>2</v>
      </c>
      <c r="E208" s="278"/>
      <c r="F208" s="278"/>
      <c r="G208" s="279">
        <v>13.4</v>
      </c>
      <c r="H208" s="279"/>
      <c r="I208" s="91">
        <f t="shared" si="10"/>
        <v>6.7</v>
      </c>
      <c r="J208" s="561">
        <f>AVERAGE(I208:I209)</f>
        <v>6.95</v>
      </c>
      <c r="K208" s="564">
        <f>21*60/J208</f>
        <v>181.29496402877697</v>
      </c>
      <c r="L208" s="567">
        <f>K208*0.8</f>
        <v>145.03597122302159</v>
      </c>
      <c r="M208" s="21"/>
      <c r="N208" s="21"/>
    </row>
    <row r="209" spans="1:18" ht="13.5" thickBot="1">
      <c r="A209" s="547"/>
      <c r="B209" s="280" t="s">
        <v>58</v>
      </c>
      <c r="C209" s="280" t="s">
        <v>115</v>
      </c>
      <c r="D209" s="281">
        <v>2</v>
      </c>
      <c r="E209" s="281"/>
      <c r="F209" s="281"/>
      <c r="G209" s="282">
        <v>14.3</v>
      </c>
      <c r="H209" s="282"/>
      <c r="I209" s="95">
        <f t="shared" si="10"/>
        <v>7.2</v>
      </c>
      <c r="J209" s="563"/>
      <c r="K209" s="566"/>
      <c r="L209" s="569"/>
      <c r="M209" s="21"/>
      <c r="N209" s="21"/>
    </row>
    <row r="210" spans="1:18" ht="13.5" thickTop="1">
      <c r="A210" s="559" t="s">
        <v>76</v>
      </c>
      <c r="B210" s="66" t="s">
        <v>113</v>
      </c>
      <c r="C210" s="66" t="s">
        <v>114</v>
      </c>
      <c r="D210" s="67">
        <v>6</v>
      </c>
      <c r="E210" s="67"/>
      <c r="F210" s="67"/>
      <c r="G210" s="68">
        <v>60</v>
      </c>
      <c r="H210" s="68"/>
      <c r="I210" s="69">
        <f t="shared" si="10"/>
        <v>10</v>
      </c>
      <c r="J210" s="561">
        <f>AVERAGE(I210:I215)</f>
        <v>9.8833333333333329</v>
      </c>
      <c r="K210" s="564">
        <f>21*60/J210</f>
        <v>127.48735244519393</v>
      </c>
      <c r="L210" s="567">
        <f>K210*0.8</f>
        <v>101.98988195615516</v>
      </c>
      <c r="M210" s="21"/>
      <c r="N210" s="21"/>
    </row>
    <row r="211" spans="1:18">
      <c r="A211" s="559"/>
      <c r="B211" s="66" t="s">
        <v>113</v>
      </c>
      <c r="C211" s="66" t="s">
        <v>115</v>
      </c>
      <c r="D211" s="67">
        <v>6</v>
      </c>
      <c r="E211" s="67"/>
      <c r="F211" s="67"/>
      <c r="G211" s="68">
        <v>65.5</v>
      </c>
      <c r="H211" s="68"/>
      <c r="I211" s="69">
        <f t="shared" si="10"/>
        <v>10.9</v>
      </c>
      <c r="J211" s="562"/>
      <c r="K211" s="565"/>
      <c r="L211" s="568"/>
      <c r="M211" s="21"/>
      <c r="N211" s="21"/>
    </row>
    <row r="212" spans="1:18">
      <c r="A212" s="559"/>
      <c r="B212" s="66" t="s">
        <v>113</v>
      </c>
      <c r="C212" s="66" t="s">
        <v>116</v>
      </c>
      <c r="D212" s="67">
        <v>6</v>
      </c>
      <c r="E212" s="67"/>
      <c r="F212" s="67"/>
      <c r="G212" s="68">
        <v>55.4</v>
      </c>
      <c r="H212" s="68"/>
      <c r="I212" s="69">
        <f t="shared" si="10"/>
        <v>9.1999999999999993</v>
      </c>
      <c r="J212" s="562"/>
      <c r="K212" s="565"/>
      <c r="L212" s="568"/>
      <c r="M212" s="21"/>
      <c r="N212" s="21"/>
    </row>
    <row r="213" spans="1:18">
      <c r="A213" s="559"/>
      <c r="B213" s="66" t="s">
        <v>113</v>
      </c>
      <c r="C213" s="66" t="s">
        <v>117</v>
      </c>
      <c r="D213" s="67">
        <v>6</v>
      </c>
      <c r="E213" s="67"/>
      <c r="F213" s="67"/>
      <c r="G213" s="68">
        <v>60</v>
      </c>
      <c r="H213" s="68"/>
      <c r="I213" s="69">
        <f t="shared" si="10"/>
        <v>10</v>
      </c>
      <c r="J213" s="562"/>
      <c r="K213" s="565"/>
      <c r="L213" s="568"/>
      <c r="M213" s="21"/>
      <c r="N213" s="21"/>
    </row>
    <row r="214" spans="1:18">
      <c r="A214" s="559"/>
      <c r="B214" s="66" t="s">
        <v>113</v>
      </c>
      <c r="C214" s="66" t="s">
        <v>100</v>
      </c>
      <c r="D214" s="67">
        <v>6</v>
      </c>
      <c r="E214" s="67"/>
      <c r="F214" s="67"/>
      <c r="G214" s="68">
        <v>55.4</v>
      </c>
      <c r="H214" s="68"/>
      <c r="I214" s="69">
        <f t="shared" si="10"/>
        <v>9.1999999999999993</v>
      </c>
      <c r="J214" s="562"/>
      <c r="K214" s="565"/>
      <c r="L214" s="568"/>
      <c r="M214" s="21"/>
      <c r="N214" s="21"/>
    </row>
    <row r="215" spans="1:18" ht="13.5" thickBot="1">
      <c r="A215" s="560"/>
      <c r="B215" s="92" t="s">
        <v>113</v>
      </c>
      <c r="C215" s="92" t="s">
        <v>105</v>
      </c>
      <c r="D215" s="93">
        <v>6</v>
      </c>
      <c r="E215" s="93"/>
      <c r="F215" s="93"/>
      <c r="G215" s="94">
        <v>60</v>
      </c>
      <c r="H215" s="94"/>
      <c r="I215" s="95">
        <f t="shared" si="10"/>
        <v>10</v>
      </c>
      <c r="J215" s="563"/>
      <c r="K215" s="566"/>
      <c r="L215" s="569"/>
      <c r="M215" s="21"/>
      <c r="N215" s="21"/>
    </row>
    <row r="216" spans="1:18" ht="13.5" thickTop="1">
      <c r="A216" s="570" t="s">
        <v>78</v>
      </c>
      <c r="B216" s="85" t="s">
        <v>142</v>
      </c>
      <c r="C216" s="85" t="s">
        <v>98</v>
      </c>
      <c r="D216" s="86">
        <v>4</v>
      </c>
      <c r="E216" s="86"/>
      <c r="F216" s="86"/>
      <c r="G216" s="87">
        <v>68</v>
      </c>
      <c r="H216" s="87"/>
      <c r="I216" s="83">
        <f t="shared" si="10"/>
        <v>17</v>
      </c>
      <c r="J216" s="551">
        <f>AVERAGE(I216:I221)</f>
        <v>16.283333333333331</v>
      </c>
      <c r="K216" s="554">
        <f>21*60/J216</f>
        <v>77.379733879222115</v>
      </c>
      <c r="L216" s="556">
        <f>K216*0.8</f>
        <v>61.903787103377695</v>
      </c>
      <c r="M216" s="73"/>
      <c r="N216" s="74"/>
      <c r="O216" s="74"/>
      <c r="P216" s="21"/>
      <c r="Q216" s="21"/>
      <c r="R216" s="21"/>
    </row>
    <row r="217" spans="1:18">
      <c r="A217" s="571"/>
      <c r="B217" s="66" t="s">
        <v>142</v>
      </c>
      <c r="C217" s="66" t="s">
        <v>143</v>
      </c>
      <c r="D217" s="86">
        <v>4</v>
      </c>
      <c r="E217" s="86"/>
      <c r="F217" s="86"/>
      <c r="G217" s="68">
        <v>70</v>
      </c>
      <c r="H217" s="68"/>
      <c r="I217" s="69">
        <f t="shared" ref="I217:I248" si="11">ROUND(G217/D217,1)</f>
        <v>17.5</v>
      </c>
      <c r="J217" s="552"/>
      <c r="K217" s="555"/>
      <c r="L217" s="557"/>
      <c r="P217" s="21"/>
      <c r="Q217" s="21"/>
      <c r="R217" s="21"/>
    </row>
    <row r="218" spans="1:18">
      <c r="A218" s="571"/>
      <c r="B218" s="66" t="s">
        <v>142</v>
      </c>
      <c r="C218" s="66" t="s">
        <v>99</v>
      </c>
      <c r="D218" s="86">
        <v>4</v>
      </c>
      <c r="E218" s="86"/>
      <c r="F218" s="86"/>
      <c r="G218" s="68">
        <v>65</v>
      </c>
      <c r="H218" s="68"/>
      <c r="I218" s="69">
        <f t="shared" si="11"/>
        <v>16.3</v>
      </c>
      <c r="J218" s="552"/>
      <c r="K218" s="555"/>
      <c r="L218" s="557"/>
      <c r="P218" s="21"/>
      <c r="Q218" s="21"/>
      <c r="R218" s="21"/>
    </row>
    <row r="219" spans="1:18">
      <c r="A219" s="571"/>
      <c r="B219" s="66" t="s">
        <v>142</v>
      </c>
      <c r="C219" s="66" t="s">
        <v>100</v>
      </c>
      <c r="D219" s="86">
        <v>4</v>
      </c>
      <c r="E219" s="86"/>
      <c r="F219" s="86"/>
      <c r="G219" s="68">
        <v>55</v>
      </c>
      <c r="H219" s="68"/>
      <c r="I219" s="69">
        <f t="shared" si="11"/>
        <v>13.8</v>
      </c>
      <c r="J219" s="552"/>
      <c r="K219" s="555"/>
      <c r="L219" s="557"/>
      <c r="P219" s="21"/>
      <c r="Q219" s="21"/>
      <c r="R219" s="21"/>
    </row>
    <row r="220" spans="1:18">
      <c r="A220" s="571"/>
      <c r="B220" s="66" t="s">
        <v>142</v>
      </c>
      <c r="C220" s="66" t="s">
        <v>101</v>
      </c>
      <c r="D220" s="86">
        <v>4</v>
      </c>
      <c r="E220" s="86"/>
      <c r="F220" s="86"/>
      <c r="G220" s="68">
        <v>67</v>
      </c>
      <c r="H220" s="68"/>
      <c r="I220" s="69">
        <f t="shared" si="11"/>
        <v>16.8</v>
      </c>
      <c r="J220" s="552"/>
      <c r="K220" s="555"/>
      <c r="L220" s="557"/>
      <c r="P220" s="21"/>
      <c r="Q220" s="21"/>
      <c r="R220" s="21"/>
    </row>
    <row r="221" spans="1:18">
      <c r="A221" s="571"/>
      <c r="B221" s="66" t="s">
        <v>142</v>
      </c>
      <c r="C221" s="66" t="s">
        <v>102</v>
      </c>
      <c r="D221" s="86">
        <v>4</v>
      </c>
      <c r="E221" s="86"/>
      <c r="F221" s="86"/>
      <c r="G221" s="68">
        <v>65</v>
      </c>
      <c r="H221" s="68"/>
      <c r="I221" s="69">
        <f t="shared" si="11"/>
        <v>16.3</v>
      </c>
      <c r="J221" s="552"/>
      <c r="K221" s="555"/>
      <c r="L221" s="557"/>
      <c r="P221" s="21"/>
      <c r="Q221" s="21"/>
      <c r="R221" s="21"/>
    </row>
    <row r="222" spans="1:18" ht="13.5" thickBot="1">
      <c r="A222" s="572"/>
      <c r="B222" s="92" t="s">
        <v>142</v>
      </c>
      <c r="C222" s="92" t="s">
        <v>105</v>
      </c>
      <c r="D222" s="86">
        <v>4</v>
      </c>
      <c r="E222" s="390"/>
      <c r="F222" s="390"/>
      <c r="G222" s="94">
        <v>55</v>
      </c>
      <c r="H222" s="94"/>
      <c r="I222" s="95">
        <f t="shared" si="11"/>
        <v>13.8</v>
      </c>
      <c r="J222" s="553"/>
      <c r="K222" s="553"/>
      <c r="L222" s="558"/>
      <c r="P222" s="21"/>
      <c r="Q222" s="21"/>
      <c r="R222" s="21"/>
    </row>
    <row r="223" spans="1:18" ht="13.5" thickTop="1">
      <c r="A223" s="545" t="s">
        <v>80</v>
      </c>
      <c r="B223" s="88" t="s">
        <v>81</v>
      </c>
      <c r="C223" s="88" t="s">
        <v>114</v>
      </c>
      <c r="D223" s="89">
        <v>2</v>
      </c>
      <c r="E223" s="89"/>
      <c r="F223" s="89"/>
      <c r="G223" s="90">
        <v>12.6</v>
      </c>
      <c r="H223" s="90"/>
      <c r="I223" s="91">
        <f t="shared" si="11"/>
        <v>6.3</v>
      </c>
      <c r="J223" s="539">
        <f>AVERAGE(I223:I226)</f>
        <v>5.6499999999999995</v>
      </c>
      <c r="K223" s="539">
        <f>22*60/J223</f>
        <v>233.62831858407083</v>
      </c>
      <c r="L223" s="548">
        <f>K223*0.85</f>
        <v>198.5840707964602</v>
      </c>
    </row>
    <row r="224" spans="1:18">
      <c r="A224" s="546"/>
      <c r="B224" s="66" t="s">
        <v>81</v>
      </c>
      <c r="C224" s="66" t="s">
        <v>115</v>
      </c>
      <c r="D224" s="67">
        <v>2</v>
      </c>
      <c r="E224" s="67"/>
      <c r="F224" s="67"/>
      <c r="G224" s="68">
        <v>13.2</v>
      </c>
      <c r="H224" s="68"/>
      <c r="I224" s="69">
        <f t="shared" si="11"/>
        <v>6.6</v>
      </c>
      <c r="J224" s="540"/>
      <c r="K224" s="540"/>
      <c r="L224" s="549"/>
    </row>
    <row r="225" spans="1:12">
      <c r="A225" s="546"/>
      <c r="B225" s="66" t="s">
        <v>81</v>
      </c>
      <c r="C225" s="66" t="s">
        <v>116</v>
      </c>
      <c r="D225" s="67">
        <v>2</v>
      </c>
      <c r="E225" s="67"/>
      <c r="F225" s="67"/>
      <c r="G225" s="68">
        <v>9.4</v>
      </c>
      <c r="H225" s="68"/>
      <c r="I225" s="69">
        <f t="shared" si="11"/>
        <v>4.7</v>
      </c>
      <c r="J225" s="540"/>
      <c r="K225" s="540"/>
      <c r="L225" s="549"/>
    </row>
    <row r="226" spans="1:12" ht="13.5" thickBot="1">
      <c r="A226" s="547"/>
      <c r="B226" s="66" t="s">
        <v>81</v>
      </c>
      <c r="C226" s="66" t="s">
        <v>117</v>
      </c>
      <c r="D226" s="67">
        <v>2</v>
      </c>
      <c r="E226" s="67"/>
      <c r="F226" s="67"/>
      <c r="G226" s="68">
        <v>10</v>
      </c>
      <c r="H226" s="68"/>
      <c r="I226" s="69">
        <f t="shared" si="11"/>
        <v>5</v>
      </c>
      <c r="J226" s="541"/>
      <c r="K226" s="541"/>
      <c r="L226" s="550"/>
    </row>
    <row r="227" spans="1:12" ht="13.5" thickTop="1">
      <c r="A227" s="545" t="s">
        <v>82</v>
      </c>
      <c r="B227" s="88" t="s">
        <v>83</v>
      </c>
      <c r="C227" s="88" t="s">
        <v>114</v>
      </c>
      <c r="D227" s="89">
        <v>2</v>
      </c>
      <c r="E227" s="89"/>
      <c r="F227" s="89"/>
      <c r="G227" s="90">
        <v>11.7</v>
      </c>
      <c r="H227" s="90"/>
      <c r="I227" s="91">
        <f t="shared" si="11"/>
        <v>5.9</v>
      </c>
      <c r="J227" s="539">
        <f>AVERAGE(I227:I229)</f>
        <v>4.9666666666666668</v>
      </c>
      <c r="K227" s="539">
        <f>22*60/J227</f>
        <v>265.7718120805369</v>
      </c>
      <c r="L227" s="548">
        <f>K227*0.85</f>
        <v>225.90604026845637</v>
      </c>
    </row>
    <row r="228" spans="1:12">
      <c r="A228" s="546"/>
      <c r="B228" s="66" t="s">
        <v>83</v>
      </c>
      <c r="C228" s="66" t="s">
        <v>116</v>
      </c>
      <c r="D228" s="67">
        <v>2</v>
      </c>
      <c r="E228" s="67"/>
      <c r="F228" s="67"/>
      <c r="G228" s="68">
        <v>8.9</v>
      </c>
      <c r="H228" s="68"/>
      <c r="I228" s="69">
        <f t="shared" si="11"/>
        <v>4.5</v>
      </c>
      <c r="J228" s="540"/>
      <c r="K228" s="540"/>
      <c r="L228" s="549"/>
    </row>
    <row r="229" spans="1:12" ht="13.5" thickBot="1">
      <c r="A229" s="547"/>
      <c r="B229" s="92" t="s">
        <v>83</v>
      </c>
      <c r="C229" s="92" t="s">
        <v>100</v>
      </c>
      <c r="D229" s="93">
        <v>2</v>
      </c>
      <c r="E229" s="93"/>
      <c r="F229" s="93"/>
      <c r="G229" s="94">
        <v>8.9</v>
      </c>
      <c r="H229" s="94"/>
      <c r="I229" s="95">
        <f t="shared" si="11"/>
        <v>4.5</v>
      </c>
      <c r="J229" s="541"/>
      <c r="K229" s="541"/>
      <c r="L229" s="550"/>
    </row>
    <row r="230" spans="1:12" ht="13.5" thickTop="1">
      <c r="A230" s="536" t="s">
        <v>84</v>
      </c>
      <c r="B230" s="283" t="s">
        <v>39</v>
      </c>
      <c r="C230" s="283" t="s">
        <v>114</v>
      </c>
      <c r="D230" s="278">
        <v>2</v>
      </c>
      <c r="E230" s="315"/>
      <c r="F230" s="315"/>
      <c r="G230" s="284">
        <v>17.5</v>
      </c>
      <c r="H230" s="368"/>
      <c r="I230" s="283">
        <f t="shared" si="11"/>
        <v>8.8000000000000007</v>
      </c>
      <c r="J230" s="539">
        <f>AVERAGE(I230:I231)</f>
        <v>8.8500000000000014</v>
      </c>
      <c r="K230" s="539">
        <f>22*60/J230</f>
        <v>149.15254237288133</v>
      </c>
      <c r="L230" s="542">
        <f>K230*0.85</f>
        <v>126.77966101694912</v>
      </c>
    </row>
    <row r="231" spans="1:12" ht="13.5" thickBot="1">
      <c r="A231" s="538"/>
      <c r="B231" s="285" t="s">
        <v>39</v>
      </c>
      <c r="C231" s="285" t="s">
        <v>115</v>
      </c>
      <c r="D231" s="281">
        <v>2</v>
      </c>
      <c r="E231" s="281"/>
      <c r="F231" s="281"/>
      <c r="G231" s="282">
        <v>17.75</v>
      </c>
      <c r="H231" s="282"/>
      <c r="I231" s="285">
        <f t="shared" si="11"/>
        <v>8.9</v>
      </c>
      <c r="J231" s="541"/>
      <c r="K231" s="541"/>
      <c r="L231" s="544"/>
    </row>
    <row r="232" spans="1:12" ht="13.5" thickTop="1">
      <c r="A232" s="536" t="s">
        <v>85</v>
      </c>
      <c r="B232" s="283" t="s">
        <v>37</v>
      </c>
      <c r="C232" s="283" t="s">
        <v>98</v>
      </c>
      <c r="D232" s="278">
        <v>2</v>
      </c>
      <c r="E232" s="315"/>
      <c r="F232" s="315"/>
      <c r="G232" s="284">
        <v>19.920000000000002</v>
      </c>
      <c r="H232" s="368"/>
      <c r="I232" s="283">
        <f t="shared" si="11"/>
        <v>10</v>
      </c>
      <c r="J232" s="539">
        <f t="shared" ref="J232" si="12">AVERAGE(I232:I234)</f>
        <v>10</v>
      </c>
      <c r="K232" s="539">
        <f t="shared" ref="K232" si="13">22*60/J232</f>
        <v>132</v>
      </c>
      <c r="L232" s="542">
        <f t="shared" ref="L232" si="14">K232*0.85</f>
        <v>112.2</v>
      </c>
    </row>
    <row r="233" spans="1:12">
      <c r="A233" s="537"/>
      <c r="B233" s="314" t="s">
        <v>37</v>
      </c>
      <c r="C233" s="314" t="s">
        <v>99</v>
      </c>
      <c r="D233" s="315">
        <v>2</v>
      </c>
      <c r="E233" s="315"/>
      <c r="F233" s="315"/>
      <c r="G233" s="284">
        <v>19.920000000000002</v>
      </c>
      <c r="H233" s="368"/>
      <c r="I233" s="314">
        <f t="shared" si="11"/>
        <v>10</v>
      </c>
      <c r="J233" s="540"/>
      <c r="K233" s="540"/>
      <c r="L233" s="543"/>
    </row>
    <row r="234" spans="1:12" ht="13.5" thickBot="1">
      <c r="A234" s="538"/>
      <c r="B234" s="285" t="s">
        <v>37</v>
      </c>
      <c r="C234" s="285" t="s">
        <v>114</v>
      </c>
      <c r="D234" s="281">
        <v>2</v>
      </c>
      <c r="E234" s="281"/>
      <c r="F234" s="281"/>
      <c r="G234" s="282">
        <v>19.920000000000002</v>
      </c>
      <c r="H234" s="282"/>
      <c r="I234" s="285">
        <f t="shared" si="11"/>
        <v>10</v>
      </c>
      <c r="J234" s="541"/>
      <c r="K234" s="541"/>
      <c r="L234" s="544"/>
    </row>
    <row r="235" spans="1:12" ht="13.5" thickTop="1">
      <c r="A235" s="536" t="s">
        <v>87</v>
      </c>
      <c r="B235" s="283" t="s">
        <v>153</v>
      </c>
      <c r="C235" s="283" t="s">
        <v>114</v>
      </c>
      <c r="D235" s="278">
        <v>2</v>
      </c>
      <c r="E235" s="315"/>
      <c r="F235" s="315"/>
      <c r="G235" s="284">
        <v>14.58</v>
      </c>
      <c r="H235" s="368"/>
      <c r="I235" s="283">
        <f t="shared" si="11"/>
        <v>7.3</v>
      </c>
      <c r="J235" s="539">
        <f t="shared" ref="J235" si="15">AVERAGE(I235:I236)</f>
        <v>7.3</v>
      </c>
      <c r="K235" s="539">
        <f t="shared" ref="K235" si="16">22*60/J235</f>
        <v>180.82191780821918</v>
      </c>
      <c r="L235" s="542">
        <f t="shared" ref="L235" si="17">K235*0.85</f>
        <v>153.69863013698631</v>
      </c>
    </row>
    <row r="236" spans="1:12" ht="13.5" thickBot="1">
      <c r="A236" s="538"/>
      <c r="B236" s="285" t="s">
        <v>154</v>
      </c>
      <c r="C236" s="285" t="s">
        <v>115</v>
      </c>
      <c r="D236" s="281">
        <v>2</v>
      </c>
      <c r="E236" s="281"/>
      <c r="F236" s="281"/>
      <c r="G236" s="282">
        <v>14.58</v>
      </c>
      <c r="H236" s="282"/>
      <c r="I236" s="285">
        <f t="shared" si="11"/>
        <v>7.3</v>
      </c>
      <c r="J236" s="541"/>
      <c r="K236" s="541"/>
      <c r="L236" s="544"/>
    </row>
    <row r="237" spans="1:12" ht="13.5" thickTop="1">
      <c r="A237" s="610" t="s">
        <v>155</v>
      </c>
      <c r="B237" s="91" t="s">
        <v>156</v>
      </c>
      <c r="C237" s="523" t="s">
        <v>157</v>
      </c>
      <c r="D237" s="524">
        <v>2</v>
      </c>
      <c r="E237" s="523"/>
      <c r="F237" s="523"/>
      <c r="G237" s="525">
        <v>6.83</v>
      </c>
      <c r="H237" s="523"/>
      <c r="I237" s="283">
        <f t="shared" si="11"/>
        <v>3.4</v>
      </c>
      <c r="J237" s="613">
        <f>AVERAGE(I237:I248)</f>
        <v>4.2666666666666666</v>
      </c>
      <c r="K237" s="613">
        <f t="shared" ref="K237" si="18">24*60/J237</f>
        <v>337.5</v>
      </c>
      <c r="L237" s="614">
        <f t="shared" ref="L237:L247" si="19">K237*0.85</f>
        <v>286.875</v>
      </c>
    </row>
    <row r="238" spans="1:12">
      <c r="A238" s="611"/>
      <c r="B238" s="69" t="s">
        <v>158</v>
      </c>
      <c r="C238" s="355" t="s">
        <v>159</v>
      </c>
      <c r="D238" s="103">
        <v>2</v>
      </c>
      <c r="E238" s="355"/>
      <c r="F238" s="355"/>
      <c r="G238" s="525">
        <v>7.66</v>
      </c>
      <c r="H238" s="355"/>
      <c r="I238" s="526">
        <f t="shared" si="11"/>
        <v>3.8</v>
      </c>
      <c r="J238" s="553"/>
      <c r="K238" s="553"/>
      <c r="L238" s="615"/>
    </row>
    <row r="239" spans="1:12">
      <c r="A239" s="611"/>
      <c r="B239" s="69" t="s">
        <v>160</v>
      </c>
      <c r="C239" s="355" t="s">
        <v>157</v>
      </c>
      <c r="D239" s="103">
        <v>2</v>
      </c>
      <c r="E239" s="355"/>
      <c r="F239" s="355"/>
      <c r="G239" s="525">
        <v>7.03</v>
      </c>
      <c r="H239" s="355"/>
      <c r="I239" s="526">
        <f t="shared" si="11"/>
        <v>3.5</v>
      </c>
      <c r="J239" s="553">
        <f t="shared" ref="J239:J247" si="20">AVERAGE(I239:I240)</f>
        <v>3.75</v>
      </c>
      <c r="K239" s="553">
        <f t="shared" ref="K239" si="21">24*60/J239</f>
        <v>384</v>
      </c>
      <c r="L239" s="615">
        <f t="shared" si="19"/>
        <v>326.39999999999998</v>
      </c>
    </row>
    <row r="240" spans="1:12">
      <c r="A240" s="611"/>
      <c r="B240" s="69" t="s">
        <v>161</v>
      </c>
      <c r="C240" s="355" t="s">
        <v>159</v>
      </c>
      <c r="D240" s="103">
        <v>2</v>
      </c>
      <c r="E240" s="355"/>
      <c r="F240" s="355"/>
      <c r="G240" s="525">
        <v>7.93</v>
      </c>
      <c r="H240" s="355"/>
      <c r="I240" s="526">
        <f t="shared" si="11"/>
        <v>4</v>
      </c>
      <c r="J240" s="553"/>
      <c r="K240" s="553"/>
      <c r="L240" s="615"/>
    </row>
    <row r="241" spans="1:12">
      <c r="A241" s="611"/>
      <c r="B241" s="69" t="s">
        <v>162</v>
      </c>
      <c r="C241" s="355" t="s">
        <v>157</v>
      </c>
      <c r="D241" s="103">
        <v>2</v>
      </c>
      <c r="E241" s="355"/>
      <c r="F241" s="355"/>
      <c r="G241" s="525">
        <v>7.3</v>
      </c>
      <c r="H241" s="355"/>
      <c r="I241" s="526">
        <f t="shared" si="11"/>
        <v>3.7</v>
      </c>
      <c r="J241" s="553">
        <f t="shared" si="20"/>
        <v>3.95</v>
      </c>
      <c r="K241" s="553">
        <f t="shared" ref="K241" si="22">24*60/J241</f>
        <v>364.55696202531647</v>
      </c>
      <c r="L241" s="615">
        <f t="shared" si="19"/>
        <v>309.87341772151899</v>
      </c>
    </row>
    <row r="242" spans="1:12">
      <c r="A242" s="611"/>
      <c r="B242" s="69" t="s">
        <v>163</v>
      </c>
      <c r="C242" s="355" t="s">
        <v>159</v>
      </c>
      <c r="D242" s="103">
        <v>2</v>
      </c>
      <c r="E242" s="355"/>
      <c r="F242" s="355"/>
      <c r="G242" s="525">
        <v>8.43</v>
      </c>
      <c r="H242" s="355"/>
      <c r="I242" s="526">
        <f t="shared" si="11"/>
        <v>4.2</v>
      </c>
      <c r="J242" s="553"/>
      <c r="K242" s="553"/>
      <c r="L242" s="615"/>
    </row>
    <row r="243" spans="1:12">
      <c r="A243" s="611"/>
      <c r="B243" s="69" t="s">
        <v>164</v>
      </c>
      <c r="C243" s="355" t="s">
        <v>157</v>
      </c>
      <c r="D243" s="103">
        <v>2</v>
      </c>
      <c r="E243" s="355"/>
      <c r="F243" s="355"/>
      <c r="G243" s="525">
        <v>8.8000000000000007</v>
      </c>
      <c r="H243" s="355"/>
      <c r="I243" s="526">
        <f t="shared" si="11"/>
        <v>4.4000000000000004</v>
      </c>
      <c r="J243" s="553">
        <f t="shared" si="20"/>
        <v>4.5999999999999996</v>
      </c>
      <c r="K243" s="553">
        <f t="shared" ref="K243" si="23">24*60/J243</f>
        <v>313.04347826086956</v>
      </c>
      <c r="L243" s="615">
        <f t="shared" si="19"/>
        <v>266.08695652173913</v>
      </c>
    </row>
    <row r="244" spans="1:12">
      <c r="A244" s="611"/>
      <c r="B244" s="69" t="s">
        <v>165</v>
      </c>
      <c r="C244" s="355" t="s">
        <v>159</v>
      </c>
      <c r="D244" s="103">
        <v>2</v>
      </c>
      <c r="E244" s="355"/>
      <c r="F244" s="355"/>
      <c r="G244" s="525">
        <v>9.6</v>
      </c>
      <c r="H244" s="355"/>
      <c r="I244" s="526">
        <f t="shared" si="11"/>
        <v>4.8</v>
      </c>
      <c r="J244" s="553"/>
      <c r="K244" s="553"/>
      <c r="L244" s="615"/>
    </row>
    <row r="245" spans="1:12">
      <c r="A245" s="611"/>
      <c r="B245" s="69" t="s">
        <v>166</v>
      </c>
      <c r="C245" s="355" t="s">
        <v>157</v>
      </c>
      <c r="D245" s="103">
        <v>2</v>
      </c>
      <c r="E245" s="355"/>
      <c r="F245" s="355"/>
      <c r="G245" s="525">
        <v>9.0299999999999994</v>
      </c>
      <c r="H245" s="355"/>
      <c r="I245" s="526">
        <f t="shared" si="11"/>
        <v>4.5</v>
      </c>
      <c r="J245" s="553">
        <f t="shared" si="20"/>
        <v>4.7</v>
      </c>
      <c r="K245" s="553">
        <f t="shared" ref="K245" si="24">24*60/J245</f>
        <v>306.38297872340422</v>
      </c>
      <c r="L245" s="615">
        <f t="shared" si="19"/>
        <v>260.42553191489355</v>
      </c>
    </row>
    <row r="246" spans="1:12">
      <c r="A246" s="611"/>
      <c r="B246" s="69" t="s">
        <v>167</v>
      </c>
      <c r="C246" s="355" t="s">
        <v>159</v>
      </c>
      <c r="D246" s="103">
        <v>2</v>
      </c>
      <c r="E246" s="355"/>
      <c r="F246" s="355"/>
      <c r="G246" s="525">
        <v>9.86</v>
      </c>
      <c r="H246" s="355"/>
      <c r="I246" s="526">
        <f t="shared" si="11"/>
        <v>4.9000000000000004</v>
      </c>
      <c r="J246" s="553"/>
      <c r="K246" s="553"/>
      <c r="L246" s="615"/>
    </row>
    <row r="247" spans="1:12">
      <c r="A247" s="611"/>
      <c r="B247" s="69" t="s">
        <v>168</v>
      </c>
      <c r="C247" s="355" t="s">
        <v>157</v>
      </c>
      <c r="D247" s="103">
        <v>2</v>
      </c>
      <c r="E247" s="355"/>
      <c r="F247" s="355"/>
      <c r="G247" s="525">
        <v>9.66</v>
      </c>
      <c r="H247" s="355"/>
      <c r="I247" s="526">
        <f t="shared" si="11"/>
        <v>4.8</v>
      </c>
      <c r="J247" s="553">
        <f t="shared" si="20"/>
        <v>5</v>
      </c>
      <c r="K247" s="553">
        <f t="shared" ref="K247" si="25">24*60/J247</f>
        <v>288</v>
      </c>
      <c r="L247" s="615">
        <f t="shared" si="19"/>
        <v>244.79999999999998</v>
      </c>
    </row>
    <row r="248" spans="1:12" ht="13.5" thickBot="1">
      <c r="A248" s="612"/>
      <c r="B248" s="95" t="s">
        <v>169</v>
      </c>
      <c r="C248" s="527" t="s">
        <v>159</v>
      </c>
      <c r="D248" s="528">
        <v>2</v>
      </c>
      <c r="E248" s="527"/>
      <c r="F248" s="527"/>
      <c r="G248" s="529">
        <v>10.46</v>
      </c>
      <c r="H248" s="527"/>
      <c r="I248" s="285">
        <f t="shared" si="11"/>
        <v>5.2</v>
      </c>
      <c r="J248" s="606"/>
      <c r="K248" s="606"/>
      <c r="L248" s="616"/>
    </row>
    <row r="249" spans="1:12" ht="13.5" thickTop="1"/>
  </sheetData>
  <mergeCells count="155">
    <mergeCell ref="A237:A248"/>
    <mergeCell ref="J237:J248"/>
    <mergeCell ref="K237:K248"/>
    <mergeCell ref="L237:L248"/>
    <mergeCell ref="J33:J34"/>
    <mergeCell ref="M45:M52"/>
    <mergeCell ref="N45:N52"/>
    <mergeCell ref="O45:O52"/>
    <mergeCell ref="J3:L3"/>
    <mergeCell ref="M3:O3"/>
    <mergeCell ref="A45:A52"/>
    <mergeCell ref="J45:J58"/>
    <mergeCell ref="K45:K58"/>
    <mergeCell ref="L45:L58"/>
    <mergeCell ref="A53:A58"/>
    <mergeCell ref="B38:C38"/>
    <mergeCell ref="A39:A44"/>
    <mergeCell ref="J39:J44"/>
    <mergeCell ref="K39:K44"/>
    <mergeCell ref="L39:L44"/>
    <mergeCell ref="A59:A64"/>
    <mergeCell ref="J59:J64"/>
    <mergeCell ref="K59:K64"/>
    <mergeCell ref="L59:L64"/>
    <mergeCell ref="A65:A70"/>
    <mergeCell ref="J65:J76"/>
    <mergeCell ref="K65:K76"/>
    <mergeCell ref="L65:L76"/>
    <mergeCell ref="A71:A76"/>
    <mergeCell ref="A86:A89"/>
    <mergeCell ref="J86:J93"/>
    <mergeCell ref="K86:K93"/>
    <mergeCell ref="L86:L93"/>
    <mergeCell ref="A90:A93"/>
    <mergeCell ref="A77:A79"/>
    <mergeCell ref="J77:J79"/>
    <mergeCell ref="K77:K79"/>
    <mergeCell ref="L77:L79"/>
    <mergeCell ref="A80:A83"/>
    <mergeCell ref="J80:J85"/>
    <mergeCell ref="K80:K85"/>
    <mergeCell ref="L80:L85"/>
    <mergeCell ref="A84:A85"/>
    <mergeCell ref="A99:A102"/>
    <mergeCell ref="J99:J104"/>
    <mergeCell ref="K99:K104"/>
    <mergeCell ref="L99:L104"/>
    <mergeCell ref="A103:A104"/>
    <mergeCell ref="A94:A96"/>
    <mergeCell ref="J94:J98"/>
    <mergeCell ref="K94:K98"/>
    <mergeCell ref="L94:L98"/>
    <mergeCell ref="A97:A98"/>
    <mergeCell ref="A113:A118"/>
    <mergeCell ref="A119:A125"/>
    <mergeCell ref="N105:N112"/>
    <mergeCell ref="O105:O112"/>
    <mergeCell ref="A111:A112"/>
    <mergeCell ref="J111:J112"/>
    <mergeCell ref="K111:K112"/>
    <mergeCell ref="L111:L112"/>
    <mergeCell ref="A105:A110"/>
    <mergeCell ref="J105:J110"/>
    <mergeCell ref="K105:K110"/>
    <mergeCell ref="L105:L110"/>
    <mergeCell ref="M105:M112"/>
    <mergeCell ref="J113:J125"/>
    <mergeCell ref="K113:K125"/>
    <mergeCell ref="L113:L125"/>
    <mergeCell ref="M119:M125"/>
    <mergeCell ref="N119:N125"/>
    <mergeCell ref="O119:O125"/>
    <mergeCell ref="M132:M141"/>
    <mergeCell ref="N132:N141"/>
    <mergeCell ref="M171:M172"/>
    <mergeCell ref="N171:N172"/>
    <mergeCell ref="J173:J184"/>
    <mergeCell ref="K173:K184"/>
    <mergeCell ref="L173:L184"/>
    <mergeCell ref="A173:A178"/>
    <mergeCell ref="A179:A184"/>
    <mergeCell ref="K142:K145"/>
    <mergeCell ref="L142:L145"/>
    <mergeCell ref="J146:J164"/>
    <mergeCell ref="K146:K164"/>
    <mergeCell ref="L146:L164"/>
    <mergeCell ref="O185:O189"/>
    <mergeCell ref="A185:A189"/>
    <mergeCell ref="J185:J189"/>
    <mergeCell ref="K185:K189"/>
    <mergeCell ref="L185:L189"/>
    <mergeCell ref="M185:M189"/>
    <mergeCell ref="O171:O172"/>
    <mergeCell ref="A126:A131"/>
    <mergeCell ref="A132:A137"/>
    <mergeCell ref="A138:A141"/>
    <mergeCell ref="A146:A152"/>
    <mergeCell ref="A153:A158"/>
    <mergeCell ref="A159:A164"/>
    <mergeCell ref="A165:A170"/>
    <mergeCell ref="A171:A172"/>
    <mergeCell ref="J165:J172"/>
    <mergeCell ref="K165:K172"/>
    <mergeCell ref="L165:L172"/>
    <mergeCell ref="A142:A145"/>
    <mergeCell ref="J142:J145"/>
    <mergeCell ref="O132:O141"/>
    <mergeCell ref="J126:J141"/>
    <mergeCell ref="K126:K141"/>
    <mergeCell ref="L126:L141"/>
    <mergeCell ref="A196:A199"/>
    <mergeCell ref="J196:J199"/>
    <mergeCell ref="K196:K199"/>
    <mergeCell ref="L196:L199"/>
    <mergeCell ref="A190:A195"/>
    <mergeCell ref="J190:J195"/>
    <mergeCell ref="K190:K195"/>
    <mergeCell ref="L190:L195"/>
    <mergeCell ref="N185:N189"/>
    <mergeCell ref="A210:A215"/>
    <mergeCell ref="J210:J215"/>
    <mergeCell ref="K210:K215"/>
    <mergeCell ref="L210:L215"/>
    <mergeCell ref="A216:A222"/>
    <mergeCell ref="A200:A207"/>
    <mergeCell ref="J200:J207"/>
    <mergeCell ref="K200:K207"/>
    <mergeCell ref="L200:L207"/>
    <mergeCell ref="A208:A209"/>
    <mergeCell ref="J208:J209"/>
    <mergeCell ref="K208:K209"/>
    <mergeCell ref="L208:L209"/>
    <mergeCell ref="A223:A226"/>
    <mergeCell ref="A227:A229"/>
    <mergeCell ref="J223:J226"/>
    <mergeCell ref="K223:K226"/>
    <mergeCell ref="L223:L226"/>
    <mergeCell ref="J227:J229"/>
    <mergeCell ref="K227:K229"/>
    <mergeCell ref="L227:L229"/>
    <mergeCell ref="J216:J222"/>
    <mergeCell ref="K216:K222"/>
    <mergeCell ref="L216:L222"/>
    <mergeCell ref="A232:A234"/>
    <mergeCell ref="J232:J234"/>
    <mergeCell ref="K232:K234"/>
    <mergeCell ref="L232:L234"/>
    <mergeCell ref="A235:A236"/>
    <mergeCell ref="J235:J236"/>
    <mergeCell ref="K235:K236"/>
    <mergeCell ref="L235:L236"/>
    <mergeCell ref="A230:A231"/>
    <mergeCell ref="L230:L231"/>
    <mergeCell ref="K230:K231"/>
    <mergeCell ref="J230:J231"/>
  </mergeCells>
  <phoneticPr fontId="40"/>
  <pageMargins left="0.70866141732283472" right="0.70866141732283472" top="0.74803149606299213" bottom="0.74803149606299213" header="0.31496062992125984" footer="0.31496062992125984"/>
  <pageSetup scale="85" orientation="portrait" r:id="rId1"/>
  <rowBreaks count="3" manualBreakCount="3">
    <brk id="58" max="8" man="1"/>
    <brk id="112" max="8" man="1"/>
    <brk id="172" max="8" man="1"/>
  </rowBreaks>
  <colBreaks count="1" manualBreakCount="1">
    <brk id="12" min="1" max="2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BU89"/>
  <sheetViews>
    <sheetView showGridLines="0" tabSelected="1" topLeftCell="N1" workbookViewId="0">
      <selection activeCell="X9" sqref="X9:X10"/>
    </sheetView>
  </sheetViews>
  <sheetFormatPr defaultColWidth="9.140625" defaultRowHeight="12.75"/>
  <cols>
    <col min="1" max="1" width="1.7109375" style="1" customWidth="1"/>
    <col min="2" max="2" width="9.7109375" style="1" customWidth="1"/>
    <col min="3" max="3" width="36.28515625" style="1" bestFit="1" customWidth="1"/>
    <col min="4" max="10" width="9.5703125" style="1" customWidth="1"/>
    <col min="11" max="11" width="9.85546875" style="1" customWidth="1"/>
    <col min="12" max="12" width="11.85546875" style="1" customWidth="1"/>
    <col min="13" max="13" width="37.28515625" style="1" bestFit="1" customWidth="1"/>
    <col min="14" max="16" width="9.5703125" style="1" customWidth="1"/>
    <col min="17" max="17" width="16" style="1" customWidth="1"/>
    <col min="18" max="54" width="9.140625" style="1"/>
    <col min="55" max="55" width="9.5703125" style="1" bestFit="1" customWidth="1"/>
    <col min="56" max="58" width="9.140625" style="1"/>
    <col min="59" max="65" width="0" style="1" hidden="1" customWidth="1"/>
    <col min="66" max="16384" width="9.140625" style="1"/>
  </cols>
  <sheetData>
    <row r="2" spans="2:73" ht="19.5" customHeight="1" thickBot="1">
      <c r="C2" s="2" t="s">
        <v>170</v>
      </c>
      <c r="D2" s="1" t="s">
        <v>1</v>
      </c>
      <c r="E2" s="59">
        <v>21</v>
      </c>
      <c r="F2" s="316"/>
      <c r="G2" s="316"/>
      <c r="H2" s="1" t="s">
        <v>2</v>
      </c>
      <c r="J2" s="270" t="s">
        <v>171</v>
      </c>
      <c r="S2" s="238" t="s">
        <v>172</v>
      </c>
      <c r="AI2" s="241" t="s">
        <v>173</v>
      </c>
    </row>
    <row r="3" spans="2:73" ht="13.5" thickBot="1">
      <c r="E3" s="1">
        <v>0.8</v>
      </c>
      <c r="K3" s="21"/>
      <c r="M3" s="141" t="s">
        <v>174</v>
      </c>
      <c r="N3" s="131">
        <f>SUM(D11:D23)</f>
        <v>60482.392561196786</v>
      </c>
      <c r="O3" s="1" t="s">
        <v>175</v>
      </c>
      <c r="S3" s="622" t="s">
        <v>176</v>
      </c>
      <c r="T3" s="623"/>
      <c r="U3" s="623"/>
      <c r="V3" s="623"/>
      <c r="W3" s="623"/>
      <c r="X3" s="623"/>
      <c r="Y3" s="624"/>
      <c r="AA3" s="622" t="s">
        <v>177</v>
      </c>
      <c r="AB3" s="623"/>
      <c r="AC3" s="623"/>
      <c r="AD3" s="623"/>
      <c r="AE3" s="623"/>
      <c r="AF3" s="623"/>
      <c r="AG3" s="624"/>
      <c r="AI3" s="622" t="s">
        <v>178</v>
      </c>
      <c r="AJ3" s="623"/>
      <c r="AK3" s="623"/>
      <c r="AL3" s="623"/>
      <c r="AM3" s="623"/>
      <c r="AN3" s="623"/>
      <c r="AO3" s="624"/>
      <c r="AQ3" s="622" t="s">
        <v>179</v>
      </c>
      <c r="AR3" s="623"/>
      <c r="AS3" s="623"/>
      <c r="AT3" s="623"/>
      <c r="AU3" s="623"/>
      <c r="AV3" s="623"/>
      <c r="AW3" s="624"/>
      <c r="AY3" s="622" t="s">
        <v>180</v>
      </c>
      <c r="AZ3" s="623"/>
      <c r="BA3" s="623"/>
      <c r="BB3" s="623"/>
      <c r="BC3" s="623"/>
      <c r="BD3" s="623"/>
      <c r="BE3" s="624"/>
      <c r="BG3" s="622" t="s">
        <v>181</v>
      </c>
      <c r="BH3" s="623"/>
      <c r="BI3" s="623"/>
      <c r="BJ3" s="623"/>
      <c r="BK3" s="623"/>
      <c r="BL3" s="623"/>
      <c r="BM3" s="624"/>
      <c r="BO3" s="622" t="s">
        <v>182</v>
      </c>
      <c r="BP3" s="623"/>
      <c r="BQ3" s="623"/>
      <c r="BR3" s="623"/>
      <c r="BS3" s="623"/>
      <c r="BT3" s="623"/>
      <c r="BU3" s="624"/>
    </row>
    <row r="4" spans="2:73" ht="54.75" customHeight="1">
      <c r="B4" s="69" t="s">
        <v>3</v>
      </c>
      <c r="C4" s="69" t="s">
        <v>4</v>
      </c>
      <c r="D4" s="387" t="s">
        <v>29</v>
      </c>
      <c r="E4" s="387" t="s">
        <v>183</v>
      </c>
      <c r="F4" s="387" t="s">
        <v>7</v>
      </c>
      <c r="G4" s="387" t="s">
        <v>184</v>
      </c>
      <c r="H4" s="387" t="s">
        <v>9</v>
      </c>
      <c r="I4" s="387" t="s">
        <v>32</v>
      </c>
      <c r="J4" s="387" t="s">
        <v>11</v>
      </c>
      <c r="K4" s="21"/>
      <c r="L4" s="3" t="s">
        <v>3</v>
      </c>
      <c r="M4" s="4" t="s">
        <v>4</v>
      </c>
      <c r="N4" s="5" t="s">
        <v>29</v>
      </c>
      <c r="O4" s="5" t="s">
        <v>183</v>
      </c>
      <c r="P4" s="24" t="s">
        <v>9</v>
      </c>
      <c r="Q4" s="24" t="s">
        <v>11</v>
      </c>
      <c r="S4" s="3" t="s">
        <v>3</v>
      </c>
      <c r="T4" s="620" t="s">
        <v>4</v>
      </c>
      <c r="U4" s="621"/>
      <c r="V4" s="98" t="s">
        <v>185</v>
      </c>
      <c r="W4" s="124" t="s">
        <v>186</v>
      </c>
      <c r="X4" s="123" t="s">
        <v>187</v>
      </c>
      <c r="Y4" s="100" t="s">
        <v>188</v>
      </c>
      <c r="AA4" s="3" t="s">
        <v>3</v>
      </c>
      <c r="AB4" s="639" t="s">
        <v>4</v>
      </c>
      <c r="AC4" s="638"/>
      <c r="AD4" s="4" t="s">
        <v>185</v>
      </c>
      <c r="AE4" s="124" t="s">
        <v>186</v>
      </c>
      <c r="AF4" s="223" t="s">
        <v>187</v>
      </c>
      <c r="AG4" s="224" t="s">
        <v>188</v>
      </c>
      <c r="AI4" s="3" t="s">
        <v>3</v>
      </c>
      <c r="AJ4" s="639" t="s">
        <v>4</v>
      </c>
      <c r="AK4" s="638"/>
      <c r="AL4" s="4" t="s">
        <v>185</v>
      </c>
      <c r="AM4" s="124" t="s">
        <v>186</v>
      </c>
      <c r="AN4" s="223" t="s">
        <v>187</v>
      </c>
      <c r="AO4" s="224" t="s">
        <v>188</v>
      </c>
      <c r="AQ4" s="3" t="s">
        <v>3</v>
      </c>
      <c r="AR4" s="637" t="s">
        <v>4</v>
      </c>
      <c r="AS4" s="638"/>
      <c r="AT4" s="4" t="s">
        <v>185</v>
      </c>
      <c r="AU4" s="124" t="s">
        <v>186</v>
      </c>
      <c r="AV4" s="223" t="s">
        <v>187</v>
      </c>
      <c r="AW4" s="224" t="s">
        <v>188</v>
      </c>
      <c r="AY4" s="3" t="s">
        <v>3</v>
      </c>
      <c r="AZ4" s="639" t="s">
        <v>4</v>
      </c>
      <c r="BA4" s="638"/>
      <c r="BB4" s="4" t="s">
        <v>185</v>
      </c>
      <c r="BC4" s="124" t="s">
        <v>186</v>
      </c>
      <c r="BD4" s="223" t="s">
        <v>187</v>
      </c>
      <c r="BE4" s="224" t="s">
        <v>188</v>
      </c>
      <c r="BG4" s="3" t="s">
        <v>3</v>
      </c>
      <c r="BH4" s="637" t="s">
        <v>4</v>
      </c>
      <c r="BI4" s="638"/>
      <c r="BJ4" s="4" t="s">
        <v>185</v>
      </c>
      <c r="BK4" s="124" t="s">
        <v>186</v>
      </c>
      <c r="BL4" s="223" t="s">
        <v>187</v>
      </c>
      <c r="BM4" s="224" t="s">
        <v>188</v>
      </c>
      <c r="BO4" s="3" t="s">
        <v>3</v>
      </c>
      <c r="BP4" s="639" t="s">
        <v>4</v>
      </c>
      <c r="BQ4" s="638"/>
      <c r="BR4" s="4" t="s">
        <v>185</v>
      </c>
      <c r="BS4" s="124" t="s">
        <v>186</v>
      </c>
      <c r="BT4" s="223" t="s">
        <v>187</v>
      </c>
      <c r="BU4" s="224" t="s">
        <v>188</v>
      </c>
    </row>
    <row r="5" spans="2:73" ht="13.5" thickTop="1">
      <c r="B5" s="355" t="s">
        <v>189</v>
      </c>
      <c r="C5" s="396" t="s">
        <v>190</v>
      </c>
      <c r="D5" s="405">
        <f>(21*60)/(W7+X7)*$E$2*V7*$E$3</f>
        <v>3349.6615384615393</v>
      </c>
      <c r="E5" s="393"/>
      <c r="F5" s="393">
        <v>1119</v>
      </c>
      <c r="G5" s="420" t="e">
        <f>F5/E5</f>
        <v>#DIV/0!</v>
      </c>
      <c r="H5" s="394">
        <f t="shared" ref="H5:H29" si="0">E5/D5</f>
        <v>0</v>
      </c>
      <c r="I5" s="394">
        <f>F5/D5</f>
        <v>0.33406360229276888</v>
      </c>
      <c r="J5" s="399" t="s">
        <v>191</v>
      </c>
      <c r="L5" s="135" t="s">
        <v>192</v>
      </c>
      <c r="M5" s="138" t="s">
        <v>193</v>
      </c>
      <c r="N5" s="16">
        <v>12000</v>
      </c>
      <c r="O5" s="9">
        <f>E30-O13</f>
        <v>-41390</v>
      </c>
      <c r="P5" s="25">
        <f>O5/N5</f>
        <v>-3.4491666666666667</v>
      </c>
      <c r="Q5" s="151" t="s">
        <v>194</v>
      </c>
      <c r="S5" s="592" t="s">
        <v>195</v>
      </c>
      <c r="T5" s="644" t="s">
        <v>196</v>
      </c>
      <c r="U5" s="244" t="s">
        <v>114</v>
      </c>
      <c r="V5" s="478">
        <v>12</v>
      </c>
      <c r="W5" s="287">
        <v>89</v>
      </c>
      <c r="X5" s="243">
        <f>+W5/V5</f>
        <v>7.416666666666667</v>
      </c>
      <c r="Y5" s="311">
        <f t="shared" ref="Y5" si="1">W5+X5</f>
        <v>96.416666666666671</v>
      </c>
      <c r="AA5" s="592" t="s">
        <v>197</v>
      </c>
      <c r="AB5" s="640" t="s">
        <v>34</v>
      </c>
      <c r="AC5" s="232" t="s">
        <v>114</v>
      </c>
      <c r="AD5" s="479">
        <v>12</v>
      </c>
      <c r="AE5" s="292">
        <v>72</v>
      </c>
      <c r="AF5" s="118">
        <f>+AE5/AD5</f>
        <v>6</v>
      </c>
      <c r="AG5" s="222">
        <f>AE5+AF5</f>
        <v>78</v>
      </c>
      <c r="AI5" s="658" t="s">
        <v>198</v>
      </c>
      <c r="AJ5" s="640" t="s">
        <v>81</v>
      </c>
      <c r="AK5" s="116" t="s">
        <v>114</v>
      </c>
      <c r="AL5" s="479">
        <v>10</v>
      </c>
      <c r="AM5" s="292">
        <v>46</v>
      </c>
      <c r="AN5" s="293">
        <v>10</v>
      </c>
      <c r="AO5" s="222">
        <f t="shared" ref="AO5:AO8" si="2">AM5+AN5</f>
        <v>56</v>
      </c>
      <c r="AQ5" s="656" t="s">
        <v>199</v>
      </c>
      <c r="AR5" s="640" t="s">
        <v>58</v>
      </c>
      <c r="AS5" s="232" t="s">
        <v>114</v>
      </c>
      <c r="AT5" s="479">
        <v>18</v>
      </c>
      <c r="AU5" s="292">
        <v>79</v>
      </c>
      <c r="AV5" s="293">
        <v>15</v>
      </c>
      <c r="AW5" s="222">
        <f>AU5+AV5</f>
        <v>94</v>
      </c>
      <c r="AY5" s="658" t="s">
        <v>200</v>
      </c>
      <c r="AZ5" s="644" t="s">
        <v>201</v>
      </c>
      <c r="BA5" s="244" t="s">
        <v>114</v>
      </c>
      <c r="BB5" s="477">
        <v>38</v>
      </c>
      <c r="BC5" s="287">
        <v>27</v>
      </c>
      <c r="BD5" s="299">
        <v>15</v>
      </c>
      <c r="BE5" s="213">
        <f>BC5+BD5</f>
        <v>42</v>
      </c>
      <c r="BG5" s="592" t="s">
        <v>202</v>
      </c>
      <c r="BH5" s="631" t="s">
        <v>142</v>
      </c>
      <c r="BI5" s="116" t="s">
        <v>114</v>
      </c>
      <c r="BJ5" s="291">
        <v>16</v>
      </c>
      <c r="BK5" s="292">
        <v>96</v>
      </c>
      <c r="BL5" s="293">
        <v>15</v>
      </c>
      <c r="BM5" s="213">
        <f>BK5+BL5</f>
        <v>111</v>
      </c>
      <c r="BO5" s="593" t="s">
        <v>203</v>
      </c>
      <c r="BP5" s="640" t="s">
        <v>139</v>
      </c>
      <c r="BQ5" s="116" t="s">
        <v>157</v>
      </c>
      <c r="BR5" s="479">
        <v>42</v>
      </c>
      <c r="BS5" s="292">
        <v>84</v>
      </c>
      <c r="BT5" s="293">
        <v>15</v>
      </c>
      <c r="BU5" s="303">
        <f>BS5+BT5</f>
        <v>99</v>
      </c>
    </row>
    <row r="6" spans="2:73">
      <c r="B6" s="355" t="s">
        <v>204</v>
      </c>
      <c r="C6" s="355" t="s">
        <v>37</v>
      </c>
      <c r="D6" s="405">
        <f>(21*60)/(W9+X9)*$E$2*V9*$E$3</f>
        <v>2672.7272727272725</v>
      </c>
      <c r="E6" s="393">
        <v>896</v>
      </c>
      <c r="F6" s="393">
        <v>918</v>
      </c>
      <c r="G6" s="420">
        <f t="shared" ref="G6:G29" si="3">F6/E6</f>
        <v>1.0245535714285714</v>
      </c>
      <c r="H6" s="394">
        <f t="shared" si="0"/>
        <v>0.33523809523809528</v>
      </c>
      <c r="I6" s="394">
        <f t="shared" ref="I6:I29" si="4">F6/D6</f>
        <v>0.34346938775510205</v>
      </c>
      <c r="J6" s="399" t="s">
        <v>191</v>
      </c>
      <c r="L6" s="135" t="s">
        <v>205</v>
      </c>
      <c r="M6" s="138" t="s">
        <v>206</v>
      </c>
      <c r="N6" s="16" t="s">
        <v>207</v>
      </c>
      <c r="O6" s="9"/>
      <c r="P6" s="56"/>
      <c r="Q6" s="151" t="s">
        <v>208</v>
      </c>
      <c r="S6" s="593"/>
      <c r="T6" s="647"/>
      <c r="U6" s="212"/>
      <c r="V6" s="481"/>
      <c r="W6" s="288"/>
      <c r="X6" s="212"/>
      <c r="Y6" s="312"/>
      <c r="AA6" s="593"/>
      <c r="AB6" s="629"/>
      <c r="AC6" s="231" t="s">
        <v>115</v>
      </c>
      <c r="AD6" s="485">
        <v>12</v>
      </c>
      <c r="AE6" s="273">
        <v>80</v>
      </c>
      <c r="AF6" s="108">
        <f t="shared" ref="AF6:AF7" si="5">+AE6/AD6</f>
        <v>6.666666666666667</v>
      </c>
      <c r="AG6" s="219">
        <f>AE6+AF6</f>
        <v>86.666666666666671</v>
      </c>
      <c r="AI6" s="659"/>
      <c r="AJ6" s="655"/>
      <c r="AK6" s="231" t="s">
        <v>100</v>
      </c>
      <c r="AL6" s="485">
        <v>12</v>
      </c>
      <c r="AM6" s="273">
        <v>42</v>
      </c>
      <c r="AN6" s="294">
        <v>10</v>
      </c>
      <c r="AO6" s="219">
        <f>AM6+AN6</f>
        <v>52</v>
      </c>
      <c r="AQ6" s="657"/>
      <c r="AR6" s="629"/>
      <c r="AS6" s="107" t="s">
        <v>115</v>
      </c>
      <c r="AT6" s="485">
        <v>16</v>
      </c>
      <c r="AU6" s="273">
        <v>70</v>
      </c>
      <c r="AV6" s="294">
        <v>15</v>
      </c>
      <c r="AW6" s="219">
        <f>AU6+AV6</f>
        <v>85</v>
      </c>
      <c r="AY6" s="650"/>
      <c r="AZ6" s="645"/>
      <c r="BA6" s="116"/>
      <c r="BB6" s="479"/>
      <c r="BC6" s="292"/>
      <c r="BD6" s="293"/>
      <c r="BE6" s="222">
        <f t="shared" ref="BE6" si="6">BC6+BD6</f>
        <v>0</v>
      </c>
      <c r="BG6" s="593"/>
      <c r="BH6" s="632"/>
      <c r="BI6" s="107" t="s">
        <v>115</v>
      </c>
      <c r="BJ6" s="272"/>
      <c r="BK6" s="273"/>
      <c r="BL6" s="294">
        <v>0</v>
      </c>
      <c r="BM6" s="219">
        <f>BK6+BL6</f>
        <v>0</v>
      </c>
      <c r="BO6" s="580"/>
      <c r="BP6" s="641"/>
      <c r="BQ6" s="242" t="s">
        <v>159</v>
      </c>
      <c r="BR6" s="480">
        <v>42</v>
      </c>
      <c r="BS6" s="297">
        <v>70</v>
      </c>
      <c r="BT6" s="298">
        <v>15</v>
      </c>
      <c r="BU6" s="303">
        <f t="shared" ref="BU6:BU9" si="7">BS6+BT6</f>
        <v>85</v>
      </c>
    </row>
    <row r="7" spans="2:73">
      <c r="B7" s="355" t="s">
        <v>209</v>
      </c>
      <c r="C7" s="355" t="s">
        <v>39</v>
      </c>
      <c r="D7" s="405">
        <f>(21*60)/(W11+X11)*$E$2*V11*$E$3</f>
        <v>3349.6615384615393</v>
      </c>
      <c r="E7" s="393">
        <v>3050</v>
      </c>
      <c r="F7" s="393">
        <v>1315</v>
      </c>
      <c r="G7" s="420">
        <f t="shared" si="3"/>
        <v>0.43114754098360658</v>
      </c>
      <c r="H7" s="394">
        <f t="shared" si="0"/>
        <v>0.9105397560258669</v>
      </c>
      <c r="I7" s="394">
        <f t="shared" si="4"/>
        <v>0.39257697677836556</v>
      </c>
      <c r="J7" s="399" t="s">
        <v>191</v>
      </c>
      <c r="L7" s="137" t="s">
        <v>210</v>
      </c>
      <c r="M7" s="158" t="s">
        <v>211</v>
      </c>
      <c r="N7" s="134">
        <f>Q20*E2</f>
        <v>8960</v>
      </c>
      <c r="O7" s="134">
        <f>6230+4710</f>
        <v>10940</v>
      </c>
      <c r="P7" s="262">
        <f t="shared" ref="P7:P12" si="8">O7/N7</f>
        <v>1.2209821428571428</v>
      </c>
      <c r="Q7" s="148" t="s">
        <v>212</v>
      </c>
      <c r="S7" s="559" t="s">
        <v>189</v>
      </c>
      <c r="T7" s="635" t="s">
        <v>39</v>
      </c>
      <c r="U7" s="230" t="s">
        <v>114</v>
      </c>
      <c r="V7" s="483">
        <v>12</v>
      </c>
      <c r="W7" s="290">
        <v>70</v>
      </c>
      <c r="X7" s="115">
        <f t="shared" ref="X7:X15" si="9">+W7/V7</f>
        <v>5.833333333333333</v>
      </c>
      <c r="Y7" s="310">
        <f t="shared" ref="Y7:Y16" si="10">W7+X7</f>
        <v>75.833333333333329</v>
      </c>
      <c r="AA7" s="559" t="s">
        <v>213</v>
      </c>
      <c r="AB7" s="635" t="s">
        <v>142</v>
      </c>
      <c r="AC7" s="230" t="s">
        <v>114</v>
      </c>
      <c r="AD7" s="483">
        <v>8</v>
      </c>
      <c r="AE7" s="290">
        <v>70</v>
      </c>
      <c r="AF7" s="115">
        <f t="shared" si="5"/>
        <v>8.75</v>
      </c>
      <c r="AG7" s="218">
        <f>AE7+AF7</f>
        <v>78.75</v>
      </c>
      <c r="AI7" s="675" t="s">
        <v>214</v>
      </c>
      <c r="AJ7" s="625" t="s">
        <v>61</v>
      </c>
      <c r="AK7" s="230" t="s">
        <v>114</v>
      </c>
      <c r="AL7" s="483">
        <v>11</v>
      </c>
      <c r="AM7" s="290">
        <v>51</v>
      </c>
      <c r="AN7" s="295">
        <v>10</v>
      </c>
      <c r="AO7" s="218">
        <f t="shared" si="2"/>
        <v>61</v>
      </c>
      <c r="AQ7" s="633" t="s">
        <v>215</v>
      </c>
      <c r="AR7" s="625" t="s">
        <v>146</v>
      </c>
      <c r="AS7" s="230" t="s">
        <v>116</v>
      </c>
      <c r="AT7" s="483">
        <v>8</v>
      </c>
      <c r="AU7" s="290">
        <v>52</v>
      </c>
      <c r="AV7" s="295">
        <v>15</v>
      </c>
      <c r="AW7" s="218">
        <f>AU7+AV7</f>
        <v>67</v>
      </c>
      <c r="AY7" s="650"/>
      <c r="AZ7" s="647" t="s">
        <v>216</v>
      </c>
      <c r="BA7" s="232" t="s">
        <v>143</v>
      </c>
      <c r="BB7" s="479">
        <v>30</v>
      </c>
      <c r="BC7" s="292">
        <v>35</v>
      </c>
      <c r="BD7" s="293">
        <v>15</v>
      </c>
      <c r="BE7" s="222">
        <f>BC7+BD7</f>
        <v>50</v>
      </c>
      <c r="BG7" s="633" t="s">
        <v>217</v>
      </c>
      <c r="BH7" s="635" t="s">
        <v>121</v>
      </c>
      <c r="BI7" s="230" t="s">
        <v>114</v>
      </c>
      <c r="BJ7" s="289">
        <v>20</v>
      </c>
      <c r="BK7" s="290">
        <v>96</v>
      </c>
      <c r="BL7" s="295">
        <v>15</v>
      </c>
      <c r="BM7" s="218">
        <f>BK7+BL7</f>
        <v>111</v>
      </c>
      <c r="BO7" s="580"/>
      <c r="BP7" s="626" t="s">
        <v>136</v>
      </c>
      <c r="BQ7" s="119" t="s">
        <v>157</v>
      </c>
      <c r="BR7" s="480">
        <v>32</v>
      </c>
      <c r="BS7" s="297">
        <v>62</v>
      </c>
      <c r="BT7" s="298">
        <v>15</v>
      </c>
      <c r="BU7" s="303">
        <f t="shared" si="7"/>
        <v>77</v>
      </c>
    </row>
    <row r="8" spans="2:73" ht="13.5" thickBot="1">
      <c r="B8" s="355" t="s">
        <v>218</v>
      </c>
      <c r="C8" s="355" t="s">
        <v>219</v>
      </c>
      <c r="D8" s="405">
        <f>(21*60)/(W13+X13)*$E$2*V13*$E$3</f>
        <v>2672.7272727272725</v>
      </c>
      <c r="E8" s="393"/>
      <c r="F8" s="393">
        <v>69</v>
      </c>
      <c r="G8" s="420" t="e">
        <f t="shared" si="3"/>
        <v>#DIV/0!</v>
      </c>
      <c r="H8" s="394">
        <f t="shared" si="0"/>
        <v>0</v>
      </c>
      <c r="I8" s="394">
        <f t="shared" si="4"/>
        <v>2.5816326530612246E-2</v>
      </c>
      <c r="J8" s="399" t="s">
        <v>191</v>
      </c>
      <c r="L8" s="135" t="s">
        <v>220</v>
      </c>
      <c r="M8" s="58" t="s">
        <v>221</v>
      </c>
      <c r="N8" s="9">
        <f>Q21*E2</f>
        <v>5376</v>
      </c>
      <c r="O8" s="9">
        <f>2800+2280</f>
        <v>5080</v>
      </c>
      <c r="P8" s="249">
        <f t="shared" si="8"/>
        <v>0.94494047619047616</v>
      </c>
      <c r="Q8" s="148" t="s">
        <v>222</v>
      </c>
      <c r="S8" s="559"/>
      <c r="T8" s="646"/>
      <c r="U8" s="107" t="s">
        <v>115</v>
      </c>
      <c r="V8" s="484">
        <v>12</v>
      </c>
      <c r="W8" s="273">
        <v>92</v>
      </c>
      <c r="X8" s="108">
        <f t="shared" si="9"/>
        <v>7.666666666666667</v>
      </c>
      <c r="Y8" s="307">
        <f t="shared" si="10"/>
        <v>99.666666666666671</v>
      </c>
      <c r="AA8" s="674"/>
      <c r="AB8" s="636"/>
      <c r="AC8" s="214" t="s">
        <v>115</v>
      </c>
      <c r="AD8" s="486"/>
      <c r="AE8" s="216"/>
      <c r="AF8" s="217"/>
      <c r="AG8" s="220">
        <f>AE8+AF8</f>
        <v>0</v>
      </c>
      <c r="AI8" s="676"/>
      <c r="AJ8" s="626"/>
      <c r="AK8" s="119" t="s">
        <v>115</v>
      </c>
      <c r="AL8" s="480">
        <v>5</v>
      </c>
      <c r="AM8" s="297">
        <v>59</v>
      </c>
      <c r="AN8" s="298">
        <v>10</v>
      </c>
      <c r="AO8" s="222">
        <f t="shared" si="2"/>
        <v>69</v>
      </c>
      <c r="AQ8" s="673"/>
      <c r="AR8" s="626"/>
      <c r="AS8" s="242" t="s">
        <v>115</v>
      </c>
      <c r="AT8" s="480">
        <v>6</v>
      </c>
      <c r="AU8" s="297">
        <v>51</v>
      </c>
      <c r="AV8" s="298">
        <v>15</v>
      </c>
      <c r="AW8" s="222">
        <f t="shared" ref="AW8:AW9" si="11">AU8+AV8</f>
        <v>66</v>
      </c>
      <c r="AY8" s="650"/>
      <c r="AZ8" s="648"/>
      <c r="BA8" s="367"/>
      <c r="BB8" s="490"/>
      <c r="BC8" s="368"/>
      <c r="BD8" s="361"/>
      <c r="BE8" s="362">
        <f t="shared" ref="BE8" si="12">BC8+BD8</f>
        <v>0</v>
      </c>
      <c r="BG8" s="634"/>
      <c r="BH8" s="636"/>
      <c r="BI8" s="214" t="s">
        <v>115</v>
      </c>
      <c r="BJ8" s="300"/>
      <c r="BK8" s="301"/>
      <c r="BL8" s="302">
        <v>0</v>
      </c>
      <c r="BM8" s="220">
        <f>BK8+BL8</f>
        <v>0</v>
      </c>
      <c r="BO8" s="580"/>
      <c r="BP8" s="626"/>
      <c r="BQ8" s="242" t="s">
        <v>159</v>
      </c>
      <c r="BR8" s="480">
        <v>34</v>
      </c>
      <c r="BS8" s="297">
        <v>92</v>
      </c>
      <c r="BT8" s="298">
        <v>15</v>
      </c>
      <c r="BU8" s="303">
        <f t="shared" si="7"/>
        <v>107</v>
      </c>
    </row>
    <row r="9" spans="2:73">
      <c r="B9" s="355" t="s">
        <v>195</v>
      </c>
      <c r="C9" s="355" t="s">
        <v>119</v>
      </c>
      <c r="D9" s="405">
        <f>(21*60)/(W5+X5)*$E$2*V5*$E$3</f>
        <v>2634.5652549697497</v>
      </c>
      <c r="E9" s="393">
        <v>894</v>
      </c>
      <c r="F9" s="393">
        <v>910</v>
      </c>
      <c r="G9" s="420">
        <f t="shared" si="3"/>
        <v>1.0178970917225951</v>
      </c>
      <c r="H9" s="394">
        <f t="shared" si="0"/>
        <v>0.3393349237843285</v>
      </c>
      <c r="I9" s="394">
        <f t="shared" si="4"/>
        <v>0.34540803203997644</v>
      </c>
      <c r="J9" s="399" t="s">
        <v>191</v>
      </c>
      <c r="L9" s="136" t="s">
        <v>223</v>
      </c>
      <c r="M9" s="58" t="s">
        <v>83</v>
      </c>
      <c r="N9" s="9">
        <f>Q22*E2</f>
        <v>12096</v>
      </c>
      <c r="O9" s="9">
        <v>8400</v>
      </c>
      <c r="P9" s="25">
        <f t="shared" si="8"/>
        <v>0.69444444444444442</v>
      </c>
      <c r="Q9" s="148" t="s">
        <v>222</v>
      </c>
      <c r="S9" s="559" t="s">
        <v>204</v>
      </c>
      <c r="T9" s="635" t="s">
        <v>224</v>
      </c>
      <c r="U9" s="247" t="s">
        <v>114</v>
      </c>
      <c r="V9" s="483">
        <v>10</v>
      </c>
      <c r="W9" s="290">
        <v>72</v>
      </c>
      <c r="X9" s="115">
        <f t="shared" si="9"/>
        <v>7.2</v>
      </c>
      <c r="Y9" s="310">
        <f t="shared" si="10"/>
        <v>79.2</v>
      </c>
      <c r="AB9" s="210"/>
      <c r="AC9" s="221"/>
      <c r="AD9" s="206"/>
      <c r="AE9" s="207"/>
      <c r="AF9" s="205"/>
      <c r="AG9" s="205"/>
      <c r="AI9" s="633" t="s">
        <v>225</v>
      </c>
      <c r="AJ9" s="635" t="s">
        <v>83</v>
      </c>
      <c r="AK9" s="230" t="s">
        <v>114</v>
      </c>
      <c r="AL9" s="483">
        <v>10</v>
      </c>
      <c r="AM9" s="290">
        <v>36</v>
      </c>
      <c r="AN9" s="295">
        <v>10</v>
      </c>
      <c r="AO9" s="218">
        <f>AM9+AN9</f>
        <v>46</v>
      </c>
      <c r="AQ9" s="673"/>
      <c r="AR9" s="677" t="s">
        <v>142</v>
      </c>
      <c r="AS9" s="119" t="s">
        <v>114</v>
      </c>
      <c r="AT9" s="488">
        <v>18</v>
      </c>
      <c r="AU9" s="121">
        <v>75</v>
      </c>
      <c r="AV9" s="122">
        <v>15</v>
      </c>
      <c r="AW9" s="222">
        <f t="shared" si="11"/>
        <v>90</v>
      </c>
      <c r="AY9" s="650"/>
      <c r="AZ9" s="627" t="s">
        <v>81</v>
      </c>
      <c r="BA9" s="242" t="s">
        <v>114</v>
      </c>
      <c r="BB9" s="480">
        <v>18</v>
      </c>
      <c r="BC9" s="297">
        <v>54</v>
      </c>
      <c r="BD9" s="298">
        <v>15</v>
      </c>
      <c r="BE9" s="384">
        <f t="shared" ref="BE9:BE21" si="13">BC9+BD9</f>
        <v>69</v>
      </c>
      <c r="BH9" s="210"/>
      <c r="BI9" s="221"/>
      <c r="BJ9" s="206"/>
      <c r="BK9" s="207"/>
      <c r="BL9" s="205"/>
      <c r="BM9" s="205"/>
      <c r="BO9" s="580"/>
      <c r="BP9" s="642" t="s">
        <v>226</v>
      </c>
      <c r="BQ9" s="119" t="s">
        <v>116</v>
      </c>
      <c r="BR9" s="480">
        <v>42</v>
      </c>
      <c r="BS9" s="297">
        <v>101</v>
      </c>
      <c r="BT9" s="298">
        <v>15</v>
      </c>
      <c r="BU9" s="303">
        <f t="shared" si="7"/>
        <v>116</v>
      </c>
    </row>
    <row r="10" spans="2:73" ht="13.5" thickBot="1">
      <c r="B10" s="355" t="s">
        <v>227</v>
      </c>
      <c r="C10" s="355" t="s">
        <v>72</v>
      </c>
      <c r="D10" s="405">
        <f>(21*60)/(W15+X15)*$E$2*V15*$E$3</f>
        <v>3126.3507692307694</v>
      </c>
      <c r="E10" s="393">
        <v>1320</v>
      </c>
      <c r="F10" s="393">
        <v>1458</v>
      </c>
      <c r="G10" s="420">
        <f t="shared" si="3"/>
        <v>1.1045454545454545</v>
      </c>
      <c r="H10" s="394">
        <f t="shared" si="0"/>
        <v>0.42221749811035525</v>
      </c>
      <c r="I10" s="394">
        <f t="shared" si="4"/>
        <v>0.46635841836734693</v>
      </c>
      <c r="J10" s="399" t="s">
        <v>191</v>
      </c>
      <c r="L10" s="135" t="s">
        <v>228</v>
      </c>
      <c r="M10" s="58" t="s">
        <v>229</v>
      </c>
      <c r="N10" s="9">
        <f>Q23*E2</f>
        <v>2371.7647058823532</v>
      </c>
      <c r="O10" s="9">
        <f>1140+630+470</f>
        <v>2240</v>
      </c>
      <c r="P10" s="249">
        <f t="shared" si="8"/>
        <v>0.94444444444444431</v>
      </c>
      <c r="Q10" s="149" t="s">
        <v>222</v>
      </c>
      <c r="S10" s="559"/>
      <c r="T10" s="646"/>
      <c r="U10" s="231" t="s">
        <v>115</v>
      </c>
      <c r="V10" s="484">
        <v>10</v>
      </c>
      <c r="W10" s="273">
        <v>87</v>
      </c>
      <c r="X10" s="245">
        <f t="shared" si="9"/>
        <v>8.6999999999999993</v>
      </c>
      <c r="Y10" s="307">
        <f t="shared" si="10"/>
        <v>95.7</v>
      </c>
      <c r="AB10" s="209"/>
      <c r="AC10" s="202"/>
      <c r="AD10" s="206"/>
      <c r="AE10" s="207"/>
      <c r="AF10" s="205"/>
      <c r="AG10" s="205"/>
      <c r="AI10" s="673"/>
      <c r="AJ10" s="646"/>
      <c r="AK10" s="107" t="s">
        <v>115</v>
      </c>
      <c r="AL10" s="485">
        <v>6</v>
      </c>
      <c r="AM10" s="273"/>
      <c r="AN10" s="294">
        <v>0</v>
      </c>
      <c r="AO10" s="219">
        <f>AM10+AN10</f>
        <v>0</v>
      </c>
      <c r="AQ10" s="634"/>
      <c r="AR10" s="678"/>
      <c r="AS10" s="226" t="s">
        <v>115</v>
      </c>
      <c r="AT10" s="489">
        <v>14</v>
      </c>
      <c r="AU10" s="228">
        <v>75</v>
      </c>
      <c r="AV10" s="229">
        <v>15</v>
      </c>
      <c r="AW10" s="220">
        <f>AU10+AV10</f>
        <v>90</v>
      </c>
      <c r="AY10" s="659"/>
      <c r="AZ10" s="629"/>
      <c r="BA10" s="85" t="s">
        <v>115</v>
      </c>
      <c r="BB10" s="485">
        <v>16</v>
      </c>
      <c r="BC10" s="273">
        <v>61</v>
      </c>
      <c r="BD10" s="294">
        <v>15</v>
      </c>
      <c r="BE10" s="219">
        <f t="shared" si="13"/>
        <v>76</v>
      </c>
      <c r="BH10" s="209"/>
      <c r="BI10" s="202"/>
      <c r="BJ10" s="206"/>
      <c r="BK10" s="207"/>
      <c r="BL10" s="205"/>
      <c r="BM10" s="205"/>
      <c r="BO10" s="580"/>
      <c r="BP10" s="643"/>
      <c r="BQ10" s="113" t="s">
        <v>135</v>
      </c>
      <c r="BR10" s="484">
        <v>42</v>
      </c>
      <c r="BS10" s="305">
        <v>101</v>
      </c>
      <c r="BT10" s="306">
        <v>15</v>
      </c>
      <c r="BU10" s="307">
        <f>BS10+BT10</f>
        <v>116</v>
      </c>
    </row>
    <row r="11" spans="2:73">
      <c r="B11" s="355" t="s">
        <v>230</v>
      </c>
      <c r="C11" s="401" t="s">
        <v>134</v>
      </c>
      <c r="D11" s="405">
        <f>(21*60)/(BS18+BT18)*$E$2*BR18*E3</f>
        <v>6756.5093378607799</v>
      </c>
      <c r="E11" s="393">
        <v>104</v>
      </c>
      <c r="F11" s="393">
        <v>1228</v>
      </c>
      <c r="G11" s="420">
        <f t="shared" si="3"/>
        <v>11.807692307692308</v>
      </c>
      <c r="H11" s="394">
        <f t="shared" si="0"/>
        <v>1.5392563644843283E-2</v>
      </c>
      <c r="I11" s="394">
        <f t="shared" si="4"/>
        <v>0.1817506553448803</v>
      </c>
      <c r="J11" s="396" t="s">
        <v>231</v>
      </c>
      <c r="L11" s="175" t="s">
        <v>232</v>
      </c>
      <c r="M11" s="179" t="s">
        <v>233</v>
      </c>
      <c r="N11" s="176">
        <f>Q26*E2</f>
        <v>29767.5</v>
      </c>
      <c r="O11" s="176">
        <f>1900+1130+1800+3500+3200+3200</f>
        <v>14730</v>
      </c>
      <c r="P11" s="177">
        <f t="shared" si="8"/>
        <v>0.49483497102544721</v>
      </c>
      <c r="Q11" s="178" t="s">
        <v>234</v>
      </c>
      <c r="S11" s="559" t="s">
        <v>209</v>
      </c>
      <c r="T11" s="635" t="s">
        <v>39</v>
      </c>
      <c r="U11" s="230" t="s">
        <v>114</v>
      </c>
      <c r="V11" s="483">
        <v>12</v>
      </c>
      <c r="W11" s="290">
        <v>70</v>
      </c>
      <c r="X11" s="115">
        <f t="shared" si="9"/>
        <v>5.833333333333333</v>
      </c>
      <c r="Y11" s="310">
        <f>W11+X11</f>
        <v>75.833333333333329</v>
      </c>
      <c r="Z11" s="237" t="s">
        <v>235</v>
      </c>
      <c r="AB11" s="210"/>
      <c r="AC11" s="202"/>
      <c r="AD11" s="206"/>
      <c r="AE11" s="207"/>
      <c r="AF11" s="205"/>
      <c r="AG11" s="205"/>
      <c r="AI11" s="649" t="s">
        <v>236</v>
      </c>
      <c r="AJ11" s="246" t="s">
        <v>237</v>
      </c>
      <c r="AK11" s="230" t="s">
        <v>143</v>
      </c>
      <c r="AL11" s="483">
        <v>12</v>
      </c>
      <c r="AM11" s="290">
        <v>42</v>
      </c>
      <c r="AN11" s="295">
        <v>10</v>
      </c>
      <c r="AO11" s="218">
        <f>AM11+AN11</f>
        <v>52</v>
      </c>
      <c r="AR11" s="210"/>
      <c r="AS11" s="202"/>
      <c r="AT11" s="206"/>
      <c r="AU11" s="207"/>
      <c r="AV11" s="205"/>
      <c r="AW11" s="205"/>
      <c r="AY11" s="633" t="s">
        <v>238</v>
      </c>
      <c r="AZ11" s="635" t="s">
        <v>113</v>
      </c>
      <c r="BA11" s="230" t="s">
        <v>114</v>
      </c>
      <c r="BB11" s="483">
        <v>16</v>
      </c>
      <c r="BC11" s="290">
        <v>39</v>
      </c>
      <c r="BD11" s="295">
        <v>15</v>
      </c>
      <c r="BE11" s="218">
        <f t="shared" si="13"/>
        <v>54</v>
      </c>
      <c r="BH11" s="210"/>
      <c r="BI11" s="202"/>
      <c r="BJ11" s="206"/>
      <c r="BK11" s="207"/>
      <c r="BL11" s="205"/>
      <c r="BM11" s="205"/>
      <c r="BR11" s="491">
        <f>AVERAGE(BR5:BR10)</f>
        <v>39</v>
      </c>
      <c r="BS11" s="309">
        <f>AVERAGE(BS5:BS10)</f>
        <v>85</v>
      </c>
      <c r="BT11" s="309">
        <f>AVERAGE(BT5:BT10)</f>
        <v>15</v>
      </c>
      <c r="BU11" s="308"/>
    </row>
    <row r="12" spans="2:73" ht="14.25" thickBot="1">
      <c r="B12" s="355" t="s">
        <v>203</v>
      </c>
      <c r="C12" s="401" t="s">
        <v>136</v>
      </c>
      <c r="D12" s="405">
        <f>(21*60)/(BS11+BT11)*$E$2*BR11*E3</f>
        <v>8255.5199999999986</v>
      </c>
      <c r="E12" s="393">
        <v>855</v>
      </c>
      <c r="F12" s="393">
        <v>32</v>
      </c>
      <c r="G12" s="420">
        <f t="shared" si="3"/>
        <v>3.7426900584795322E-2</v>
      </c>
      <c r="H12" s="394">
        <f t="shared" si="0"/>
        <v>0.10356706785278215</v>
      </c>
      <c r="I12" s="394">
        <f t="shared" si="4"/>
        <v>3.8761943523848291E-3</v>
      </c>
      <c r="J12" s="396" t="s">
        <v>231</v>
      </c>
      <c r="L12" s="12"/>
      <c r="M12" s="13" t="s">
        <v>21</v>
      </c>
      <c r="N12" s="14">
        <f>SUM(N5:N11)</f>
        <v>70571.26470588235</v>
      </c>
      <c r="O12" s="14">
        <f>SUM(O5:O11)</f>
        <v>0</v>
      </c>
      <c r="P12" s="140">
        <f t="shared" si="8"/>
        <v>0</v>
      </c>
      <c r="Q12" s="150"/>
      <c r="S12" s="559"/>
      <c r="T12" s="646"/>
      <c r="U12" s="107" t="s">
        <v>115</v>
      </c>
      <c r="V12" s="484">
        <v>12</v>
      </c>
      <c r="W12" s="273">
        <v>92</v>
      </c>
      <c r="X12" s="108">
        <f t="shared" si="9"/>
        <v>7.666666666666667</v>
      </c>
      <c r="Y12" s="219">
        <f t="shared" si="10"/>
        <v>99.666666666666671</v>
      </c>
      <c r="AB12" s="209"/>
      <c r="AC12" s="202"/>
      <c r="AD12" s="206"/>
      <c r="AE12" s="207"/>
      <c r="AF12" s="205"/>
      <c r="AG12" s="205"/>
      <c r="AI12" s="650"/>
      <c r="AJ12" s="246" t="s">
        <v>132</v>
      </c>
      <c r="AK12" s="242" t="s">
        <v>143</v>
      </c>
      <c r="AL12" s="480">
        <v>12</v>
      </c>
      <c r="AM12" s="297">
        <v>42</v>
      </c>
      <c r="AN12" s="298">
        <v>10</v>
      </c>
      <c r="AO12" s="222">
        <f t="shared" ref="AO12:AO13" si="14">AM12+AN12</f>
        <v>52</v>
      </c>
      <c r="AR12" s="209"/>
      <c r="AS12" s="202"/>
      <c r="AT12" s="206"/>
      <c r="AU12" s="207"/>
      <c r="AV12" s="205"/>
      <c r="AW12" s="205"/>
      <c r="AY12" s="633"/>
      <c r="AZ12" s="646"/>
      <c r="BA12" s="85" t="s">
        <v>115</v>
      </c>
      <c r="BB12" s="485">
        <v>12</v>
      </c>
      <c r="BC12" s="273">
        <v>61</v>
      </c>
      <c r="BD12" s="294">
        <v>15</v>
      </c>
      <c r="BE12" s="219">
        <f t="shared" si="13"/>
        <v>76</v>
      </c>
      <c r="BH12" s="209"/>
      <c r="BI12" s="202"/>
      <c r="BJ12" s="206"/>
      <c r="BK12" s="207"/>
      <c r="BL12" s="205"/>
      <c r="BM12" s="205"/>
      <c r="BO12" s="649" t="s">
        <v>230</v>
      </c>
      <c r="BP12" s="625" t="s">
        <v>239</v>
      </c>
      <c r="BQ12" s="114" t="s">
        <v>116</v>
      </c>
      <c r="BR12" s="483">
        <v>34</v>
      </c>
      <c r="BS12" s="290">
        <v>90</v>
      </c>
      <c r="BT12" s="295">
        <v>15</v>
      </c>
      <c r="BU12" s="310">
        <f>BS12+BT12</f>
        <v>105</v>
      </c>
    </row>
    <row r="13" spans="2:73">
      <c r="B13" s="355" t="s">
        <v>240</v>
      </c>
      <c r="C13" s="401" t="s">
        <v>139</v>
      </c>
      <c r="D13" s="405">
        <f>(21*60)/(BS20+BT20)*$E$2*BR20*E3</f>
        <v>8890.56</v>
      </c>
      <c r="E13" s="393">
        <v>634</v>
      </c>
      <c r="F13" s="393"/>
      <c r="G13" s="420">
        <f t="shared" si="3"/>
        <v>0</v>
      </c>
      <c r="H13" s="394">
        <f t="shared" si="0"/>
        <v>7.1311593420436956E-2</v>
      </c>
      <c r="I13" s="394">
        <f t="shared" si="4"/>
        <v>0</v>
      </c>
      <c r="J13" s="396" t="s">
        <v>231</v>
      </c>
      <c r="O13" s="18">
        <f>SUM(O7:O11)</f>
        <v>41390</v>
      </c>
      <c r="S13" s="559" t="s">
        <v>218</v>
      </c>
      <c r="T13" s="635" t="s">
        <v>37</v>
      </c>
      <c r="U13" s="230" t="s">
        <v>114</v>
      </c>
      <c r="V13" s="483">
        <v>10</v>
      </c>
      <c r="W13" s="290">
        <v>72</v>
      </c>
      <c r="X13" s="115">
        <f t="shared" si="9"/>
        <v>7.2</v>
      </c>
      <c r="Y13" s="218">
        <f>W13+X13</f>
        <v>79.2</v>
      </c>
      <c r="Z13" s="237"/>
      <c r="AB13" s="210"/>
      <c r="AC13" s="202"/>
      <c r="AD13" s="206"/>
      <c r="AE13" s="207"/>
      <c r="AF13" s="205"/>
      <c r="AG13" s="205"/>
      <c r="AI13" s="650"/>
      <c r="AJ13" s="239" t="s">
        <v>133</v>
      </c>
      <c r="AK13" s="119" t="s">
        <v>114</v>
      </c>
      <c r="AL13" s="480"/>
      <c r="AM13" s="297"/>
      <c r="AN13" s="298">
        <v>0</v>
      </c>
      <c r="AO13" s="222">
        <f t="shared" si="14"/>
        <v>0</v>
      </c>
      <c r="AR13" s="210"/>
      <c r="AS13" s="202"/>
      <c r="AT13" s="206"/>
      <c r="AU13" s="207"/>
      <c r="AV13" s="205"/>
      <c r="AW13" s="205"/>
      <c r="AY13" s="652" t="s">
        <v>241</v>
      </c>
      <c r="AZ13" s="635" t="s">
        <v>121</v>
      </c>
      <c r="BA13" s="114" t="s">
        <v>114</v>
      </c>
      <c r="BB13" s="483">
        <v>16</v>
      </c>
      <c r="BC13" s="290">
        <v>61</v>
      </c>
      <c r="BD13" s="295">
        <v>15</v>
      </c>
      <c r="BE13" s="218">
        <f t="shared" si="13"/>
        <v>76</v>
      </c>
      <c r="BH13" s="210"/>
      <c r="BI13" s="202"/>
      <c r="BJ13" s="206"/>
      <c r="BK13" s="207"/>
      <c r="BL13" s="205"/>
      <c r="BM13" s="205"/>
      <c r="BO13" s="650"/>
      <c r="BP13" s="626"/>
      <c r="BQ13" s="119" t="s">
        <v>135</v>
      </c>
      <c r="BR13" s="480">
        <v>34</v>
      </c>
      <c r="BS13" s="297">
        <v>92</v>
      </c>
      <c r="BT13" s="298">
        <v>15</v>
      </c>
      <c r="BU13" s="303">
        <f t="shared" ref="BU13:BU16" si="15">BS13+BT13</f>
        <v>107</v>
      </c>
    </row>
    <row r="14" spans="2:73">
      <c r="B14" s="355" t="s">
        <v>198</v>
      </c>
      <c r="C14" s="401" t="s">
        <v>81</v>
      </c>
      <c r="D14" s="405">
        <f>(21*60)/(AM5+AN5)*$E$2*AL5*$E$3</f>
        <v>3780</v>
      </c>
      <c r="E14" s="393">
        <v>85</v>
      </c>
      <c r="F14" s="393">
        <v>1370</v>
      </c>
      <c r="G14" s="420">
        <f t="shared" si="3"/>
        <v>16.117647058823529</v>
      </c>
      <c r="H14" s="394">
        <f t="shared" si="0"/>
        <v>2.2486772486772486E-2</v>
      </c>
      <c r="I14" s="394">
        <f t="shared" si="4"/>
        <v>0.36243386243386244</v>
      </c>
      <c r="J14" s="396" t="s">
        <v>242</v>
      </c>
      <c r="S14" s="580"/>
      <c r="T14" s="646"/>
      <c r="U14" s="107" t="s">
        <v>115</v>
      </c>
      <c r="V14" s="484">
        <v>10</v>
      </c>
      <c r="W14" s="273">
        <v>87</v>
      </c>
      <c r="X14" s="108">
        <f t="shared" si="9"/>
        <v>8.6999999999999993</v>
      </c>
      <c r="Y14" s="219">
        <f t="shared" si="10"/>
        <v>95.7</v>
      </c>
      <c r="AB14" s="209"/>
      <c r="AC14" s="202"/>
      <c r="AD14" s="206"/>
      <c r="AE14" s="207"/>
      <c r="AF14" s="205"/>
      <c r="AG14" s="205"/>
      <c r="AI14" s="650"/>
      <c r="AJ14" s="359" t="s">
        <v>149</v>
      </c>
      <c r="AK14" s="360" t="s">
        <v>114</v>
      </c>
      <c r="AL14" s="481">
        <v>4</v>
      </c>
      <c r="AM14" s="364">
        <v>54</v>
      </c>
      <c r="AN14" s="361">
        <v>10</v>
      </c>
      <c r="AO14" s="362">
        <f t="shared" ref="AO14:AO19" si="16">AM14+AN14</f>
        <v>64</v>
      </c>
      <c r="AR14" s="209"/>
      <c r="AS14" s="202"/>
      <c r="AT14" s="206"/>
      <c r="AU14" s="207"/>
      <c r="AV14" s="205"/>
      <c r="AW14" s="205"/>
      <c r="AY14" s="653"/>
      <c r="AZ14" s="630"/>
      <c r="BA14" s="232" t="s">
        <v>115</v>
      </c>
      <c r="BB14" s="479">
        <v>12</v>
      </c>
      <c r="BC14" s="292">
        <v>61</v>
      </c>
      <c r="BD14" s="293">
        <v>15</v>
      </c>
      <c r="BE14" s="222">
        <f t="shared" si="13"/>
        <v>76</v>
      </c>
      <c r="BH14" s="209"/>
      <c r="BI14" s="202"/>
      <c r="BJ14" s="206"/>
      <c r="BK14" s="207"/>
      <c r="BL14" s="205"/>
      <c r="BM14" s="205"/>
      <c r="BO14" s="650"/>
      <c r="BP14" s="626" t="s">
        <v>243</v>
      </c>
      <c r="BQ14" s="119" t="s">
        <v>116</v>
      </c>
      <c r="BR14" s="480">
        <v>30</v>
      </c>
      <c r="BS14" s="297">
        <v>96</v>
      </c>
      <c r="BT14" s="298">
        <v>15</v>
      </c>
      <c r="BU14" s="303">
        <f t="shared" si="15"/>
        <v>111</v>
      </c>
    </row>
    <row r="15" spans="2:73">
      <c r="B15" s="355" t="s">
        <v>214</v>
      </c>
      <c r="C15" s="401" t="s">
        <v>61</v>
      </c>
      <c r="D15" s="405">
        <f>(21*60)/(AM7+AN7)*$E$2*AL7*$E$3</f>
        <v>3817.1803278688526</v>
      </c>
      <c r="E15" s="393">
        <v>116</v>
      </c>
      <c r="F15" s="393">
        <v>68</v>
      </c>
      <c r="G15" s="420">
        <f t="shared" si="3"/>
        <v>0.58620689655172409</v>
      </c>
      <c r="H15" s="394">
        <f t="shared" si="0"/>
        <v>3.0388923246066103E-2</v>
      </c>
      <c r="I15" s="394">
        <f t="shared" si="4"/>
        <v>1.7814196385624956E-2</v>
      </c>
      <c r="J15" s="396" t="s">
        <v>242</v>
      </c>
      <c r="S15" s="649" t="s">
        <v>227</v>
      </c>
      <c r="T15" s="668" t="s">
        <v>72</v>
      </c>
      <c r="U15" s="114" t="s">
        <v>114</v>
      </c>
      <c r="V15" s="479">
        <v>12</v>
      </c>
      <c r="W15" s="290">
        <v>75</v>
      </c>
      <c r="X15" s="115">
        <f t="shared" si="9"/>
        <v>6.25</v>
      </c>
      <c r="Y15" s="218">
        <f t="shared" si="10"/>
        <v>81.25</v>
      </c>
      <c r="AB15" s="210"/>
      <c r="AC15" s="202"/>
      <c r="AD15" s="206"/>
      <c r="AE15" s="207"/>
      <c r="AF15" s="205"/>
      <c r="AG15" s="205"/>
      <c r="AI15" s="650"/>
      <c r="AJ15" s="627" t="s">
        <v>150</v>
      </c>
      <c r="AK15" s="369" t="s">
        <v>115</v>
      </c>
      <c r="AL15" s="481">
        <v>3</v>
      </c>
      <c r="AM15" s="305">
        <v>37</v>
      </c>
      <c r="AN15" s="306">
        <v>10</v>
      </c>
      <c r="AO15" s="366">
        <f t="shared" si="16"/>
        <v>47</v>
      </c>
      <c r="AR15" s="210"/>
      <c r="AS15" s="202"/>
      <c r="AT15" s="206"/>
      <c r="AU15" s="207"/>
      <c r="AV15" s="205"/>
      <c r="AW15" s="205"/>
      <c r="AY15" s="653"/>
      <c r="AZ15" s="629" t="s">
        <v>37</v>
      </c>
      <c r="BA15" s="116" t="s">
        <v>114</v>
      </c>
      <c r="BB15" s="479">
        <v>8</v>
      </c>
      <c r="BC15" s="292">
        <v>61</v>
      </c>
      <c r="BD15" s="293">
        <v>15</v>
      </c>
      <c r="BE15" s="222">
        <f t="shared" si="13"/>
        <v>76</v>
      </c>
      <c r="BH15" s="210"/>
      <c r="BI15" s="202"/>
      <c r="BJ15" s="206"/>
      <c r="BK15" s="207"/>
      <c r="BL15" s="205"/>
      <c r="BM15" s="205"/>
      <c r="BO15" s="650"/>
      <c r="BP15" s="626"/>
      <c r="BQ15" s="242" t="s">
        <v>135</v>
      </c>
      <c r="BR15" s="480">
        <v>30</v>
      </c>
      <c r="BS15" s="297">
        <v>101</v>
      </c>
      <c r="BT15" s="298">
        <v>15</v>
      </c>
      <c r="BU15" s="303">
        <f t="shared" si="15"/>
        <v>116</v>
      </c>
    </row>
    <row r="16" spans="2:73" ht="13.5" thickBot="1">
      <c r="B16" s="355" t="s">
        <v>225</v>
      </c>
      <c r="C16" s="401" t="s">
        <v>83</v>
      </c>
      <c r="D16" s="405">
        <f>(21*60)/(AM9+AN9)*$E$2*AL9*$E$3</f>
        <v>4601.739130434783</v>
      </c>
      <c r="E16" s="393">
        <v>3098</v>
      </c>
      <c r="F16" s="393">
        <v>1760</v>
      </c>
      <c r="G16" s="420">
        <f t="shared" si="3"/>
        <v>0.56810845706907687</v>
      </c>
      <c r="H16" s="394">
        <f t="shared" si="0"/>
        <v>0.6732237339380196</v>
      </c>
      <c r="I16" s="394">
        <f t="shared" si="4"/>
        <v>0.38246409674981102</v>
      </c>
      <c r="J16" s="396" t="s">
        <v>242</v>
      </c>
      <c r="S16" s="651"/>
      <c r="T16" s="628"/>
      <c r="U16" s="214" t="s">
        <v>115</v>
      </c>
      <c r="V16" s="482"/>
      <c r="W16" s="216"/>
      <c r="X16" s="217"/>
      <c r="Y16" s="220">
        <f t="shared" si="10"/>
        <v>0</v>
      </c>
      <c r="AB16" s="210"/>
      <c r="AC16" s="202"/>
      <c r="AD16" s="206"/>
      <c r="AE16" s="207"/>
      <c r="AF16" s="205"/>
      <c r="AG16" s="205"/>
      <c r="AI16" s="659"/>
      <c r="AJ16" s="629"/>
      <c r="AK16" s="365" t="s">
        <v>114</v>
      </c>
      <c r="AL16" s="484">
        <v>4</v>
      </c>
      <c r="AM16" s="305">
        <v>37</v>
      </c>
      <c r="AN16" s="306">
        <v>10</v>
      </c>
      <c r="AO16" s="366">
        <f t="shared" si="16"/>
        <v>47</v>
      </c>
      <c r="AR16" s="210"/>
      <c r="AS16" s="202"/>
      <c r="AT16" s="206"/>
      <c r="AU16" s="207"/>
      <c r="AV16" s="205"/>
      <c r="AW16" s="205"/>
      <c r="AY16" s="653"/>
      <c r="AZ16" s="630"/>
      <c r="BA16" s="232" t="s">
        <v>115</v>
      </c>
      <c r="BB16" s="479">
        <v>16</v>
      </c>
      <c r="BC16" s="292">
        <v>34</v>
      </c>
      <c r="BD16" s="293">
        <v>15</v>
      </c>
      <c r="BE16" s="222">
        <f t="shared" si="13"/>
        <v>49</v>
      </c>
      <c r="BH16" s="210"/>
      <c r="BI16" s="202"/>
      <c r="BJ16" s="206"/>
      <c r="BK16" s="207"/>
      <c r="BL16" s="205"/>
      <c r="BM16" s="205"/>
      <c r="BO16" s="650"/>
      <c r="BP16" s="627" t="s">
        <v>134</v>
      </c>
      <c r="BQ16" s="119" t="s">
        <v>157</v>
      </c>
      <c r="BR16" s="480">
        <v>30</v>
      </c>
      <c r="BS16" s="297">
        <v>60</v>
      </c>
      <c r="BT16" s="298">
        <v>15</v>
      </c>
      <c r="BU16" s="303">
        <f t="shared" si="15"/>
        <v>75</v>
      </c>
    </row>
    <row r="17" spans="2:73" ht="13.5" thickBot="1">
      <c r="B17" s="355" t="s">
        <v>236</v>
      </c>
      <c r="C17" s="401" t="s">
        <v>244</v>
      </c>
      <c r="D17" s="405">
        <f>(21*60)/(AM14+AN14)*$E$2*AL14*$E$3</f>
        <v>1323</v>
      </c>
      <c r="E17" s="393">
        <v>96</v>
      </c>
      <c r="F17" s="393">
        <v>188</v>
      </c>
      <c r="G17" s="420">
        <f t="shared" si="3"/>
        <v>1.9583333333333333</v>
      </c>
      <c r="H17" s="394">
        <f t="shared" si="0"/>
        <v>7.2562358276643993E-2</v>
      </c>
      <c r="I17" s="394">
        <f t="shared" si="4"/>
        <v>0.1421012849584278</v>
      </c>
      <c r="J17" s="396" t="s">
        <v>242</v>
      </c>
      <c r="N17" s="18"/>
      <c r="T17" s="211"/>
      <c r="U17" s="202"/>
      <c r="V17" s="203"/>
      <c r="W17" s="204"/>
      <c r="X17" s="205"/>
      <c r="Y17" s="205"/>
      <c r="AB17" s="208"/>
      <c r="AC17" s="202"/>
      <c r="AD17" s="206"/>
      <c r="AE17" s="207"/>
      <c r="AF17" s="205"/>
      <c r="AG17" s="205"/>
      <c r="AI17" s="601" t="s">
        <v>245</v>
      </c>
      <c r="AJ17" s="240" t="s">
        <v>145</v>
      </c>
      <c r="AK17" s="114" t="s">
        <v>114</v>
      </c>
      <c r="AL17" s="483">
        <v>5</v>
      </c>
      <c r="AM17" s="290">
        <v>54</v>
      </c>
      <c r="AN17" s="295">
        <v>10</v>
      </c>
      <c r="AO17" s="218">
        <f t="shared" si="16"/>
        <v>64</v>
      </c>
      <c r="AR17" s="208"/>
      <c r="AS17" s="202"/>
      <c r="AT17" s="206"/>
      <c r="AU17" s="207"/>
      <c r="AV17" s="205"/>
      <c r="AW17" s="205"/>
      <c r="AY17" s="654"/>
      <c r="AZ17" s="383" t="s">
        <v>246</v>
      </c>
      <c r="BA17" s="360" t="s">
        <v>247</v>
      </c>
      <c r="BB17" s="490">
        <v>28</v>
      </c>
      <c r="BC17" s="368">
        <v>34</v>
      </c>
      <c r="BD17" s="361">
        <v>15</v>
      </c>
      <c r="BE17" s="362">
        <f t="shared" si="13"/>
        <v>49</v>
      </c>
      <c r="BO17" s="651"/>
      <c r="BP17" s="628"/>
      <c r="BQ17" s="226" t="s">
        <v>159</v>
      </c>
      <c r="BR17" s="489">
        <v>30</v>
      </c>
      <c r="BS17" s="228">
        <v>60</v>
      </c>
      <c r="BT17" s="229">
        <v>15</v>
      </c>
      <c r="BU17" s="220">
        <f>BS17+BT17</f>
        <v>75</v>
      </c>
    </row>
    <row r="18" spans="2:73" ht="13.5" thickBot="1">
      <c r="B18" s="355" t="s">
        <v>245</v>
      </c>
      <c r="C18" s="401" t="s">
        <v>145</v>
      </c>
      <c r="D18" s="405">
        <f>(21*60)/(AM17+AN17)*$E$2*AL17*$E$3</f>
        <v>1653.75</v>
      </c>
      <c r="E18" s="393">
        <v>454</v>
      </c>
      <c r="F18" s="393">
        <v>120</v>
      </c>
      <c r="G18" s="420">
        <f t="shared" si="3"/>
        <v>0.26431718061674009</v>
      </c>
      <c r="H18" s="394">
        <f t="shared" si="0"/>
        <v>0.27452758881330308</v>
      </c>
      <c r="I18" s="394">
        <f t="shared" si="4"/>
        <v>7.2562358276643993E-2</v>
      </c>
      <c r="J18" s="396" t="s">
        <v>242</v>
      </c>
      <c r="AB18" s="211"/>
      <c r="AC18" s="202"/>
      <c r="AD18" s="203"/>
      <c r="AE18" s="204"/>
      <c r="AF18" s="205"/>
      <c r="AG18" s="205"/>
      <c r="AI18" s="581"/>
      <c r="AJ18" s="235" t="s">
        <v>246</v>
      </c>
      <c r="AK18" s="231" t="s">
        <v>114</v>
      </c>
      <c r="AL18" s="479">
        <v>15</v>
      </c>
      <c r="AM18" s="273">
        <v>57</v>
      </c>
      <c r="AN18" s="294">
        <v>10</v>
      </c>
      <c r="AO18" s="219">
        <f t="shared" si="16"/>
        <v>67</v>
      </c>
      <c r="AR18" s="211"/>
      <c r="AS18" s="202"/>
      <c r="AT18" s="203"/>
      <c r="AU18" s="204"/>
      <c r="AV18" s="205"/>
      <c r="AW18" s="205"/>
      <c r="AY18" s="633" t="s">
        <v>248</v>
      </c>
      <c r="AZ18" s="635" t="s">
        <v>83</v>
      </c>
      <c r="BA18" s="230" t="s">
        <v>114</v>
      </c>
      <c r="BB18" s="483">
        <v>18</v>
      </c>
      <c r="BC18" s="290">
        <v>61</v>
      </c>
      <c r="BD18" s="295">
        <v>15</v>
      </c>
      <c r="BE18" s="218">
        <f t="shared" si="13"/>
        <v>76</v>
      </c>
      <c r="BR18" s="492">
        <f>AVERAGE(BR12:BR17)</f>
        <v>31.333333333333332</v>
      </c>
      <c r="BS18" s="234">
        <f>AVERAGE(BS12:BS17)</f>
        <v>83.166666666666671</v>
      </c>
      <c r="BT18" s="234">
        <f>AVERAGE(BT12:BT17)</f>
        <v>15</v>
      </c>
    </row>
    <row r="19" spans="2:73" ht="13.5" thickBot="1">
      <c r="B19" s="355" t="s">
        <v>249</v>
      </c>
      <c r="C19" s="401" t="s">
        <v>146</v>
      </c>
      <c r="D19" s="405">
        <f>(21*60)/(AM21+AN21)*$E$2*AL21*$E$3</f>
        <v>1323</v>
      </c>
      <c r="E19" s="393">
        <v>799</v>
      </c>
      <c r="F19" s="393">
        <v>487</v>
      </c>
      <c r="G19" s="420">
        <f t="shared" si="3"/>
        <v>0.60951188986232796</v>
      </c>
      <c r="H19" s="394">
        <f t="shared" si="0"/>
        <v>0.60393046107331827</v>
      </c>
      <c r="I19" s="394">
        <f t="shared" si="4"/>
        <v>0.36810279667422524</v>
      </c>
      <c r="J19" s="396" t="s">
        <v>242</v>
      </c>
      <c r="L19" s="3" t="s">
        <v>3</v>
      </c>
      <c r="M19" s="4" t="s">
        <v>4</v>
      </c>
      <c r="N19" s="4" t="s">
        <v>22</v>
      </c>
      <c r="O19" s="4" t="s">
        <v>187</v>
      </c>
      <c r="P19" s="26" t="s">
        <v>175</v>
      </c>
      <c r="Q19" s="1">
        <v>0.8</v>
      </c>
      <c r="AB19" s="209"/>
      <c r="AC19" s="202"/>
      <c r="AD19" s="203"/>
      <c r="AE19" s="204"/>
      <c r="AF19" s="205"/>
      <c r="AG19" s="205"/>
      <c r="AI19" s="236" t="s">
        <v>249</v>
      </c>
      <c r="AJ19" s="668" t="s">
        <v>145</v>
      </c>
      <c r="AK19" s="114" t="s">
        <v>114</v>
      </c>
      <c r="AL19" s="483">
        <v>4</v>
      </c>
      <c r="AM19" s="290">
        <v>54</v>
      </c>
      <c r="AN19" s="295">
        <v>10</v>
      </c>
      <c r="AO19" s="218">
        <f t="shared" si="16"/>
        <v>64</v>
      </c>
      <c r="AR19" s="209"/>
      <c r="AS19" s="202"/>
      <c r="AT19" s="203"/>
      <c r="AU19" s="204"/>
      <c r="AV19" s="205"/>
      <c r="AW19" s="205"/>
      <c r="AY19" s="633"/>
      <c r="AZ19" s="646"/>
      <c r="BA19" s="85" t="s">
        <v>115</v>
      </c>
      <c r="BB19" s="485">
        <v>18</v>
      </c>
      <c r="BC19" s="273">
        <v>61</v>
      </c>
      <c r="BD19" s="294">
        <v>15</v>
      </c>
      <c r="BE19" s="219">
        <f t="shared" si="13"/>
        <v>76</v>
      </c>
      <c r="BO19" s="649" t="s">
        <v>240</v>
      </c>
      <c r="BP19" s="625" t="s">
        <v>139</v>
      </c>
      <c r="BQ19" s="114" t="s">
        <v>116</v>
      </c>
      <c r="BR19" s="483">
        <v>42</v>
      </c>
      <c r="BS19" s="290">
        <v>85</v>
      </c>
      <c r="BT19" s="295">
        <v>15</v>
      </c>
      <c r="BU19" s="310">
        <f>BS19+BT19</f>
        <v>100</v>
      </c>
    </row>
    <row r="20" spans="2:73" ht="14.25" thickTop="1" thickBot="1">
      <c r="B20" s="355" t="s">
        <v>199</v>
      </c>
      <c r="C20" s="401" t="s">
        <v>58</v>
      </c>
      <c r="D20" s="405">
        <f>(21*60)/(AU5+AV5)*$E$2*AT5*$E$3</f>
        <v>4053.4468085106382</v>
      </c>
      <c r="E20" s="393">
        <v>4015</v>
      </c>
      <c r="F20" s="393">
        <v>2489</v>
      </c>
      <c r="G20" s="420">
        <f t="shared" si="3"/>
        <v>0.61992528019925275</v>
      </c>
      <c r="H20" s="394">
        <f t="shared" si="0"/>
        <v>0.99051503317376333</v>
      </c>
      <c r="I20" s="394">
        <f t="shared" si="4"/>
        <v>0.61404530948181746</v>
      </c>
      <c r="J20" s="396" t="s">
        <v>250</v>
      </c>
      <c r="L20" s="132" t="s">
        <v>210</v>
      </c>
      <c r="M20" s="133" t="s">
        <v>211</v>
      </c>
      <c r="N20" s="155">
        <v>22</v>
      </c>
      <c r="O20" s="155">
        <v>5</v>
      </c>
      <c r="P20" s="156">
        <v>12</v>
      </c>
      <c r="Q20" s="159">
        <f>60*20/(N20+O20)*P20*Q19</f>
        <v>426.66666666666663</v>
      </c>
      <c r="AB20" s="210"/>
      <c r="AC20" s="202"/>
      <c r="AD20" s="203"/>
      <c r="AE20" s="204"/>
      <c r="AF20" s="205"/>
      <c r="AG20" s="205"/>
      <c r="AI20" s="63"/>
      <c r="AJ20" s="641"/>
      <c r="AK20" s="242" t="s">
        <v>115</v>
      </c>
      <c r="AL20" s="480">
        <v>5</v>
      </c>
      <c r="AM20" s="297">
        <v>55</v>
      </c>
      <c r="AN20" s="298">
        <v>10</v>
      </c>
      <c r="AO20" s="222">
        <f t="shared" ref="AO20:AO25" si="17">AM20+AN20</f>
        <v>65</v>
      </c>
      <c r="AR20" s="210"/>
      <c r="AS20" s="202"/>
      <c r="AT20" s="203"/>
      <c r="AU20" s="204"/>
      <c r="AV20" s="205"/>
      <c r="AW20" s="205"/>
      <c r="AY20" s="675" t="s">
        <v>251</v>
      </c>
      <c r="AZ20" s="668" t="s">
        <v>81</v>
      </c>
      <c r="BA20" s="230" t="s">
        <v>114</v>
      </c>
      <c r="BB20" s="483">
        <v>16</v>
      </c>
      <c r="BC20" s="290">
        <v>61</v>
      </c>
      <c r="BD20" s="295">
        <v>15</v>
      </c>
      <c r="BE20" s="218">
        <f t="shared" si="13"/>
        <v>76</v>
      </c>
      <c r="BO20" s="650"/>
      <c r="BP20" s="679"/>
      <c r="BQ20" s="371" t="s">
        <v>159</v>
      </c>
      <c r="BR20" s="481">
        <v>42</v>
      </c>
      <c r="BS20" s="364">
        <v>85</v>
      </c>
      <c r="BT20" s="372">
        <v>15</v>
      </c>
      <c r="BU20" s="373">
        <f t="shared" ref="BU20" si="18">BS20+BT20</f>
        <v>100</v>
      </c>
    </row>
    <row r="21" spans="2:73">
      <c r="B21" s="355" t="s">
        <v>215</v>
      </c>
      <c r="C21" s="401" t="s">
        <v>142</v>
      </c>
      <c r="D21" s="405">
        <f>(21*60)/(AU9+AV9)*$E$2*AT9*$E$3</f>
        <v>4233.6000000000004</v>
      </c>
      <c r="E21" s="393">
        <v>272</v>
      </c>
      <c r="F21" s="393">
        <v>308</v>
      </c>
      <c r="G21" s="420">
        <f t="shared" si="3"/>
        <v>1.1323529411764706</v>
      </c>
      <c r="H21" s="394">
        <f t="shared" si="0"/>
        <v>6.4247921390778534E-2</v>
      </c>
      <c r="I21" s="394">
        <f t="shared" si="4"/>
        <v>7.2751322751322747E-2</v>
      </c>
      <c r="J21" s="396" t="s">
        <v>250</v>
      </c>
      <c r="L21" s="135" t="s">
        <v>220</v>
      </c>
      <c r="M21" s="58" t="s">
        <v>221</v>
      </c>
      <c r="N21" s="157">
        <v>10</v>
      </c>
      <c r="O21" s="157">
        <v>5</v>
      </c>
      <c r="P21" s="139">
        <v>4</v>
      </c>
      <c r="Q21" s="159">
        <f>60*20/(N21+O21)*P21*Q19</f>
        <v>256</v>
      </c>
      <c r="AB21" s="209"/>
      <c r="AC21" s="202"/>
      <c r="AD21" s="206"/>
      <c r="AE21" s="207"/>
      <c r="AF21" s="205"/>
      <c r="AG21" s="205"/>
      <c r="AI21" s="63"/>
      <c r="AJ21" s="669" t="s">
        <v>146</v>
      </c>
      <c r="AK21" s="119" t="s">
        <v>114</v>
      </c>
      <c r="AL21" s="480">
        <v>4</v>
      </c>
      <c r="AM21" s="297">
        <v>54</v>
      </c>
      <c r="AN21" s="298">
        <v>10</v>
      </c>
      <c r="AO21" s="222">
        <f t="shared" si="17"/>
        <v>64</v>
      </c>
      <c r="AR21" s="209"/>
      <c r="AS21" s="202"/>
      <c r="AT21" s="206"/>
      <c r="AU21" s="207"/>
      <c r="AV21" s="205"/>
      <c r="AW21" s="205"/>
      <c r="AY21" s="657"/>
      <c r="AZ21" s="629"/>
      <c r="BA21" s="85" t="s">
        <v>115</v>
      </c>
      <c r="BB21" s="485">
        <v>16</v>
      </c>
      <c r="BC21" s="273">
        <v>61</v>
      </c>
      <c r="BD21" s="294">
        <v>15</v>
      </c>
      <c r="BE21" s="219">
        <f t="shared" si="13"/>
        <v>76</v>
      </c>
      <c r="BH21" s="209"/>
      <c r="BI21" s="202"/>
      <c r="BJ21" s="206"/>
      <c r="BK21" s="207"/>
      <c r="BL21" s="205"/>
      <c r="BM21" s="205"/>
      <c r="BO21" s="374"/>
      <c r="BP21" s="680"/>
      <c r="BQ21" s="375"/>
      <c r="BR21" s="376"/>
      <c r="BS21" s="377"/>
      <c r="BT21" s="378"/>
      <c r="BU21" s="378"/>
    </row>
    <row r="22" spans="2:73">
      <c r="B22" s="355" t="s">
        <v>200</v>
      </c>
      <c r="C22" s="401" t="s">
        <v>81</v>
      </c>
      <c r="D22" s="405">
        <f>(21*60)/(BC9+BD9)*$E$2*BB9*$E$3</f>
        <v>5522.086956521739</v>
      </c>
      <c r="E22" s="393"/>
      <c r="F22" s="393">
        <v>1110</v>
      </c>
      <c r="G22" s="420" t="e">
        <f t="shared" si="3"/>
        <v>#DIV/0!</v>
      </c>
      <c r="H22" s="394">
        <f t="shared" si="0"/>
        <v>0</v>
      </c>
      <c r="I22" s="394">
        <f t="shared" si="4"/>
        <v>0.20101095993953139</v>
      </c>
      <c r="J22" s="396" t="s">
        <v>180</v>
      </c>
      <c r="L22" s="136" t="s">
        <v>223</v>
      </c>
      <c r="M22" s="58" t="s">
        <v>83</v>
      </c>
      <c r="N22" s="157">
        <v>10</v>
      </c>
      <c r="O22" s="157">
        <v>5</v>
      </c>
      <c r="P22" s="139">
        <v>9</v>
      </c>
      <c r="Q22" s="159">
        <f>60*20/(N22+O22)*P22*Q19</f>
        <v>576</v>
      </c>
      <c r="AB22" s="210"/>
      <c r="AC22" s="202"/>
      <c r="AD22" s="206"/>
      <c r="AE22" s="204"/>
      <c r="AF22" s="205"/>
      <c r="AG22" s="205"/>
      <c r="AI22" s="63"/>
      <c r="AJ22" s="670"/>
      <c r="AK22" s="119" t="s">
        <v>115</v>
      </c>
      <c r="AL22" s="480">
        <v>3</v>
      </c>
      <c r="AM22" s="297">
        <v>56</v>
      </c>
      <c r="AN22" s="298">
        <v>10</v>
      </c>
      <c r="AO22" s="222">
        <f t="shared" si="17"/>
        <v>66</v>
      </c>
      <c r="AR22" s="210"/>
      <c r="AS22" s="202"/>
      <c r="AT22" s="206"/>
      <c r="AU22" s="204"/>
      <c r="AV22" s="205"/>
      <c r="AW22" s="205"/>
      <c r="AZ22" s="211"/>
      <c r="BA22" s="202"/>
      <c r="BB22" s="203"/>
      <c r="BC22" s="204"/>
      <c r="BD22" s="205"/>
      <c r="BE22" s="205"/>
      <c r="BH22" s="210"/>
      <c r="BI22" s="202"/>
      <c r="BJ22" s="206"/>
      <c r="BK22" s="204"/>
      <c r="BL22" s="205"/>
      <c r="BM22" s="205"/>
      <c r="BO22" s="370"/>
      <c r="BP22" s="663"/>
      <c r="BQ22" s="379"/>
      <c r="BR22" s="380"/>
      <c r="BS22" s="381"/>
      <c r="BT22" s="382"/>
      <c r="BU22" s="382"/>
    </row>
    <row r="23" spans="2:73">
      <c r="B23" s="355" t="s">
        <v>238</v>
      </c>
      <c r="C23" s="401" t="s">
        <v>113</v>
      </c>
      <c r="D23" s="405">
        <f>(21*60)/(BC11+BD11)*$E$2*BB11*$E$3</f>
        <v>6272</v>
      </c>
      <c r="E23" s="393">
        <v>3600</v>
      </c>
      <c r="F23" s="393">
        <v>1622</v>
      </c>
      <c r="G23" s="420">
        <f t="shared" si="3"/>
        <v>0.45055555555555554</v>
      </c>
      <c r="H23" s="394">
        <f t="shared" si="0"/>
        <v>0.57397959183673475</v>
      </c>
      <c r="I23" s="394">
        <f t="shared" si="4"/>
        <v>0.25860969387755101</v>
      </c>
      <c r="J23" s="396" t="s">
        <v>180</v>
      </c>
      <c r="L23" s="135" t="s">
        <v>228</v>
      </c>
      <c r="M23" s="58" t="s">
        <v>252</v>
      </c>
      <c r="N23" s="157">
        <v>14</v>
      </c>
      <c r="O23" s="157">
        <v>3</v>
      </c>
      <c r="P23" s="139">
        <v>2</v>
      </c>
      <c r="Q23" s="159">
        <f>60*20/(N23+O23)*P23*Q19</f>
        <v>112.94117647058825</v>
      </c>
      <c r="AB23" s="208"/>
      <c r="AC23" s="202"/>
      <c r="AD23" s="203"/>
      <c r="AE23" s="204"/>
      <c r="AF23" s="205"/>
      <c r="AG23" s="205"/>
      <c r="AI23" s="63"/>
      <c r="AJ23" s="627" t="s">
        <v>149</v>
      </c>
      <c r="AK23" s="242" t="s">
        <v>98</v>
      </c>
      <c r="AL23" s="480">
        <v>3</v>
      </c>
      <c r="AM23" s="297">
        <v>41</v>
      </c>
      <c r="AN23" s="298">
        <v>10</v>
      </c>
      <c r="AO23" s="222">
        <f t="shared" si="17"/>
        <v>51</v>
      </c>
      <c r="AR23" s="208"/>
      <c r="AS23" s="202"/>
      <c r="AT23" s="203"/>
      <c r="AU23" s="204"/>
      <c r="AV23" s="205"/>
      <c r="AW23" s="205"/>
      <c r="AZ23" s="209"/>
      <c r="BA23" s="202"/>
      <c r="BB23" s="203"/>
      <c r="BC23" s="204"/>
      <c r="BD23" s="205"/>
      <c r="BE23" s="205"/>
      <c r="BH23" s="208"/>
      <c r="BI23" s="202"/>
      <c r="BJ23" s="203"/>
      <c r="BK23" s="204"/>
      <c r="BL23" s="205"/>
      <c r="BM23" s="205"/>
      <c r="BO23" s="370"/>
      <c r="BP23" s="210"/>
      <c r="BQ23" s="379"/>
      <c r="BR23" s="380"/>
      <c r="BS23" s="381"/>
      <c r="BT23" s="382"/>
      <c r="BU23" s="382"/>
    </row>
    <row r="24" spans="2:73">
      <c r="B24" s="355" t="s">
        <v>197</v>
      </c>
      <c r="C24" s="401" t="s">
        <v>34</v>
      </c>
      <c r="D24" s="405">
        <f>(21*60)/(AE6+AF6)*$E$2*AD6*$E$3</f>
        <v>2930.9538461538464</v>
      </c>
      <c r="E24" s="393">
        <v>2589</v>
      </c>
      <c r="F24" s="393">
        <v>1129</v>
      </c>
      <c r="G24" s="420">
        <f t="shared" si="3"/>
        <v>0.43607570490536884</v>
      </c>
      <c r="H24" s="394">
        <f t="shared" si="0"/>
        <v>0.88333018392542195</v>
      </c>
      <c r="I24" s="394">
        <f t="shared" si="4"/>
        <v>0.38519883261946752</v>
      </c>
      <c r="J24" s="399" t="s">
        <v>253</v>
      </c>
      <c r="L24" s="135" t="s">
        <v>254</v>
      </c>
      <c r="M24" s="16" t="s">
        <v>255</v>
      </c>
      <c r="N24" s="157">
        <v>20</v>
      </c>
      <c r="O24" s="157">
        <v>5</v>
      </c>
      <c r="P24" s="139">
        <v>16</v>
      </c>
      <c r="Q24" s="159">
        <f>60*6/(N24+O24)*P24*Q19</f>
        <v>184.32000000000002</v>
      </c>
      <c r="R24" s="1" t="s">
        <v>256</v>
      </c>
      <c r="AB24" s="209"/>
      <c r="AC24" s="202"/>
      <c r="AD24" s="206"/>
      <c r="AE24" s="207"/>
      <c r="AF24" s="205"/>
      <c r="AG24" s="205"/>
      <c r="AI24" s="63"/>
      <c r="AJ24" s="641"/>
      <c r="AK24" s="119" t="s">
        <v>115</v>
      </c>
      <c r="AL24" s="480">
        <v>4</v>
      </c>
      <c r="AM24" s="297"/>
      <c r="AN24" s="298">
        <v>0</v>
      </c>
      <c r="AO24" s="222">
        <f t="shared" si="17"/>
        <v>0</v>
      </c>
      <c r="AR24" s="209"/>
      <c r="AS24" s="202"/>
      <c r="AT24" s="206"/>
      <c r="AU24" s="207"/>
      <c r="AV24" s="205"/>
      <c r="AW24" s="205"/>
      <c r="AZ24" s="210"/>
      <c r="BA24" s="202"/>
      <c r="BB24" s="203"/>
      <c r="BC24" s="204"/>
      <c r="BD24" s="205"/>
      <c r="BE24" s="205"/>
      <c r="BH24" s="209"/>
      <c r="BI24" s="202"/>
      <c r="BJ24" s="206"/>
      <c r="BK24" s="207"/>
      <c r="BL24" s="205"/>
      <c r="BM24" s="205"/>
      <c r="BO24" s="370"/>
      <c r="BP24" s="662"/>
      <c r="BQ24" s="202"/>
      <c r="BR24" s="380"/>
      <c r="BS24" s="381"/>
      <c r="BT24" s="382"/>
      <c r="BU24" s="382"/>
    </row>
    <row r="25" spans="2:73">
      <c r="B25" s="355" t="s">
        <v>213</v>
      </c>
      <c r="C25" s="401" t="s">
        <v>142</v>
      </c>
      <c r="D25" s="405">
        <f>(21*60)/(AE7+AF7)*$E$2*AD7*$E$3</f>
        <v>2150.4</v>
      </c>
      <c r="E25" s="393"/>
      <c r="F25" s="393">
        <v>727</v>
      </c>
      <c r="G25" s="420" t="e">
        <f t="shared" si="3"/>
        <v>#DIV/0!</v>
      </c>
      <c r="H25" s="394">
        <f t="shared" si="0"/>
        <v>0</v>
      </c>
      <c r="I25" s="394">
        <f t="shared" si="4"/>
        <v>0.33807663690476192</v>
      </c>
      <c r="J25" s="399" t="s">
        <v>253</v>
      </c>
      <c r="L25" s="135" t="s">
        <v>254</v>
      </c>
      <c r="M25" s="16" t="s">
        <v>257</v>
      </c>
      <c r="N25" s="157">
        <v>25</v>
      </c>
      <c r="O25" s="157">
        <v>5</v>
      </c>
      <c r="P25" s="139">
        <v>12</v>
      </c>
      <c r="Q25" s="159">
        <f>60*8/(N25+O25)*P25*Q19</f>
        <v>153.60000000000002</v>
      </c>
      <c r="R25" s="1" t="s">
        <v>258</v>
      </c>
      <c r="AB25" s="210"/>
      <c r="AC25" s="202"/>
      <c r="AD25" s="206"/>
      <c r="AE25" s="207"/>
      <c r="AF25" s="205"/>
      <c r="AG25" s="205"/>
      <c r="AI25" s="63"/>
      <c r="AJ25" s="671" t="s">
        <v>150</v>
      </c>
      <c r="AK25" s="116" t="s">
        <v>114</v>
      </c>
      <c r="AL25" s="487">
        <v>4</v>
      </c>
      <c r="AM25" s="125"/>
      <c r="AN25" s="118">
        <v>0</v>
      </c>
      <c r="AO25" s="222">
        <f t="shared" si="17"/>
        <v>0</v>
      </c>
      <c r="AR25" s="210"/>
      <c r="AS25" s="202"/>
      <c r="AT25" s="206"/>
      <c r="AU25" s="207"/>
      <c r="AV25" s="205"/>
      <c r="AW25" s="205"/>
      <c r="AZ25" s="209"/>
      <c r="BA25" s="202"/>
      <c r="BB25" s="206"/>
      <c r="BC25" s="207"/>
      <c r="BD25" s="205"/>
      <c r="BE25" s="205"/>
      <c r="BH25" s="210"/>
      <c r="BI25" s="202"/>
      <c r="BJ25" s="206"/>
      <c r="BK25" s="207"/>
      <c r="BL25" s="205"/>
      <c r="BM25" s="205"/>
      <c r="BO25" s="370"/>
      <c r="BP25" s="663"/>
      <c r="BQ25" s="202"/>
      <c r="BR25" s="206"/>
      <c r="BS25" s="207"/>
      <c r="BT25" s="205"/>
      <c r="BU25" s="205"/>
    </row>
    <row r="26" spans="2:73" ht="13.5" thickBot="1">
      <c r="B26" s="355" t="s">
        <v>241</v>
      </c>
      <c r="C26" s="401" t="s">
        <v>121</v>
      </c>
      <c r="D26" s="405">
        <f>(21*60)/(BC14+BD14)*$E$2*BB14*$E$3</f>
        <v>3342.3157894736842</v>
      </c>
      <c r="E26" s="393">
        <v>2687</v>
      </c>
      <c r="F26" s="393">
        <v>1805</v>
      </c>
      <c r="G26" s="420">
        <f t="shared" si="3"/>
        <v>0.67175288425753632</v>
      </c>
      <c r="H26" s="394">
        <f t="shared" si="0"/>
        <v>0.80393361048122958</v>
      </c>
      <c r="I26" s="394">
        <f t="shared" si="4"/>
        <v>0.54004472159234063</v>
      </c>
      <c r="J26" s="396" t="s">
        <v>180</v>
      </c>
      <c r="L26" s="180" t="s">
        <v>232</v>
      </c>
      <c r="M26" s="181" t="s">
        <v>233</v>
      </c>
      <c r="N26" s="153">
        <v>22</v>
      </c>
      <c r="O26" s="153">
        <v>10</v>
      </c>
      <c r="P26" s="154">
        <v>45</v>
      </c>
      <c r="Q26" s="159">
        <f>60*21/(N26+O26)*P26*Q19</f>
        <v>1417.5</v>
      </c>
      <c r="AB26" s="208"/>
      <c r="AC26" s="202"/>
      <c r="AD26" s="206"/>
      <c r="AE26" s="204"/>
      <c r="AF26" s="205"/>
      <c r="AG26" s="205"/>
      <c r="AI26" s="12"/>
      <c r="AJ26" s="672"/>
      <c r="AK26" s="214" t="s">
        <v>115</v>
      </c>
      <c r="AL26" s="486">
        <v>3</v>
      </c>
      <c r="AM26" s="225"/>
      <c r="AN26" s="217">
        <v>0</v>
      </c>
      <c r="AO26" s="220">
        <f>AM26+AN26</f>
        <v>0</v>
      </c>
      <c r="AR26" s="208"/>
      <c r="AS26" s="202"/>
      <c r="AT26" s="206"/>
      <c r="AU26" s="204"/>
      <c r="AV26" s="205"/>
      <c r="AW26" s="205"/>
      <c r="AZ26" s="210"/>
      <c r="BA26" s="202"/>
      <c r="BB26" s="206"/>
      <c r="BC26" s="204"/>
      <c r="BD26" s="205"/>
      <c r="BE26" s="205"/>
      <c r="BH26" s="208"/>
      <c r="BI26" s="202"/>
      <c r="BJ26" s="206"/>
      <c r="BK26" s="204"/>
      <c r="BL26" s="205"/>
      <c r="BM26" s="205"/>
      <c r="BP26" s="211"/>
      <c r="BQ26" s="202"/>
      <c r="BR26" s="206"/>
      <c r="BS26" s="204"/>
      <c r="BT26" s="205"/>
      <c r="BU26" s="205"/>
    </row>
    <row r="27" spans="2:73">
      <c r="B27" s="355" t="s">
        <v>248</v>
      </c>
      <c r="C27" s="401" t="s">
        <v>83</v>
      </c>
      <c r="D27" s="405">
        <f>(21*60)/(BC18+BD18)*$E$2*BB18*$E$3</f>
        <v>5013.4736842105267</v>
      </c>
      <c r="E27" s="393"/>
      <c r="F27" s="393"/>
      <c r="G27" s="420" t="e">
        <f t="shared" si="3"/>
        <v>#DIV/0!</v>
      </c>
      <c r="H27" s="394">
        <f t="shared" si="0"/>
        <v>0</v>
      </c>
      <c r="I27" s="394">
        <f t="shared" si="4"/>
        <v>0</v>
      </c>
      <c r="J27" s="396" t="s">
        <v>180</v>
      </c>
      <c r="AB27" s="211"/>
      <c r="AC27" s="202"/>
      <c r="AD27" s="206"/>
      <c r="AE27" s="204"/>
      <c r="AF27" s="205"/>
      <c r="AG27" s="205"/>
      <c r="AR27" s="211"/>
      <c r="AS27" s="202"/>
      <c r="AT27" s="206"/>
      <c r="AU27" s="204"/>
      <c r="AV27" s="205"/>
      <c r="AW27" s="205"/>
      <c r="AZ27" s="208"/>
      <c r="BA27" s="202"/>
      <c r="BB27" s="203"/>
      <c r="BC27" s="204"/>
      <c r="BD27" s="205"/>
      <c r="BE27" s="205"/>
      <c r="BH27" s="211"/>
      <c r="BI27" s="202"/>
      <c r="BJ27" s="206"/>
      <c r="BK27" s="204"/>
      <c r="BL27" s="205"/>
      <c r="BM27" s="205"/>
      <c r="BP27" s="208"/>
      <c r="BQ27" s="202"/>
      <c r="BR27" s="206"/>
      <c r="BS27" s="204"/>
      <c r="BT27" s="205"/>
      <c r="BU27" s="205"/>
    </row>
    <row r="28" spans="2:73">
      <c r="B28" s="355" t="s">
        <v>251</v>
      </c>
      <c r="C28" s="401" t="s">
        <v>81</v>
      </c>
      <c r="D28" s="405">
        <f>(21*60)/(BC20+BD20)*$E$2*BB20*$E$3</f>
        <v>4456.4210526315792</v>
      </c>
      <c r="E28" s="393"/>
      <c r="F28" s="393"/>
      <c r="G28" s="420" t="e">
        <f t="shared" si="3"/>
        <v>#DIV/0!</v>
      </c>
      <c r="H28" s="394">
        <f t="shared" si="0"/>
        <v>0</v>
      </c>
      <c r="I28" s="394">
        <f t="shared" si="4"/>
        <v>0</v>
      </c>
      <c r="J28" s="396" t="s">
        <v>180</v>
      </c>
      <c r="M28" s="1" t="s">
        <v>259</v>
      </c>
      <c r="T28" s="211"/>
      <c r="U28" s="202"/>
      <c r="V28" s="206"/>
      <c r="W28" s="204"/>
      <c r="X28" s="205"/>
      <c r="Y28" s="205"/>
      <c r="AB28" s="208"/>
      <c r="AC28" s="202"/>
      <c r="AD28" s="206"/>
      <c r="AE28" s="204"/>
      <c r="AF28" s="205"/>
      <c r="AG28" s="205"/>
      <c r="AR28" s="208"/>
      <c r="AS28" s="202"/>
      <c r="AT28" s="206"/>
      <c r="AU28" s="204"/>
      <c r="AV28" s="205"/>
      <c r="AW28" s="205"/>
      <c r="AZ28" s="209"/>
      <c r="BA28" s="202"/>
      <c r="BB28" s="206"/>
      <c r="BC28" s="207"/>
      <c r="BD28" s="205"/>
      <c r="BE28" s="205"/>
      <c r="BH28" s="208"/>
      <c r="BI28" s="202"/>
      <c r="BJ28" s="206"/>
      <c r="BK28" s="204"/>
      <c r="BL28" s="205"/>
      <c r="BM28" s="205"/>
      <c r="BP28" s="211"/>
      <c r="BQ28" s="202"/>
      <c r="BR28" s="206"/>
      <c r="BS28" s="204"/>
      <c r="BT28" s="205"/>
      <c r="BU28" s="205"/>
    </row>
    <row r="29" spans="2:73" ht="13.5">
      <c r="B29" s="355"/>
      <c r="C29" s="404" t="s">
        <v>21</v>
      </c>
      <c r="D29" s="393">
        <f>SUM(D5:D28)</f>
        <v>96181.650580244575</v>
      </c>
      <c r="E29" s="393">
        <f>SUM(E5:E28)</f>
        <v>25564</v>
      </c>
      <c r="F29" s="393">
        <f>SUM(F5:F28)</f>
        <v>20232</v>
      </c>
      <c r="G29" s="420">
        <f t="shared" si="3"/>
        <v>0.7914254420278517</v>
      </c>
      <c r="H29" s="388">
        <f t="shared" si="0"/>
        <v>0.26578874292318255</v>
      </c>
      <c r="I29" s="394">
        <f t="shared" si="4"/>
        <v>0.21035197335400679</v>
      </c>
      <c r="J29" s="355"/>
      <c r="S29" s="665"/>
      <c r="T29" s="667"/>
      <c r="U29" s="202"/>
      <c r="V29" s="206"/>
      <c r="W29" s="207"/>
      <c r="X29" s="205"/>
      <c r="Y29" s="205"/>
      <c r="AB29" s="211"/>
      <c r="AC29" s="202"/>
      <c r="AD29" s="206"/>
      <c r="AE29" s="204"/>
      <c r="AF29" s="205"/>
      <c r="AG29" s="205"/>
      <c r="AR29" s="211"/>
      <c r="AS29" s="202"/>
      <c r="AT29" s="206"/>
      <c r="AU29" s="204"/>
      <c r="AV29" s="205"/>
      <c r="AW29" s="205"/>
      <c r="AZ29" s="210"/>
      <c r="BA29" s="202"/>
      <c r="BB29" s="206"/>
      <c r="BC29" s="207"/>
      <c r="BD29" s="205"/>
      <c r="BE29" s="205"/>
      <c r="BH29" s="211"/>
      <c r="BI29" s="202"/>
      <c r="BJ29" s="206"/>
      <c r="BK29" s="204"/>
      <c r="BL29" s="205"/>
      <c r="BM29" s="205"/>
      <c r="BP29" s="208"/>
      <c r="BQ29" s="202"/>
      <c r="BR29" s="206"/>
      <c r="BS29" s="207"/>
      <c r="BT29" s="205"/>
      <c r="BU29" s="205"/>
    </row>
    <row r="30" spans="2:73" ht="13.5" customHeight="1">
      <c r="C30" s="17"/>
      <c r="D30" s="18"/>
      <c r="E30" s="18"/>
      <c r="F30" s="18"/>
      <c r="G30" s="18"/>
      <c r="H30" s="19"/>
      <c r="I30" s="19"/>
      <c r="S30" s="666"/>
      <c r="T30" s="664"/>
      <c r="U30" s="202"/>
      <c r="V30" s="206"/>
      <c r="W30" s="204"/>
      <c r="X30" s="205"/>
      <c r="Y30" s="205"/>
      <c r="AB30" s="208"/>
      <c r="AC30" s="202"/>
      <c r="AD30" s="206"/>
      <c r="AE30" s="207"/>
      <c r="AF30" s="205"/>
      <c r="AG30" s="205"/>
      <c r="AR30" s="208"/>
      <c r="AS30" s="202"/>
      <c r="AT30" s="206"/>
      <c r="AU30" s="207"/>
      <c r="AV30" s="205"/>
      <c r="AW30" s="205"/>
      <c r="AZ30" s="208"/>
      <c r="BA30" s="202"/>
      <c r="BB30" s="206"/>
      <c r="BC30" s="204"/>
      <c r="BD30" s="205"/>
      <c r="BE30" s="205"/>
      <c r="BH30" s="208"/>
      <c r="BI30" s="202"/>
      <c r="BJ30" s="206"/>
      <c r="BK30" s="207"/>
      <c r="BL30" s="205"/>
      <c r="BM30" s="205"/>
      <c r="BP30" s="211"/>
      <c r="BQ30" s="202"/>
      <c r="BR30" s="206"/>
      <c r="BS30" s="204"/>
      <c r="BT30" s="205"/>
      <c r="BU30" s="205"/>
    </row>
    <row r="31" spans="2:73" ht="13.5" thickBot="1">
      <c r="S31" s="665"/>
      <c r="T31" s="208"/>
      <c r="U31" s="202"/>
      <c r="V31" s="203"/>
      <c r="W31" s="204"/>
      <c r="X31" s="205"/>
      <c r="Y31" s="205"/>
      <c r="AB31" s="211"/>
      <c r="AC31" s="202"/>
      <c r="AD31" s="206"/>
      <c r="AE31" s="204"/>
      <c r="AF31" s="205"/>
      <c r="AG31" s="205"/>
      <c r="AR31" s="211"/>
      <c r="AS31" s="202"/>
      <c r="AT31" s="206"/>
      <c r="AU31" s="204"/>
      <c r="AV31" s="205"/>
      <c r="AW31" s="205"/>
      <c r="AZ31" s="211"/>
      <c r="BA31" s="202"/>
      <c r="BB31" s="206"/>
      <c r="BC31" s="204"/>
      <c r="BD31" s="205"/>
      <c r="BE31" s="205"/>
      <c r="BH31" s="211"/>
      <c r="BI31" s="202"/>
      <c r="BJ31" s="206"/>
      <c r="BK31" s="204"/>
      <c r="BL31" s="205"/>
      <c r="BM31" s="205"/>
      <c r="BP31" s="208"/>
      <c r="BQ31" s="202"/>
      <c r="BR31" s="203"/>
      <c r="BS31" s="204"/>
      <c r="BT31" s="205"/>
      <c r="BU31" s="205"/>
    </row>
    <row r="32" spans="2:73" ht="45.75" customHeight="1" thickBot="1">
      <c r="L32" s="3" t="s">
        <v>3</v>
      </c>
      <c r="M32" s="4" t="s">
        <v>4</v>
      </c>
      <c r="N32" s="5" t="s">
        <v>29</v>
      </c>
      <c r="O32" s="5" t="s">
        <v>183</v>
      </c>
      <c r="P32" s="24" t="s">
        <v>9</v>
      </c>
      <c r="Q32" s="24" t="s">
        <v>11</v>
      </c>
      <c r="S32" s="666"/>
      <c r="T32" s="208"/>
      <c r="U32" s="202"/>
      <c r="V32" s="203"/>
      <c r="W32" s="204"/>
      <c r="X32" s="205"/>
      <c r="Y32" s="205"/>
      <c r="AB32" s="208"/>
      <c r="AC32" s="202"/>
      <c r="AD32" s="203"/>
      <c r="AE32" s="204"/>
      <c r="AF32" s="205"/>
      <c r="AG32" s="205"/>
      <c r="AJ32" s="208"/>
      <c r="AK32" s="202"/>
      <c r="AL32" s="203"/>
      <c r="AM32" s="204"/>
      <c r="AN32" s="205"/>
      <c r="AO32" s="205"/>
      <c r="AR32" s="208"/>
      <c r="AS32" s="202"/>
      <c r="AT32" s="203"/>
      <c r="AU32" s="204"/>
      <c r="AV32" s="205"/>
      <c r="AW32" s="205"/>
      <c r="AZ32" s="208"/>
      <c r="BA32" s="202"/>
      <c r="BB32" s="206"/>
      <c r="BC32" s="204"/>
      <c r="BD32" s="205"/>
      <c r="BE32" s="205"/>
      <c r="BH32" s="208"/>
      <c r="BI32" s="202"/>
      <c r="BJ32" s="203"/>
      <c r="BK32" s="204"/>
      <c r="BL32" s="205"/>
      <c r="BM32" s="205"/>
      <c r="BP32" s="208"/>
      <c r="BQ32" s="202"/>
      <c r="BR32" s="203"/>
      <c r="BS32" s="204"/>
      <c r="BT32" s="205"/>
      <c r="BU32" s="205"/>
    </row>
    <row r="33" spans="3:73" ht="14.25" thickTop="1">
      <c r="C33" s="17"/>
      <c r="D33" s="18"/>
      <c r="E33" s="18"/>
      <c r="F33" s="18"/>
      <c r="G33" s="18"/>
      <c r="H33" s="19"/>
      <c r="I33" s="19"/>
      <c r="L33" s="135" t="s">
        <v>260</v>
      </c>
      <c r="M33" s="16" t="s">
        <v>261</v>
      </c>
      <c r="N33" s="16"/>
      <c r="O33" s="9"/>
      <c r="P33" s="25"/>
      <c r="Q33" s="152" t="s">
        <v>262</v>
      </c>
      <c r="S33" s="666"/>
      <c r="T33" s="208"/>
      <c r="U33" s="202"/>
      <c r="V33" s="203"/>
      <c r="W33" s="204"/>
      <c r="X33" s="205"/>
      <c r="Y33" s="205"/>
      <c r="AB33" s="208"/>
      <c r="AC33" s="202"/>
      <c r="AD33" s="203"/>
      <c r="AE33" s="204"/>
      <c r="AF33" s="205"/>
      <c r="AG33" s="205"/>
      <c r="AJ33" s="208"/>
      <c r="AK33" s="202"/>
      <c r="AL33" s="203"/>
      <c r="AM33" s="204"/>
      <c r="AN33" s="205"/>
      <c r="AO33" s="205"/>
      <c r="AR33" s="208"/>
      <c r="AS33" s="202"/>
      <c r="AT33" s="203"/>
      <c r="AU33" s="204"/>
      <c r="AV33" s="205"/>
      <c r="AW33" s="205"/>
      <c r="AZ33" s="211"/>
      <c r="BA33" s="202"/>
      <c r="BB33" s="206"/>
      <c r="BC33" s="204"/>
      <c r="BD33" s="205"/>
      <c r="BE33" s="205"/>
      <c r="BH33" s="208"/>
      <c r="BI33" s="202"/>
      <c r="BJ33" s="203"/>
      <c r="BK33" s="204"/>
      <c r="BL33" s="205"/>
      <c r="BM33" s="205"/>
      <c r="BP33" s="208"/>
      <c r="BQ33" s="202"/>
      <c r="BR33" s="203"/>
      <c r="BS33" s="204"/>
      <c r="BT33" s="205"/>
      <c r="BU33" s="205"/>
    </row>
    <row r="34" spans="3:73">
      <c r="D34" s="18"/>
      <c r="E34" s="18"/>
      <c r="F34" s="18"/>
      <c r="G34" s="18"/>
      <c r="L34" s="135" t="s">
        <v>263</v>
      </c>
      <c r="M34" s="16" t="s">
        <v>261</v>
      </c>
      <c r="N34" s="16"/>
      <c r="O34" s="16"/>
      <c r="P34" s="25"/>
      <c r="Q34" s="152" t="s">
        <v>264</v>
      </c>
      <c r="S34" s="666"/>
      <c r="T34" s="208"/>
      <c r="U34" s="202"/>
      <c r="V34" s="203"/>
      <c r="W34" s="204"/>
      <c r="X34" s="205"/>
      <c r="Y34" s="205"/>
      <c r="AB34" s="208"/>
      <c r="AC34" s="202"/>
      <c r="AD34" s="203"/>
      <c r="AE34" s="204"/>
      <c r="AF34" s="205"/>
      <c r="AG34" s="205"/>
      <c r="AJ34" s="208"/>
      <c r="AK34" s="202"/>
      <c r="AL34" s="203"/>
      <c r="AM34" s="204"/>
      <c r="AN34" s="205"/>
      <c r="AO34" s="205"/>
      <c r="AR34" s="208"/>
      <c r="AS34" s="202"/>
      <c r="AT34" s="203"/>
      <c r="AU34" s="204"/>
      <c r="AV34" s="205"/>
      <c r="AW34" s="205"/>
      <c r="AZ34" s="208"/>
      <c r="BA34" s="202"/>
      <c r="BB34" s="206"/>
      <c r="BC34" s="207"/>
      <c r="BD34" s="205"/>
      <c r="BE34" s="205"/>
      <c r="BH34" s="208"/>
      <c r="BI34" s="202"/>
      <c r="BJ34" s="203"/>
      <c r="BK34" s="204"/>
      <c r="BL34" s="205"/>
      <c r="BM34" s="205"/>
      <c r="BP34" s="208"/>
      <c r="BQ34" s="202"/>
      <c r="BR34" s="203"/>
      <c r="BS34" s="204"/>
      <c r="BT34" s="205"/>
      <c r="BU34" s="205"/>
    </row>
    <row r="35" spans="3:73">
      <c r="D35" s="18"/>
      <c r="E35" s="18"/>
      <c r="F35" s="18"/>
      <c r="G35" s="18"/>
      <c r="L35" s="135" t="s">
        <v>265</v>
      </c>
      <c r="M35" s="16" t="s">
        <v>261</v>
      </c>
      <c r="N35" s="16"/>
      <c r="O35" s="16"/>
      <c r="P35" s="25"/>
      <c r="Q35" s="152" t="s">
        <v>266</v>
      </c>
      <c r="S35" s="666"/>
      <c r="T35" s="208"/>
      <c r="U35" s="202"/>
      <c r="V35" s="203"/>
      <c r="W35" s="204"/>
      <c r="X35" s="205"/>
      <c r="Y35" s="205"/>
      <c r="AB35" s="208"/>
      <c r="AC35" s="202"/>
      <c r="AD35" s="203"/>
      <c r="AE35" s="204"/>
      <c r="AF35" s="205"/>
      <c r="AG35" s="205"/>
      <c r="AJ35" s="208"/>
      <c r="AK35" s="202"/>
      <c r="AL35" s="203"/>
      <c r="AM35" s="204"/>
      <c r="AN35" s="205"/>
      <c r="AO35" s="205"/>
      <c r="AR35" s="208"/>
      <c r="AS35" s="202"/>
      <c r="AT35" s="203"/>
      <c r="AU35" s="204"/>
      <c r="AV35" s="205"/>
      <c r="AW35" s="205"/>
      <c r="AZ35" s="211"/>
      <c r="BA35" s="202"/>
      <c r="BB35" s="206"/>
      <c r="BC35" s="204"/>
      <c r="BD35" s="205"/>
      <c r="BE35" s="205"/>
      <c r="BH35" s="208"/>
      <c r="BI35" s="202"/>
      <c r="BJ35" s="203"/>
      <c r="BK35" s="204"/>
      <c r="BL35" s="205"/>
      <c r="BM35" s="205"/>
      <c r="BP35" s="208"/>
      <c r="BQ35" s="202"/>
      <c r="BR35" s="203"/>
      <c r="BS35" s="204"/>
      <c r="BT35" s="205"/>
      <c r="BU35" s="205"/>
    </row>
    <row r="36" spans="3:73">
      <c r="D36" s="18"/>
      <c r="E36" s="18"/>
      <c r="F36" s="18"/>
      <c r="G36" s="18"/>
      <c r="L36" s="135" t="s">
        <v>267</v>
      </c>
      <c r="M36" s="16" t="s">
        <v>261</v>
      </c>
      <c r="N36" s="16"/>
      <c r="O36" s="16"/>
      <c r="P36" s="25"/>
      <c r="Q36" s="152" t="s">
        <v>268</v>
      </c>
      <c r="S36" s="665"/>
      <c r="T36" s="209"/>
      <c r="U36" s="202"/>
      <c r="V36" s="206"/>
      <c r="W36" s="207"/>
      <c r="X36" s="205"/>
      <c r="Y36" s="205"/>
      <c r="AB36" s="208"/>
      <c r="AC36" s="202"/>
      <c r="AD36" s="203"/>
      <c r="AE36" s="204"/>
      <c r="AF36" s="205"/>
      <c r="AG36" s="205"/>
      <c r="AJ36" s="208"/>
      <c r="AK36" s="202"/>
      <c r="AL36" s="203"/>
      <c r="AM36" s="204"/>
      <c r="AN36" s="205"/>
      <c r="AO36" s="205"/>
      <c r="AR36" s="208"/>
      <c r="AS36" s="202"/>
      <c r="AT36" s="203"/>
      <c r="AU36" s="204"/>
      <c r="AV36" s="205"/>
      <c r="AW36" s="205"/>
      <c r="AZ36" s="208"/>
      <c r="BA36" s="202"/>
      <c r="BB36" s="203"/>
      <c r="BC36" s="204"/>
      <c r="BD36" s="205"/>
      <c r="BE36" s="205"/>
      <c r="BH36" s="208"/>
      <c r="BI36" s="202"/>
      <c r="BJ36" s="203"/>
      <c r="BK36" s="204"/>
      <c r="BL36" s="205"/>
      <c r="BM36" s="205"/>
      <c r="BP36" s="209"/>
      <c r="BQ36" s="202"/>
      <c r="BR36" s="206"/>
      <c r="BS36" s="207"/>
      <c r="BT36" s="205"/>
      <c r="BU36" s="205"/>
    </row>
    <row r="37" spans="3:73" ht="12.75" customHeight="1">
      <c r="D37" s="18"/>
      <c r="E37" s="18"/>
      <c r="F37" s="18"/>
      <c r="G37" s="18"/>
      <c r="L37" s="135" t="s">
        <v>254</v>
      </c>
      <c r="M37" s="16" t="s">
        <v>269</v>
      </c>
      <c r="N37" s="9">
        <f>(Q24+Q25)*E2</f>
        <v>7096.3200000000015</v>
      </c>
      <c r="O37" s="16"/>
      <c r="P37" s="25">
        <f>O37/N37</f>
        <v>0</v>
      </c>
      <c r="Q37" s="152" t="s">
        <v>234</v>
      </c>
      <c r="S37" s="666"/>
      <c r="T37" s="208"/>
      <c r="U37" s="202"/>
      <c r="V37" s="203"/>
      <c r="W37" s="204"/>
      <c r="X37" s="205"/>
      <c r="Y37" s="205"/>
      <c r="AB37" s="209"/>
      <c r="AC37" s="202"/>
      <c r="AD37" s="206"/>
      <c r="AE37" s="207"/>
      <c r="AF37" s="205"/>
      <c r="AG37" s="205"/>
      <c r="AJ37" s="209"/>
      <c r="AK37" s="202"/>
      <c r="AL37" s="206"/>
      <c r="AM37" s="207"/>
      <c r="AN37" s="205"/>
      <c r="AO37" s="205"/>
      <c r="AR37" s="209"/>
      <c r="AS37" s="202"/>
      <c r="AT37" s="206"/>
      <c r="AU37" s="207"/>
      <c r="AV37" s="205"/>
      <c r="AW37" s="205"/>
      <c r="AZ37" s="208"/>
      <c r="BA37" s="202"/>
      <c r="BB37" s="203"/>
      <c r="BC37" s="204"/>
      <c r="BD37" s="205"/>
      <c r="BE37" s="205"/>
      <c r="BH37" s="209"/>
      <c r="BI37" s="202"/>
      <c r="BJ37" s="206"/>
      <c r="BK37" s="207"/>
      <c r="BL37" s="205"/>
      <c r="BM37" s="205"/>
      <c r="BP37" s="208"/>
      <c r="BQ37" s="202"/>
      <c r="BR37" s="203"/>
      <c r="BS37" s="204"/>
      <c r="BT37" s="205"/>
      <c r="BU37" s="205"/>
    </row>
    <row r="38" spans="3:73" ht="13.5" thickBot="1">
      <c r="D38" s="18"/>
      <c r="E38" s="18"/>
      <c r="F38" s="18"/>
      <c r="G38" s="18"/>
      <c r="L38" s="252" t="s">
        <v>270</v>
      </c>
      <c r="M38" s="253" t="s">
        <v>261</v>
      </c>
      <c r="N38" s="253"/>
      <c r="O38" s="253"/>
      <c r="P38" s="147"/>
      <c r="Q38" s="254" t="s">
        <v>271</v>
      </c>
      <c r="S38" s="665"/>
      <c r="T38" s="667"/>
      <c r="U38" s="202"/>
      <c r="V38" s="206"/>
      <c r="W38" s="207"/>
      <c r="X38" s="205"/>
      <c r="Y38" s="205"/>
      <c r="AB38" s="208"/>
      <c r="AC38" s="202"/>
      <c r="AD38" s="203"/>
      <c r="AE38" s="204"/>
      <c r="AF38" s="205"/>
      <c r="AG38" s="205"/>
      <c r="AJ38" s="208"/>
      <c r="AK38" s="202"/>
      <c r="AL38" s="203"/>
      <c r="AM38" s="204"/>
      <c r="AN38" s="205"/>
      <c r="AO38" s="205"/>
      <c r="AR38" s="208"/>
      <c r="AS38" s="202"/>
      <c r="AT38" s="203"/>
      <c r="AU38" s="204"/>
      <c r="AV38" s="205"/>
      <c r="AW38" s="205"/>
      <c r="AZ38" s="208"/>
      <c r="BA38" s="202"/>
      <c r="BB38" s="203"/>
      <c r="BC38" s="204"/>
      <c r="BD38" s="205"/>
      <c r="BE38" s="205"/>
      <c r="BH38" s="208"/>
      <c r="BI38" s="202"/>
      <c r="BJ38" s="203"/>
      <c r="BK38" s="204"/>
      <c r="BL38" s="205"/>
      <c r="BM38" s="205"/>
      <c r="BP38" s="208"/>
      <c r="BQ38" s="202"/>
      <c r="BR38" s="206"/>
      <c r="BS38" s="207"/>
      <c r="BT38" s="205"/>
      <c r="BU38" s="205"/>
    </row>
    <row r="39" spans="3:73" ht="12.75" customHeight="1">
      <c r="D39" s="18"/>
      <c r="E39" s="18"/>
      <c r="F39" s="18"/>
      <c r="G39" s="18"/>
      <c r="S39" s="666"/>
      <c r="T39" s="664"/>
      <c r="U39" s="202"/>
      <c r="V39" s="206"/>
      <c r="W39" s="207"/>
      <c r="X39" s="205"/>
      <c r="Y39" s="205"/>
      <c r="AB39" s="208"/>
      <c r="AC39" s="202"/>
      <c r="AD39" s="206"/>
      <c r="AE39" s="207"/>
      <c r="AF39" s="205"/>
      <c r="AG39" s="205"/>
      <c r="AJ39" s="208"/>
      <c r="AK39" s="202"/>
      <c r="AL39" s="206"/>
      <c r="AM39" s="207"/>
      <c r="AN39" s="205"/>
      <c r="AO39" s="205"/>
      <c r="AR39" s="208"/>
      <c r="AS39" s="202"/>
      <c r="AT39" s="206"/>
      <c r="AU39" s="207"/>
      <c r="AV39" s="205"/>
      <c r="AW39" s="205"/>
      <c r="AZ39" s="208"/>
      <c r="BA39" s="202"/>
      <c r="BB39" s="203"/>
      <c r="BC39" s="204"/>
      <c r="BD39" s="205"/>
      <c r="BE39" s="205"/>
      <c r="BH39" s="208"/>
      <c r="BI39" s="202"/>
      <c r="BJ39" s="206"/>
      <c r="BK39" s="207"/>
      <c r="BL39" s="205"/>
      <c r="BM39" s="205"/>
      <c r="BP39" s="211"/>
      <c r="BQ39" s="202"/>
      <c r="BR39" s="206"/>
      <c r="BS39" s="207"/>
      <c r="BT39" s="205"/>
      <c r="BU39" s="205"/>
    </row>
    <row r="40" spans="3:73">
      <c r="D40" s="18"/>
      <c r="E40" s="18"/>
      <c r="F40" s="18"/>
      <c r="G40" s="18"/>
      <c r="S40" s="666"/>
      <c r="T40" s="664"/>
      <c r="U40" s="202"/>
      <c r="V40" s="206"/>
      <c r="W40" s="207"/>
      <c r="X40" s="205"/>
      <c r="Y40" s="205"/>
      <c r="AB40" s="211"/>
      <c r="AC40" s="202"/>
      <c r="AD40" s="206"/>
      <c r="AE40" s="207"/>
      <c r="AF40" s="205"/>
      <c r="AG40" s="205"/>
      <c r="AJ40" s="211"/>
      <c r="AK40" s="202"/>
      <c r="AL40" s="206"/>
      <c r="AM40" s="207"/>
      <c r="AN40" s="205"/>
      <c r="AO40" s="205"/>
      <c r="AR40" s="211"/>
      <c r="AS40" s="202"/>
      <c r="AT40" s="206"/>
      <c r="AU40" s="207"/>
      <c r="AV40" s="205"/>
      <c r="AW40" s="205"/>
      <c r="AZ40" s="208"/>
      <c r="BA40" s="202"/>
      <c r="BB40" s="203"/>
      <c r="BC40" s="204"/>
      <c r="BD40" s="205"/>
      <c r="BE40" s="205"/>
      <c r="BH40" s="211"/>
      <c r="BI40" s="202"/>
      <c r="BJ40" s="206"/>
      <c r="BK40" s="207"/>
      <c r="BL40" s="205"/>
      <c r="BM40" s="205"/>
      <c r="BP40" s="211"/>
      <c r="BQ40" s="202"/>
      <c r="BR40" s="206"/>
      <c r="BS40" s="207"/>
      <c r="BT40" s="205"/>
      <c r="BU40" s="205"/>
    </row>
    <row r="41" spans="3:73">
      <c r="D41" s="18"/>
      <c r="E41" s="18"/>
      <c r="F41" s="18"/>
      <c r="G41" s="18"/>
      <c r="L41" s="74"/>
      <c r="S41" s="666"/>
      <c r="T41" s="664"/>
      <c r="U41" s="202"/>
      <c r="V41" s="206"/>
      <c r="W41" s="207"/>
      <c r="X41" s="205"/>
      <c r="Y41" s="205"/>
      <c r="AB41" s="211"/>
      <c r="AC41" s="202"/>
      <c r="AD41" s="206"/>
      <c r="AE41" s="207"/>
      <c r="AF41" s="205"/>
      <c r="AG41" s="205"/>
      <c r="AJ41" s="211"/>
      <c r="AK41" s="202"/>
      <c r="AL41" s="206"/>
      <c r="AM41" s="207"/>
      <c r="AN41" s="205"/>
      <c r="AO41" s="205"/>
      <c r="AR41" s="211"/>
      <c r="AS41" s="202"/>
      <c r="AT41" s="206"/>
      <c r="AU41" s="207"/>
      <c r="AV41" s="205"/>
      <c r="AW41" s="205"/>
      <c r="AZ41" s="209"/>
      <c r="BA41" s="202"/>
      <c r="BB41" s="206"/>
      <c r="BC41" s="207"/>
      <c r="BD41" s="205"/>
      <c r="BE41" s="205"/>
      <c r="BH41" s="211"/>
      <c r="BI41" s="202"/>
      <c r="BJ41" s="206"/>
      <c r="BK41" s="207"/>
      <c r="BL41" s="205"/>
      <c r="BM41" s="205"/>
      <c r="BP41" s="211"/>
      <c r="BQ41" s="202"/>
      <c r="BR41" s="206"/>
      <c r="BS41" s="207"/>
      <c r="BT41" s="205"/>
      <c r="BU41" s="205"/>
    </row>
    <row r="42" spans="3:73">
      <c r="D42" s="18"/>
      <c r="E42" s="18"/>
      <c r="F42" s="18"/>
      <c r="G42" s="18"/>
      <c r="L42" s="74"/>
      <c r="S42" s="666"/>
      <c r="T42" s="667"/>
      <c r="U42" s="202"/>
      <c r="V42" s="206"/>
      <c r="W42" s="204"/>
      <c r="X42" s="205"/>
      <c r="Y42" s="205"/>
      <c r="AB42" s="211"/>
      <c r="AC42" s="202"/>
      <c r="AD42" s="206"/>
      <c r="AE42" s="207"/>
      <c r="AF42" s="205"/>
      <c r="AG42" s="205"/>
      <c r="AJ42" s="211"/>
      <c r="AK42" s="202"/>
      <c r="AL42" s="206"/>
      <c r="AM42" s="207"/>
      <c r="AN42" s="205"/>
      <c r="AO42" s="205"/>
      <c r="AR42" s="211"/>
      <c r="AS42" s="202"/>
      <c r="AT42" s="206"/>
      <c r="AU42" s="207"/>
      <c r="AV42" s="205"/>
      <c r="AW42" s="205"/>
      <c r="AZ42" s="208"/>
      <c r="BA42" s="202"/>
      <c r="BB42" s="203"/>
      <c r="BC42" s="204"/>
      <c r="BD42" s="205"/>
      <c r="BE42" s="205"/>
      <c r="BH42" s="211"/>
      <c r="BI42" s="202"/>
      <c r="BJ42" s="206"/>
      <c r="BK42" s="207"/>
      <c r="BL42" s="205"/>
      <c r="BM42" s="205"/>
      <c r="BP42" s="208"/>
      <c r="BQ42" s="202"/>
      <c r="BR42" s="206"/>
      <c r="BS42" s="204"/>
      <c r="BT42" s="205"/>
      <c r="BU42" s="205"/>
    </row>
    <row r="43" spans="3:73">
      <c r="D43" s="18"/>
      <c r="E43" s="18"/>
      <c r="F43" s="18"/>
      <c r="G43" s="18"/>
      <c r="L43" s="74"/>
      <c r="S43" s="666"/>
      <c r="T43" s="664"/>
      <c r="U43" s="202"/>
      <c r="V43" s="206"/>
      <c r="W43" s="204"/>
      <c r="X43" s="205"/>
      <c r="Y43" s="205"/>
      <c r="AB43" s="208"/>
      <c r="AC43" s="202"/>
      <c r="AD43" s="206"/>
      <c r="AE43" s="204"/>
      <c r="AF43" s="205"/>
      <c r="AG43" s="205"/>
      <c r="AJ43" s="208"/>
      <c r="AK43" s="202"/>
      <c r="AL43" s="206"/>
      <c r="AM43" s="204"/>
      <c r="AN43" s="205"/>
      <c r="AO43" s="205"/>
      <c r="AR43" s="208"/>
      <c r="AS43" s="202"/>
      <c r="AT43" s="206"/>
      <c r="AU43" s="204"/>
      <c r="AV43" s="205"/>
      <c r="AW43" s="205"/>
      <c r="AZ43" s="208"/>
      <c r="BA43" s="202"/>
      <c r="BB43" s="206"/>
      <c r="BC43" s="207"/>
      <c r="BD43" s="205"/>
      <c r="BE43" s="205"/>
      <c r="BH43" s="208"/>
      <c r="BI43" s="202"/>
      <c r="BJ43" s="206"/>
      <c r="BK43" s="204"/>
      <c r="BL43" s="205"/>
      <c r="BM43" s="205"/>
      <c r="BP43" s="211"/>
      <c r="BQ43" s="202"/>
      <c r="BR43" s="206"/>
      <c r="BS43" s="204"/>
      <c r="BT43" s="205"/>
      <c r="BU43" s="205"/>
    </row>
    <row r="44" spans="3:73">
      <c r="D44" s="18"/>
      <c r="E44" s="18"/>
      <c r="F44" s="18"/>
      <c r="G44" s="18"/>
      <c r="L44" s="74"/>
      <c r="S44" s="666"/>
      <c r="T44" s="667"/>
      <c r="U44" s="202"/>
      <c r="V44" s="206"/>
      <c r="W44" s="204"/>
      <c r="X44" s="205"/>
      <c r="Y44" s="205"/>
      <c r="AB44" s="211"/>
      <c r="AC44" s="202"/>
      <c r="AD44" s="206"/>
      <c r="AE44" s="204"/>
      <c r="AF44" s="205"/>
      <c r="AG44" s="205"/>
      <c r="AJ44" s="211"/>
      <c r="AK44" s="202"/>
      <c r="AL44" s="206"/>
      <c r="AM44" s="204"/>
      <c r="AN44" s="205"/>
      <c r="AO44" s="205"/>
      <c r="AR44" s="211"/>
      <c r="AS44" s="202"/>
      <c r="AT44" s="206"/>
      <c r="AU44" s="204"/>
      <c r="AV44" s="205"/>
      <c r="AW44" s="205"/>
      <c r="AZ44" s="211"/>
      <c r="BA44" s="202"/>
      <c r="BB44" s="206"/>
      <c r="BC44" s="207"/>
      <c r="BD44" s="205"/>
      <c r="BE44" s="205"/>
      <c r="BH44" s="211"/>
      <c r="BI44" s="202"/>
      <c r="BJ44" s="206"/>
      <c r="BK44" s="204"/>
      <c r="BL44" s="205"/>
      <c r="BM44" s="205"/>
      <c r="BP44" s="208"/>
      <c r="BQ44" s="202"/>
      <c r="BR44" s="206"/>
      <c r="BS44" s="204"/>
      <c r="BT44" s="205"/>
      <c r="BU44" s="205"/>
    </row>
    <row r="45" spans="3:73">
      <c r="D45" s="18"/>
      <c r="E45" s="18"/>
      <c r="F45" s="18"/>
      <c r="G45" s="18"/>
      <c r="L45" s="74"/>
      <c r="S45" s="666"/>
      <c r="T45" s="664"/>
      <c r="U45" s="202"/>
      <c r="V45" s="206"/>
      <c r="W45" s="204"/>
      <c r="X45" s="205"/>
      <c r="Y45" s="205"/>
      <c r="AB45" s="208"/>
      <c r="AC45" s="202"/>
      <c r="AD45" s="206"/>
      <c r="AE45" s="204"/>
      <c r="AF45" s="205"/>
      <c r="AG45" s="205"/>
      <c r="AJ45" s="208"/>
      <c r="AK45" s="202"/>
      <c r="AL45" s="206"/>
      <c r="AM45" s="204"/>
      <c r="AN45" s="205"/>
      <c r="AO45" s="205"/>
      <c r="AR45" s="208"/>
      <c r="AS45" s="202"/>
      <c r="AT45" s="206"/>
      <c r="AU45" s="204"/>
      <c r="AV45" s="205"/>
      <c r="AW45" s="205"/>
      <c r="AZ45" s="211"/>
      <c r="BA45" s="202"/>
      <c r="BB45" s="206"/>
      <c r="BC45" s="207"/>
      <c r="BD45" s="205"/>
      <c r="BE45" s="205"/>
      <c r="BH45" s="208"/>
      <c r="BI45" s="202"/>
      <c r="BJ45" s="206"/>
      <c r="BK45" s="204"/>
      <c r="BL45" s="205"/>
      <c r="BM45" s="205"/>
      <c r="BP45" s="211"/>
      <c r="BQ45" s="202"/>
      <c r="BR45" s="206"/>
      <c r="BS45" s="204"/>
      <c r="BT45" s="205"/>
      <c r="BU45" s="205"/>
    </row>
    <row r="46" spans="3:73">
      <c r="D46" s="18"/>
      <c r="E46" s="18"/>
      <c r="F46" s="18"/>
      <c r="G46" s="18"/>
      <c r="L46" s="74"/>
      <c r="S46" s="665"/>
      <c r="T46" s="667"/>
      <c r="U46" s="202"/>
      <c r="V46" s="206"/>
      <c r="W46" s="207"/>
      <c r="X46" s="205"/>
      <c r="Y46" s="205"/>
      <c r="AB46" s="211"/>
      <c r="AC46" s="202"/>
      <c r="AD46" s="206"/>
      <c r="AE46" s="204"/>
      <c r="AF46" s="205"/>
      <c r="AG46" s="205"/>
      <c r="AJ46" s="211"/>
      <c r="AK46" s="202"/>
      <c r="AL46" s="206"/>
      <c r="AM46" s="204"/>
      <c r="AN46" s="205"/>
      <c r="AO46" s="205"/>
      <c r="AR46" s="211"/>
      <c r="AS46" s="202"/>
      <c r="AT46" s="206"/>
      <c r="AU46" s="204"/>
      <c r="AV46" s="205"/>
      <c r="AW46" s="205"/>
      <c r="AZ46" s="211"/>
      <c r="BA46" s="202"/>
      <c r="BB46" s="206"/>
      <c r="BC46" s="207"/>
      <c r="BD46" s="205"/>
      <c r="BE46" s="205"/>
      <c r="BH46" s="211"/>
      <c r="BI46" s="202"/>
      <c r="BJ46" s="206"/>
      <c r="BK46" s="204"/>
      <c r="BL46" s="205"/>
      <c r="BM46" s="205"/>
    </row>
    <row r="47" spans="3:73" ht="12.75" customHeight="1">
      <c r="D47" s="18"/>
      <c r="E47" s="18"/>
      <c r="F47" s="18"/>
      <c r="G47" s="18"/>
      <c r="L47" s="74"/>
      <c r="S47" s="666"/>
      <c r="T47" s="664"/>
      <c r="U47" s="202"/>
      <c r="V47" s="206"/>
      <c r="W47" s="207"/>
      <c r="X47" s="205"/>
      <c r="Y47" s="205"/>
      <c r="AB47" s="208"/>
      <c r="AC47" s="202"/>
      <c r="AD47" s="206"/>
      <c r="AE47" s="207"/>
      <c r="AF47" s="205"/>
      <c r="AG47" s="205"/>
      <c r="AJ47" s="208"/>
      <c r="AK47" s="202"/>
      <c r="AL47" s="206"/>
      <c r="AM47" s="207"/>
      <c r="AN47" s="205"/>
      <c r="AO47" s="205"/>
      <c r="AR47" s="208"/>
      <c r="AS47" s="202"/>
      <c r="AT47" s="206"/>
      <c r="AU47" s="207"/>
      <c r="AV47" s="205"/>
      <c r="AW47" s="205"/>
      <c r="AZ47" s="208"/>
      <c r="BA47" s="202"/>
      <c r="BB47" s="206"/>
      <c r="BC47" s="204"/>
      <c r="BD47" s="205"/>
      <c r="BE47" s="205"/>
      <c r="BH47" s="208"/>
      <c r="BI47" s="202"/>
      <c r="BJ47" s="206"/>
      <c r="BK47" s="207"/>
      <c r="BL47" s="205"/>
      <c r="BM47" s="205"/>
    </row>
    <row r="48" spans="3:73">
      <c r="D48" s="18"/>
      <c r="E48" s="18"/>
      <c r="F48" s="18"/>
      <c r="G48" s="18"/>
      <c r="L48" s="74"/>
      <c r="S48" s="666"/>
      <c r="T48" s="664"/>
      <c r="U48" s="202"/>
      <c r="V48" s="206"/>
      <c r="W48" s="207"/>
      <c r="X48" s="205"/>
      <c r="Y48" s="205"/>
      <c r="AB48" s="211"/>
      <c r="AC48" s="202"/>
      <c r="AD48" s="206"/>
      <c r="AE48" s="207"/>
      <c r="AF48" s="205"/>
      <c r="AG48" s="205"/>
      <c r="AJ48" s="211"/>
      <c r="AK48" s="202"/>
      <c r="AL48" s="206"/>
      <c r="AM48" s="207"/>
      <c r="AN48" s="205"/>
      <c r="AO48" s="205"/>
      <c r="AR48" s="211"/>
      <c r="AS48" s="202"/>
      <c r="AT48" s="206"/>
      <c r="AU48" s="207"/>
      <c r="AV48" s="205"/>
      <c r="AW48" s="205"/>
      <c r="AZ48" s="211"/>
      <c r="BA48" s="202"/>
      <c r="BB48" s="206"/>
      <c r="BC48" s="204"/>
      <c r="BD48" s="205"/>
      <c r="BE48" s="205"/>
      <c r="BH48" s="211"/>
      <c r="BI48" s="202"/>
      <c r="BJ48" s="206"/>
      <c r="BK48" s="207"/>
      <c r="BL48" s="205"/>
      <c r="BM48" s="205"/>
    </row>
    <row r="49" spans="4:73">
      <c r="D49" s="18"/>
      <c r="E49" s="18"/>
      <c r="F49" s="18"/>
      <c r="G49" s="18"/>
      <c r="L49" s="74"/>
      <c r="S49" s="666"/>
      <c r="T49" s="664"/>
      <c r="U49" s="202"/>
      <c r="V49" s="206"/>
      <c r="W49" s="207"/>
      <c r="X49" s="205"/>
      <c r="Y49" s="205"/>
      <c r="AB49" s="211"/>
      <c r="AC49" s="202"/>
      <c r="AD49" s="206"/>
      <c r="AE49" s="207"/>
      <c r="AF49" s="205"/>
      <c r="AG49" s="205"/>
      <c r="AJ49" s="211"/>
      <c r="AK49" s="202"/>
      <c r="AL49" s="206"/>
      <c r="AM49" s="207"/>
      <c r="AN49" s="205"/>
      <c r="AO49" s="205"/>
      <c r="AR49" s="211"/>
      <c r="AS49" s="202"/>
      <c r="AT49" s="206"/>
      <c r="AU49" s="207"/>
      <c r="AV49" s="205"/>
      <c r="AW49" s="205"/>
      <c r="AZ49" s="208"/>
      <c r="BA49" s="202"/>
      <c r="BB49" s="206"/>
      <c r="BC49" s="204"/>
      <c r="BD49" s="205"/>
      <c r="BE49" s="205"/>
      <c r="BH49" s="211"/>
      <c r="BI49" s="202"/>
      <c r="BJ49" s="206"/>
      <c r="BK49" s="207"/>
      <c r="BL49" s="205"/>
      <c r="BM49" s="205"/>
    </row>
    <row r="50" spans="4:73">
      <c r="D50" s="18"/>
      <c r="E50" s="18"/>
      <c r="F50" s="18"/>
      <c r="G50" s="18"/>
      <c r="S50" s="666"/>
      <c r="T50" s="667"/>
      <c r="U50" s="202"/>
      <c r="V50" s="206"/>
      <c r="W50" s="207"/>
      <c r="X50" s="205"/>
      <c r="Y50" s="205"/>
      <c r="AB50" s="211"/>
      <c r="AC50" s="202"/>
      <c r="AD50" s="206"/>
      <c r="AE50" s="207"/>
      <c r="AF50" s="205"/>
      <c r="AG50" s="205"/>
      <c r="AJ50" s="211"/>
      <c r="AK50" s="202"/>
      <c r="AL50" s="206"/>
      <c r="AM50" s="207"/>
      <c r="AN50" s="205"/>
      <c r="AO50" s="205"/>
      <c r="AR50" s="211"/>
      <c r="AS50" s="202"/>
      <c r="AT50" s="206"/>
      <c r="AU50" s="207"/>
      <c r="AV50" s="205"/>
      <c r="AW50" s="205"/>
      <c r="AZ50" s="211"/>
      <c r="BA50" s="202"/>
      <c r="BB50" s="206"/>
      <c r="BC50" s="204"/>
      <c r="BD50" s="205"/>
      <c r="BE50" s="205"/>
      <c r="BH50" s="211"/>
      <c r="BI50" s="202"/>
      <c r="BJ50" s="206"/>
      <c r="BK50" s="207"/>
      <c r="BL50" s="205"/>
      <c r="BM50" s="205"/>
    </row>
    <row r="51" spans="4:73">
      <c r="D51" s="18"/>
      <c r="E51" s="18"/>
      <c r="F51" s="18"/>
      <c r="G51" s="18"/>
      <c r="S51" s="666"/>
      <c r="T51" s="664"/>
      <c r="U51" s="202"/>
      <c r="V51" s="206"/>
      <c r="W51" s="207"/>
      <c r="X51" s="205"/>
      <c r="Y51" s="205"/>
      <c r="AB51" s="208"/>
      <c r="AC51" s="202"/>
      <c r="AD51" s="206"/>
      <c r="AE51" s="207"/>
      <c r="AF51" s="205"/>
      <c r="AG51" s="205"/>
      <c r="AJ51" s="208"/>
      <c r="AK51" s="202"/>
      <c r="AL51" s="206"/>
      <c r="AM51" s="207"/>
      <c r="AN51" s="205"/>
      <c r="AO51" s="205"/>
      <c r="AR51" s="208"/>
      <c r="AS51" s="202"/>
      <c r="AT51" s="206"/>
      <c r="AU51" s="207"/>
      <c r="AV51" s="205"/>
      <c r="AW51" s="205"/>
      <c r="AZ51" s="208"/>
      <c r="BA51" s="202"/>
      <c r="BB51" s="206"/>
      <c r="BC51" s="207"/>
      <c r="BD51" s="205"/>
      <c r="BE51" s="205"/>
      <c r="BH51" s="208"/>
      <c r="BI51" s="202"/>
      <c r="BJ51" s="206"/>
      <c r="BK51" s="207"/>
      <c r="BL51" s="205"/>
      <c r="BM51" s="205"/>
    </row>
    <row r="52" spans="4:73">
      <c r="D52" s="18"/>
      <c r="E52" s="18"/>
      <c r="F52" s="18"/>
      <c r="G52" s="18"/>
      <c r="S52" s="665"/>
      <c r="T52" s="667"/>
      <c r="U52" s="202"/>
      <c r="V52" s="206"/>
      <c r="W52" s="207"/>
      <c r="X52" s="205"/>
      <c r="Y52" s="205"/>
      <c r="AB52" s="211"/>
      <c r="AC52" s="202"/>
      <c r="AD52" s="206"/>
      <c r="AE52" s="207"/>
      <c r="AF52" s="205"/>
      <c r="AG52" s="205"/>
      <c r="AJ52" s="211"/>
      <c r="AK52" s="202"/>
      <c r="AL52" s="206"/>
      <c r="AM52" s="207"/>
      <c r="AN52" s="205"/>
      <c r="AO52" s="205"/>
      <c r="AR52" s="211"/>
      <c r="AS52" s="202"/>
      <c r="AT52" s="206"/>
      <c r="AU52" s="207"/>
      <c r="AV52" s="205"/>
      <c r="AW52" s="205"/>
      <c r="AZ52" s="211"/>
      <c r="BA52" s="202"/>
      <c r="BB52" s="206"/>
      <c r="BC52" s="207"/>
      <c r="BD52" s="205"/>
      <c r="BE52" s="205"/>
      <c r="BH52" s="211"/>
      <c r="BI52" s="202"/>
      <c r="BJ52" s="206"/>
      <c r="BK52" s="207"/>
      <c r="BL52" s="205"/>
      <c r="BM52" s="205"/>
    </row>
    <row r="53" spans="4:73" ht="12.75" customHeight="1">
      <c r="D53" s="18"/>
      <c r="E53" s="18"/>
      <c r="F53" s="18"/>
      <c r="G53" s="18"/>
      <c r="S53" s="666"/>
      <c r="T53" s="664"/>
      <c r="U53" s="202"/>
      <c r="V53" s="206"/>
      <c r="W53" s="207"/>
      <c r="X53" s="205"/>
      <c r="Y53" s="205"/>
      <c r="AB53" s="208"/>
      <c r="AC53" s="202"/>
      <c r="AD53" s="206"/>
      <c r="AE53" s="207"/>
      <c r="AF53" s="205"/>
      <c r="AG53" s="205"/>
      <c r="AJ53" s="208"/>
      <c r="AK53" s="202"/>
      <c r="AL53" s="206"/>
      <c r="AM53" s="207"/>
      <c r="AN53" s="205"/>
      <c r="AO53" s="205"/>
      <c r="AR53" s="208"/>
      <c r="AS53" s="202"/>
      <c r="AT53" s="206"/>
      <c r="AU53" s="207"/>
      <c r="AV53" s="205"/>
      <c r="AW53" s="205"/>
      <c r="AZ53" s="211"/>
      <c r="BA53" s="202"/>
      <c r="BB53" s="206"/>
      <c r="BC53" s="207"/>
      <c r="BD53" s="205"/>
      <c r="BE53" s="205"/>
      <c r="BH53" s="208"/>
      <c r="BI53" s="202"/>
      <c r="BJ53" s="206"/>
      <c r="BK53" s="207"/>
      <c r="BL53" s="205"/>
      <c r="BM53" s="205"/>
    </row>
    <row r="54" spans="4:73">
      <c r="D54" s="18"/>
      <c r="E54" s="18"/>
      <c r="F54" s="18"/>
      <c r="G54" s="18"/>
      <c r="S54" s="666"/>
      <c r="T54" s="664"/>
      <c r="U54" s="202"/>
      <c r="V54" s="206"/>
      <c r="W54" s="207"/>
      <c r="X54" s="205"/>
      <c r="Y54" s="205"/>
      <c r="AB54" s="211"/>
      <c r="AC54" s="202"/>
      <c r="AD54" s="206"/>
      <c r="AE54" s="207"/>
      <c r="AF54" s="205"/>
      <c r="AG54" s="205"/>
      <c r="AJ54" s="211"/>
      <c r="AK54" s="202"/>
      <c r="AL54" s="206"/>
      <c r="AM54" s="207"/>
      <c r="AN54" s="205"/>
      <c r="AO54" s="205"/>
      <c r="AR54" s="211"/>
      <c r="AS54" s="202"/>
      <c r="AT54" s="206"/>
      <c r="AU54" s="207"/>
      <c r="AV54" s="205"/>
      <c r="AW54" s="205"/>
      <c r="AZ54" s="211"/>
      <c r="BA54" s="202"/>
      <c r="BB54" s="206"/>
      <c r="BC54" s="207"/>
      <c r="BD54" s="205"/>
      <c r="BE54" s="205"/>
      <c r="BH54" s="211"/>
      <c r="BI54" s="202"/>
      <c r="BJ54" s="206"/>
      <c r="BK54" s="207"/>
      <c r="BL54" s="205"/>
      <c r="BM54" s="205"/>
    </row>
    <row r="55" spans="4:73">
      <c r="D55" s="18"/>
      <c r="E55" s="18"/>
      <c r="F55" s="18"/>
      <c r="G55" s="18"/>
      <c r="S55" s="666"/>
      <c r="T55" s="664"/>
      <c r="U55" s="202"/>
      <c r="V55" s="206"/>
      <c r="W55" s="207"/>
      <c r="X55" s="205"/>
      <c r="Y55" s="205"/>
      <c r="AB55" s="211"/>
      <c r="AC55" s="202"/>
      <c r="AD55" s="206"/>
      <c r="AE55" s="207"/>
      <c r="AF55" s="205"/>
      <c r="AG55" s="205"/>
      <c r="AJ55" s="211"/>
      <c r="AK55" s="202"/>
      <c r="AL55" s="206"/>
      <c r="AM55" s="207"/>
      <c r="AN55" s="205"/>
      <c r="AO55" s="205"/>
      <c r="AR55" s="211"/>
      <c r="AS55" s="202"/>
      <c r="AT55" s="206"/>
      <c r="AU55" s="207"/>
      <c r="AV55" s="205"/>
      <c r="AW55" s="205"/>
      <c r="AZ55" s="208"/>
      <c r="BA55" s="202"/>
      <c r="BB55" s="206"/>
      <c r="BC55" s="207"/>
      <c r="BD55" s="205"/>
      <c r="BE55" s="205"/>
      <c r="BH55" s="211"/>
      <c r="BI55" s="202"/>
      <c r="BJ55" s="206"/>
      <c r="BK55" s="207"/>
      <c r="BL55" s="205"/>
      <c r="BM55" s="205"/>
    </row>
    <row r="56" spans="4:73">
      <c r="S56" s="666"/>
      <c r="T56" s="667"/>
      <c r="U56" s="202"/>
      <c r="V56" s="206"/>
      <c r="W56" s="207"/>
      <c r="X56" s="205"/>
      <c r="Y56" s="205"/>
      <c r="AB56" s="211"/>
      <c r="AC56" s="202"/>
      <c r="AD56" s="206"/>
      <c r="AE56" s="207"/>
      <c r="AF56" s="205"/>
      <c r="AG56" s="205"/>
      <c r="AJ56" s="211"/>
      <c r="AK56" s="202"/>
      <c r="AL56" s="206"/>
      <c r="AM56" s="207"/>
      <c r="AN56" s="205"/>
      <c r="AO56" s="205"/>
      <c r="AR56" s="211"/>
      <c r="AS56" s="202"/>
      <c r="AT56" s="206"/>
      <c r="AU56" s="207"/>
      <c r="AV56" s="205"/>
      <c r="AW56" s="205"/>
      <c r="AZ56" s="211"/>
      <c r="BA56" s="202"/>
      <c r="BB56" s="206"/>
      <c r="BC56" s="207"/>
      <c r="BD56" s="205"/>
      <c r="BE56" s="205"/>
      <c r="BH56" s="211"/>
      <c r="BI56" s="202"/>
      <c r="BJ56" s="206"/>
      <c r="BK56" s="207"/>
      <c r="BL56" s="205"/>
      <c r="BM56" s="205"/>
    </row>
    <row r="57" spans="4:73">
      <c r="S57" s="666"/>
      <c r="T57" s="664"/>
      <c r="U57" s="202"/>
      <c r="V57" s="206"/>
      <c r="W57" s="207"/>
      <c r="X57" s="205"/>
      <c r="Y57" s="205"/>
      <c r="AB57" s="208"/>
      <c r="AC57" s="202"/>
      <c r="AD57" s="206"/>
      <c r="AE57" s="207"/>
      <c r="AF57" s="205"/>
      <c r="AG57" s="205"/>
      <c r="AJ57" s="208"/>
      <c r="AK57" s="202"/>
      <c r="AL57" s="206"/>
      <c r="AM57" s="207"/>
      <c r="AN57" s="205"/>
      <c r="AO57" s="205"/>
      <c r="AR57" s="208"/>
      <c r="AS57" s="202"/>
      <c r="AT57" s="206"/>
      <c r="AU57" s="207"/>
      <c r="AV57" s="205"/>
      <c r="AW57" s="205"/>
      <c r="AZ57" s="208"/>
      <c r="BA57" s="202"/>
      <c r="BB57" s="206"/>
      <c r="BC57" s="207"/>
      <c r="BD57" s="205"/>
      <c r="BE57" s="205"/>
      <c r="BH57" s="208"/>
      <c r="BI57" s="202"/>
      <c r="BJ57" s="206"/>
      <c r="BK57" s="207"/>
      <c r="BL57" s="205"/>
      <c r="BM57" s="205"/>
    </row>
    <row r="58" spans="4:73">
      <c r="S58" s="665"/>
      <c r="T58" s="662"/>
      <c r="U58" s="202"/>
      <c r="V58" s="206"/>
      <c r="W58" s="207"/>
      <c r="X58" s="205"/>
      <c r="Y58" s="205"/>
      <c r="AB58" s="211"/>
      <c r="AC58" s="202"/>
      <c r="AD58" s="206"/>
      <c r="AE58" s="207"/>
      <c r="AF58" s="205"/>
      <c r="AG58" s="205"/>
      <c r="AJ58" s="211"/>
      <c r="AK58" s="202"/>
      <c r="AL58" s="206"/>
      <c r="AM58" s="207"/>
      <c r="AN58" s="205"/>
      <c r="AO58" s="205"/>
      <c r="AR58" s="211"/>
      <c r="AS58" s="202"/>
      <c r="AT58" s="206"/>
      <c r="AU58" s="207"/>
      <c r="AV58" s="205"/>
      <c r="AW58" s="205"/>
      <c r="AZ58" s="211"/>
      <c r="BA58" s="202"/>
      <c r="BB58" s="206"/>
      <c r="BC58" s="207"/>
      <c r="BD58" s="205"/>
      <c r="BE58" s="205"/>
      <c r="BH58" s="211"/>
      <c r="BI58" s="202"/>
      <c r="BJ58" s="206"/>
      <c r="BK58" s="207"/>
      <c r="BL58" s="205"/>
      <c r="BM58" s="205"/>
      <c r="BP58" s="209"/>
      <c r="BQ58" s="202"/>
      <c r="BR58" s="206"/>
      <c r="BS58" s="207"/>
      <c r="BT58" s="205"/>
      <c r="BU58" s="205"/>
    </row>
    <row r="59" spans="4:73" ht="12.75" customHeight="1">
      <c r="S59" s="727"/>
      <c r="T59" s="663"/>
      <c r="U59" s="202"/>
      <c r="V59" s="206"/>
      <c r="W59" s="207"/>
      <c r="X59" s="205"/>
      <c r="Y59" s="205"/>
      <c r="AB59" s="209"/>
      <c r="AC59" s="202"/>
      <c r="AD59" s="206"/>
      <c r="AE59" s="207"/>
      <c r="AF59" s="205"/>
      <c r="AG59" s="205"/>
      <c r="AJ59" s="209"/>
      <c r="AK59" s="202"/>
      <c r="AL59" s="206"/>
      <c r="AM59" s="207"/>
      <c r="AN59" s="205"/>
      <c r="AO59" s="205"/>
      <c r="AZ59" s="211"/>
      <c r="BA59" s="202"/>
      <c r="BB59" s="206"/>
      <c r="BC59" s="207"/>
      <c r="BD59" s="205"/>
      <c r="BE59" s="205"/>
      <c r="BH59" s="209"/>
      <c r="BI59" s="202"/>
      <c r="BJ59" s="206"/>
      <c r="BK59" s="207"/>
      <c r="BL59" s="205"/>
      <c r="BM59" s="205"/>
      <c r="BO59"/>
      <c r="BP59" s="210"/>
      <c r="BQ59" s="202"/>
      <c r="BR59" s="206"/>
      <c r="BS59" s="207"/>
      <c r="BT59" s="205"/>
      <c r="BU59" s="205"/>
    </row>
    <row r="60" spans="4:73">
      <c r="S60" s="665"/>
      <c r="T60" s="662"/>
      <c r="U60" s="202"/>
      <c r="V60" s="206"/>
      <c r="W60" s="207"/>
      <c r="X60" s="205"/>
      <c r="Y60" s="205"/>
      <c r="AA60"/>
      <c r="AB60" s="210"/>
      <c r="AC60" s="202"/>
      <c r="AD60" s="206"/>
      <c r="AE60" s="207"/>
      <c r="AF60" s="205"/>
      <c r="AG60" s="205"/>
      <c r="AI60"/>
      <c r="AJ60" s="210"/>
      <c r="AK60" s="202"/>
      <c r="AL60" s="206"/>
      <c r="AM60" s="207"/>
      <c r="AN60" s="205"/>
      <c r="AO60" s="205"/>
      <c r="AZ60" s="211"/>
      <c r="BA60" s="202"/>
      <c r="BB60" s="206"/>
      <c r="BC60" s="207"/>
      <c r="BD60" s="205"/>
      <c r="BE60" s="205"/>
      <c r="BG60"/>
      <c r="BH60" s="210"/>
      <c r="BI60" s="202"/>
      <c r="BJ60" s="206"/>
      <c r="BK60" s="207"/>
      <c r="BL60" s="205"/>
      <c r="BM60" s="205"/>
      <c r="BP60" s="209"/>
      <c r="BQ60" s="202"/>
      <c r="BR60" s="206"/>
      <c r="BS60" s="207"/>
      <c r="BT60" s="205"/>
      <c r="BU60" s="205"/>
    </row>
    <row r="61" spans="4:73" ht="12.75" customHeight="1">
      <c r="S61" s="666"/>
      <c r="T61" s="663"/>
      <c r="U61" s="202"/>
      <c r="V61" s="206"/>
      <c r="W61" s="207"/>
      <c r="X61" s="205"/>
      <c r="Y61" s="205"/>
      <c r="AB61" s="209"/>
      <c r="AC61" s="202"/>
      <c r="AD61" s="206"/>
      <c r="AE61" s="207"/>
      <c r="AF61" s="205"/>
      <c r="AG61" s="205"/>
      <c r="AJ61" s="209"/>
      <c r="AK61" s="202"/>
      <c r="AL61" s="206"/>
      <c r="AM61" s="207"/>
      <c r="AN61" s="205"/>
      <c r="AO61" s="205"/>
      <c r="AZ61" s="208"/>
      <c r="BA61" s="202"/>
      <c r="BB61" s="206"/>
      <c r="BC61" s="207"/>
      <c r="BD61" s="205"/>
      <c r="BE61" s="205"/>
      <c r="BH61" s="209"/>
      <c r="BI61" s="202"/>
      <c r="BJ61" s="206"/>
      <c r="BK61" s="207"/>
      <c r="BL61" s="205"/>
      <c r="BM61" s="205"/>
      <c r="BP61" s="210"/>
      <c r="BQ61" s="202"/>
      <c r="BR61" s="206"/>
      <c r="BS61" s="207"/>
      <c r="BT61" s="205"/>
      <c r="BU61" s="205"/>
    </row>
    <row r="62" spans="4:73">
      <c r="S62" s="666"/>
      <c r="T62" s="664"/>
      <c r="U62" s="202"/>
      <c r="V62" s="206"/>
      <c r="W62" s="207"/>
      <c r="X62" s="205"/>
      <c r="Y62" s="205"/>
      <c r="AB62" s="210"/>
      <c r="AC62" s="202"/>
      <c r="AD62" s="206"/>
      <c r="AE62" s="207"/>
      <c r="AF62" s="205"/>
      <c r="AG62" s="205"/>
      <c r="AJ62" s="210"/>
      <c r="AK62" s="202"/>
      <c r="AL62" s="206"/>
      <c r="AM62" s="207"/>
      <c r="AN62" s="205"/>
      <c r="AO62" s="205"/>
      <c r="AZ62" s="211"/>
      <c r="BA62" s="202"/>
      <c r="BB62" s="206"/>
      <c r="BC62" s="207"/>
      <c r="BD62" s="205"/>
      <c r="BE62" s="205"/>
      <c r="BH62" s="210"/>
      <c r="BI62" s="202"/>
      <c r="BJ62" s="206"/>
      <c r="BK62" s="207"/>
      <c r="BL62" s="205"/>
      <c r="BM62" s="205"/>
      <c r="BP62" s="211"/>
      <c r="BQ62" s="202"/>
      <c r="BR62" s="206"/>
      <c r="BS62" s="207"/>
      <c r="BT62" s="205"/>
      <c r="BU62" s="205"/>
    </row>
    <row r="63" spans="4:73">
      <c r="S63" s="666"/>
      <c r="T63" s="664"/>
      <c r="U63" s="202"/>
      <c r="V63" s="206"/>
      <c r="W63" s="207"/>
      <c r="X63" s="205"/>
      <c r="Y63" s="205"/>
      <c r="AB63" s="211"/>
      <c r="AC63" s="202"/>
      <c r="AD63" s="206"/>
      <c r="AE63" s="207"/>
      <c r="AF63" s="205"/>
      <c r="AG63" s="205"/>
      <c r="AJ63" s="211"/>
      <c r="AK63" s="202"/>
      <c r="AL63" s="206"/>
      <c r="AM63" s="207"/>
      <c r="AN63" s="205"/>
      <c r="AO63" s="205"/>
      <c r="AZ63" s="209"/>
      <c r="BA63" s="202"/>
      <c r="BB63" s="206"/>
      <c r="BC63" s="207"/>
      <c r="BD63" s="205"/>
      <c r="BE63" s="205"/>
      <c r="BH63" s="211"/>
      <c r="BI63" s="202"/>
      <c r="BJ63" s="206"/>
      <c r="BK63" s="207"/>
      <c r="BL63" s="205"/>
      <c r="BM63" s="205"/>
      <c r="BP63" s="211"/>
      <c r="BQ63" s="202"/>
      <c r="BR63" s="206"/>
      <c r="BS63" s="207"/>
      <c r="BT63" s="205"/>
      <c r="BU63" s="205"/>
    </row>
    <row r="64" spans="4:73">
      <c r="AB64" s="211"/>
      <c r="AC64" s="202"/>
      <c r="AD64" s="206"/>
      <c r="AE64" s="207"/>
      <c r="AF64" s="205"/>
      <c r="AG64" s="205"/>
      <c r="AJ64" s="211"/>
      <c r="AK64" s="202"/>
      <c r="AL64" s="206"/>
      <c r="AM64" s="207"/>
      <c r="AN64" s="205"/>
      <c r="AO64" s="205"/>
      <c r="AY64"/>
      <c r="AZ64" s="210"/>
      <c r="BA64" s="202"/>
      <c r="BB64" s="206"/>
      <c r="BC64" s="207"/>
      <c r="BD64" s="205"/>
      <c r="BE64" s="205"/>
      <c r="BH64" s="211"/>
      <c r="BI64" s="202"/>
      <c r="BJ64" s="206"/>
      <c r="BK64" s="207"/>
      <c r="BL64" s="205"/>
      <c r="BM64" s="205"/>
    </row>
    <row r="65" spans="52:57">
      <c r="AZ65" s="209"/>
      <c r="BA65" s="202"/>
      <c r="BB65" s="206"/>
      <c r="BC65" s="207"/>
      <c r="BD65" s="205"/>
      <c r="BE65" s="205"/>
    </row>
    <row r="66" spans="52:57">
      <c r="AZ66" s="210"/>
      <c r="BA66" s="202"/>
      <c r="BB66" s="206"/>
      <c r="BC66" s="207"/>
      <c r="BD66" s="205"/>
      <c r="BE66" s="205"/>
    </row>
    <row r="67" spans="52:57">
      <c r="AZ67" s="211"/>
      <c r="BA67" s="202"/>
      <c r="BB67" s="206"/>
      <c r="BC67" s="207"/>
      <c r="BD67" s="205"/>
      <c r="BE67" s="205"/>
    </row>
    <row r="68" spans="52:57">
      <c r="AZ68" s="211"/>
      <c r="BA68" s="202"/>
      <c r="BB68" s="206"/>
      <c r="BC68" s="207"/>
      <c r="BD68" s="205"/>
      <c r="BE68" s="205"/>
    </row>
    <row r="88" spans="12:12">
      <c r="L88" s="660"/>
    </row>
    <row r="89" spans="12:12">
      <c r="L89" s="661"/>
    </row>
  </sheetData>
  <mergeCells count="100">
    <mergeCell ref="AJ7:AJ8"/>
    <mergeCell ref="AI7:AI8"/>
    <mergeCell ref="BP24:BP25"/>
    <mergeCell ref="BO19:BO20"/>
    <mergeCell ref="AY18:AY19"/>
    <mergeCell ref="AZ18:AZ19"/>
    <mergeCell ref="AY20:AY21"/>
    <mergeCell ref="AZ20:AZ21"/>
    <mergeCell ref="AQ7:AQ10"/>
    <mergeCell ref="AR7:AR8"/>
    <mergeCell ref="AR9:AR10"/>
    <mergeCell ref="BP19:BP20"/>
    <mergeCell ref="BP21:BP22"/>
    <mergeCell ref="AZ9:AZ10"/>
    <mergeCell ref="AY5:AY10"/>
    <mergeCell ref="AZ13:AZ14"/>
    <mergeCell ref="AA7:AA8"/>
    <mergeCell ref="AB7:AB8"/>
    <mergeCell ref="S7:S8"/>
    <mergeCell ref="S15:S16"/>
    <mergeCell ref="T15:T16"/>
    <mergeCell ref="T7:T8"/>
    <mergeCell ref="T9:T10"/>
    <mergeCell ref="S11:S12"/>
    <mergeCell ref="S13:S14"/>
    <mergeCell ref="T11:T12"/>
    <mergeCell ref="T13:T14"/>
    <mergeCell ref="AJ9:AJ10"/>
    <mergeCell ref="S29:S30"/>
    <mergeCell ref="T29:T30"/>
    <mergeCell ref="S31:S35"/>
    <mergeCell ref="S36:S37"/>
    <mergeCell ref="AJ19:AJ20"/>
    <mergeCell ref="AJ21:AJ22"/>
    <mergeCell ref="AJ23:AJ24"/>
    <mergeCell ref="AJ25:AJ26"/>
    <mergeCell ref="AI17:AI18"/>
    <mergeCell ref="AJ15:AJ16"/>
    <mergeCell ref="AI11:AI16"/>
    <mergeCell ref="S9:S10"/>
    <mergeCell ref="AI9:AI10"/>
    <mergeCell ref="S38:S45"/>
    <mergeCell ref="T38:T39"/>
    <mergeCell ref="T42:T43"/>
    <mergeCell ref="T44:T45"/>
    <mergeCell ref="T40:T41"/>
    <mergeCell ref="L88:L89"/>
    <mergeCell ref="T60:T61"/>
    <mergeCell ref="T62:T63"/>
    <mergeCell ref="S60:S63"/>
    <mergeCell ref="S46:S51"/>
    <mergeCell ref="T46:T47"/>
    <mergeCell ref="T48:T49"/>
    <mergeCell ref="T50:T51"/>
    <mergeCell ref="S52:S57"/>
    <mergeCell ref="T52:T53"/>
    <mergeCell ref="T54:T55"/>
    <mergeCell ref="T56:T57"/>
    <mergeCell ref="S58:S59"/>
    <mergeCell ref="T58:T59"/>
    <mergeCell ref="S3:Y3"/>
    <mergeCell ref="AA3:AG3"/>
    <mergeCell ref="AB4:AC4"/>
    <mergeCell ref="S5:S6"/>
    <mergeCell ref="T5:T6"/>
    <mergeCell ref="AA5:AA6"/>
    <mergeCell ref="AB5:AB6"/>
    <mergeCell ref="T4:U4"/>
    <mergeCell ref="AQ3:AW3"/>
    <mergeCell ref="AR4:AS4"/>
    <mergeCell ref="AI3:AO3"/>
    <mergeCell ref="AJ4:AK4"/>
    <mergeCell ref="AJ5:AJ6"/>
    <mergeCell ref="AQ5:AQ6"/>
    <mergeCell ref="AR5:AR6"/>
    <mergeCell ref="AI5:AI6"/>
    <mergeCell ref="BP9:BP10"/>
    <mergeCell ref="AZ4:BA4"/>
    <mergeCell ref="AZ5:AZ6"/>
    <mergeCell ref="AY11:AY12"/>
    <mergeCell ref="AZ11:AZ12"/>
    <mergeCell ref="AZ7:AZ8"/>
    <mergeCell ref="BO12:BO17"/>
    <mergeCell ref="AY13:AY17"/>
    <mergeCell ref="AY3:BE3"/>
    <mergeCell ref="BP12:BP13"/>
    <mergeCell ref="BP14:BP15"/>
    <mergeCell ref="BP16:BP17"/>
    <mergeCell ref="AZ15:AZ16"/>
    <mergeCell ref="BG5:BG6"/>
    <mergeCell ref="BH5:BH6"/>
    <mergeCell ref="BG7:BG8"/>
    <mergeCell ref="BH7:BH8"/>
    <mergeCell ref="BG3:BM3"/>
    <mergeCell ref="BH4:BI4"/>
    <mergeCell ref="BO3:BU3"/>
    <mergeCell ref="BP4:BQ4"/>
    <mergeCell ref="BO5:BO10"/>
    <mergeCell ref="BP5:BP6"/>
    <mergeCell ref="BP7:BP8"/>
  </mergeCells>
  <phoneticPr fontId="40"/>
  <pageMargins left="0.55118110236220474" right="0.15748031496062992" top="0.43307086614173229" bottom="0.31496062992125984" header="0.31496062992125984" footer="0.19685039370078741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K12"/>
  <sheetViews>
    <sheetView showGridLines="0" zoomScale="130" zoomScaleNormal="130" workbookViewId="0">
      <selection activeCell="B2" sqref="B2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72.42578125" style="1" customWidth="1"/>
    <col min="4" max="8" width="9.7109375" style="1" customWidth="1"/>
    <col min="9" max="10" width="9.140625" style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2:11" ht="14.25">
      <c r="C2" s="2" t="s">
        <v>272</v>
      </c>
      <c r="D2" s="1" t="s">
        <v>1</v>
      </c>
      <c r="E2" s="59">
        <v>21</v>
      </c>
      <c r="F2" s="316"/>
      <c r="G2" s="316"/>
      <c r="H2" s="316"/>
      <c r="I2" s="1" t="s">
        <v>2</v>
      </c>
    </row>
    <row r="3" spans="2:11">
      <c r="E3" s="195">
        <v>0.65</v>
      </c>
      <c r="F3" s="195"/>
      <c r="G3" s="195"/>
      <c r="H3" s="195"/>
    </row>
    <row r="4" spans="2:11" ht="51">
      <c r="B4" s="69" t="s">
        <v>3</v>
      </c>
      <c r="C4" s="69" t="s">
        <v>4</v>
      </c>
      <c r="D4" s="387" t="s">
        <v>273</v>
      </c>
      <c r="E4" s="387" t="s">
        <v>274</v>
      </c>
      <c r="F4" s="387" t="s">
        <v>7</v>
      </c>
      <c r="G4" s="387" t="s">
        <v>275</v>
      </c>
      <c r="H4" s="387" t="s">
        <v>276</v>
      </c>
      <c r="I4" s="387" t="s">
        <v>9</v>
      </c>
      <c r="J4" s="387" t="s">
        <v>32</v>
      </c>
      <c r="K4" s="387" t="s">
        <v>11</v>
      </c>
    </row>
    <row r="5" spans="2:11">
      <c r="B5" s="355" t="s">
        <v>277</v>
      </c>
      <c r="C5" s="400" t="s">
        <v>278</v>
      </c>
      <c r="D5" s="393">
        <f>(21*60)/D11*$E$2*E11*E3</f>
        <v>17199</v>
      </c>
      <c r="E5" s="393">
        <v>0</v>
      </c>
      <c r="F5" s="393"/>
      <c r="G5" s="393" t="e">
        <f>F5/E5</f>
        <v>#DIV/0!</v>
      </c>
      <c r="H5" s="393">
        <f>E5/22</f>
        <v>0</v>
      </c>
      <c r="I5" s="388">
        <f>E5/D5</f>
        <v>0</v>
      </c>
      <c r="J5" s="388">
        <f>F5/D5</f>
        <v>0</v>
      </c>
      <c r="K5" s="355" t="s">
        <v>279</v>
      </c>
    </row>
    <row r="6" spans="2:11">
      <c r="B6" s="355" t="s">
        <v>280</v>
      </c>
      <c r="C6" s="398" t="s">
        <v>281</v>
      </c>
      <c r="D6" s="393">
        <f>(21*60)/D12*$E$2*E12*E3</f>
        <v>17199</v>
      </c>
      <c r="E6" s="393">
        <v>9930</v>
      </c>
      <c r="F6" s="393"/>
      <c r="G6" s="420">
        <f>F6/E6</f>
        <v>0</v>
      </c>
      <c r="H6" s="393">
        <v>187</v>
      </c>
      <c r="I6" s="406">
        <f t="shared" ref="I6" si="0">E6/D6</f>
        <v>0.57735914878772021</v>
      </c>
      <c r="J6" s="406">
        <f>F6/D6</f>
        <v>0</v>
      </c>
      <c r="K6" s="355" t="s">
        <v>282</v>
      </c>
    </row>
    <row r="7" spans="2:11" ht="13.5">
      <c r="B7" s="355"/>
      <c r="C7" s="404" t="s">
        <v>21</v>
      </c>
      <c r="D7" s="393">
        <f>SUM(D5:D6)</f>
        <v>34398</v>
      </c>
      <c r="E7" s="393">
        <v>9930</v>
      </c>
      <c r="F7" s="393">
        <f>SUM(F5:F6)</f>
        <v>0</v>
      </c>
      <c r="G7" s="420">
        <f>F7/E7</f>
        <v>0</v>
      </c>
      <c r="H7" s="393"/>
      <c r="I7" s="388">
        <f>E7/D7</f>
        <v>0.28867957439386011</v>
      </c>
      <c r="J7" s="388">
        <f>F7/D7</f>
        <v>0</v>
      </c>
      <c r="K7" s="355"/>
    </row>
    <row r="8" spans="2:11">
      <c r="D8" s="18"/>
      <c r="K8" s="386"/>
    </row>
    <row r="9" spans="2:11" ht="13.5" thickBot="1"/>
    <row r="10" spans="2:11" ht="13.5" thickBot="1">
      <c r="B10" s="3" t="s">
        <v>3</v>
      </c>
      <c r="C10" s="4" t="s">
        <v>4</v>
      </c>
      <c r="D10" s="4" t="s">
        <v>22</v>
      </c>
      <c r="E10" s="26" t="s">
        <v>283</v>
      </c>
      <c r="F10" s="21"/>
      <c r="G10" s="21"/>
      <c r="H10" s="21"/>
    </row>
    <row r="11" spans="2:11" ht="13.5" thickTop="1">
      <c r="B11" s="6" t="s">
        <v>277</v>
      </c>
      <c r="C11" s="192" t="s">
        <v>284</v>
      </c>
      <c r="D11" s="188">
        <v>3</v>
      </c>
      <c r="E11" s="189">
        <v>3</v>
      </c>
    </row>
    <row r="12" spans="2:11" ht="13.5" thickBot="1">
      <c r="B12" s="184" t="s">
        <v>280</v>
      </c>
      <c r="C12" s="498" t="s">
        <v>281</v>
      </c>
      <c r="D12" s="190">
        <v>3</v>
      </c>
      <c r="E12" s="191">
        <v>3</v>
      </c>
    </row>
  </sheetData>
  <phoneticPr fontId="47"/>
  <pageMargins left="0.7" right="0.7" top="0.75" bottom="0.75" header="0.3" footer="0.3"/>
  <pageSetup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BBFC-CFED-4FB3-89D0-0740664838D0}">
  <dimension ref="A1:AD48"/>
  <sheetViews>
    <sheetView showGridLines="0" workbookViewId="0">
      <selection activeCell="F4" sqref="F4"/>
    </sheetView>
  </sheetViews>
  <sheetFormatPr defaultRowHeight="12.75"/>
  <cols>
    <col min="1" max="1" width="36.85546875" customWidth="1"/>
    <col min="2" max="2" width="11.140625" customWidth="1"/>
    <col min="3" max="4" width="12.85546875" customWidth="1"/>
    <col min="7" max="7" width="10.28515625" customWidth="1"/>
    <col min="10" max="10" width="10.28515625" customWidth="1"/>
    <col min="13" max="13" width="10.7109375" customWidth="1"/>
    <col min="16" max="16" width="12" customWidth="1"/>
  </cols>
  <sheetData>
    <row r="1" spans="1:30" ht="19.5">
      <c r="A1" s="320" t="s">
        <v>285</v>
      </c>
      <c r="B1" s="320"/>
      <c r="C1" s="320"/>
      <c r="D1" s="320"/>
    </row>
    <row r="2" spans="1:30" ht="15">
      <c r="A2" s="30"/>
      <c r="B2" s="421"/>
      <c r="C2" s="421"/>
      <c r="D2" s="421"/>
    </row>
    <row r="3" spans="1:30" ht="15">
      <c r="A3" s="33" t="s">
        <v>286</v>
      </c>
      <c r="B3" s="422"/>
      <c r="C3" s="422"/>
      <c r="D3" s="422"/>
    </row>
    <row r="4" spans="1:30" ht="15">
      <c r="A4" s="33" t="s">
        <v>287</v>
      </c>
      <c r="B4" s="422"/>
      <c r="C4" s="422"/>
      <c r="D4" s="422"/>
    </row>
    <row r="5" spans="1:30" ht="15">
      <c r="A5" s="33" t="s">
        <v>288</v>
      </c>
      <c r="B5" s="422"/>
      <c r="C5" s="422"/>
      <c r="D5" s="422"/>
    </row>
    <row r="6" spans="1:30" ht="15">
      <c r="A6" s="33" t="s">
        <v>289</v>
      </c>
      <c r="B6" s="422"/>
      <c r="C6" s="422"/>
      <c r="D6" s="422"/>
    </row>
    <row r="7" spans="1:30" ht="15">
      <c r="A7" s="33" t="s">
        <v>290</v>
      </c>
      <c r="B7" s="422"/>
      <c r="C7" s="422"/>
      <c r="D7" s="422"/>
    </row>
    <row r="8" spans="1:30" ht="15.75" thickBot="1">
      <c r="A8" s="423"/>
      <c r="B8" s="423"/>
      <c r="C8" s="423"/>
      <c r="D8" s="423"/>
    </row>
    <row r="9" spans="1:30" ht="15">
      <c r="A9" s="423"/>
      <c r="B9" s="682" t="s">
        <v>291</v>
      </c>
      <c r="C9" s="683"/>
      <c r="D9" s="424"/>
      <c r="F9" s="688" t="s">
        <v>292</v>
      </c>
      <c r="G9" s="689"/>
      <c r="H9" s="689"/>
      <c r="I9" s="689"/>
      <c r="J9" s="689"/>
      <c r="K9" s="689"/>
      <c r="L9" s="690"/>
    </row>
    <row r="10" spans="1:30" ht="15">
      <c r="A10" s="423"/>
      <c r="B10" s="684"/>
      <c r="C10" s="685"/>
      <c r="D10" s="424"/>
      <c r="F10" s="691"/>
      <c r="G10" s="692"/>
      <c r="H10" s="692"/>
      <c r="I10" s="692"/>
      <c r="J10" s="692"/>
      <c r="K10" s="692"/>
      <c r="L10" s="693"/>
    </row>
    <row r="11" spans="1:30" ht="15.75" thickBot="1">
      <c r="A11" s="423"/>
      <c r="B11" s="684"/>
      <c r="C11" s="685"/>
      <c r="D11" s="424"/>
      <c r="F11" s="694"/>
      <c r="G11" s="695"/>
      <c r="H11" s="695"/>
      <c r="I11" s="695"/>
      <c r="J11" s="695"/>
      <c r="K11" s="695"/>
      <c r="L11" s="696"/>
    </row>
    <row r="12" spans="1:30" ht="15.75" thickBot="1">
      <c r="A12" s="423"/>
      <c r="B12" s="686"/>
      <c r="C12" s="687"/>
      <c r="D12" s="424"/>
      <c r="S12" s="423"/>
    </row>
    <row r="13" spans="1:30" ht="27" thickBot="1">
      <c r="A13" s="425" t="s">
        <v>293</v>
      </c>
      <c r="B13" s="423"/>
      <c r="C13" s="423"/>
      <c r="D13" s="423"/>
      <c r="F13" s="697" t="s">
        <v>294</v>
      </c>
      <c r="G13" s="698"/>
      <c r="H13" s="698"/>
      <c r="I13" s="698"/>
      <c r="J13" s="698"/>
      <c r="K13" s="698"/>
      <c r="L13" s="699"/>
      <c r="S13" s="423"/>
      <c r="U13" s="697" t="s">
        <v>295</v>
      </c>
      <c r="V13" s="698"/>
      <c r="W13" s="698"/>
      <c r="X13" s="698"/>
      <c r="Y13" s="698"/>
      <c r="Z13" s="698"/>
      <c r="AA13" s="699"/>
    </row>
    <row r="14" spans="1:30" ht="15">
      <c r="A14" s="39"/>
      <c r="B14" s="39"/>
      <c r="C14" s="39"/>
      <c r="D14" s="39"/>
      <c r="S14" s="39"/>
    </row>
    <row r="15" spans="1:30" ht="31.5">
      <c r="A15" s="426" t="s">
        <v>296</v>
      </c>
      <c r="B15" s="427" t="s">
        <v>297</v>
      </c>
      <c r="C15" s="428" t="s">
        <v>298</v>
      </c>
      <c r="D15" s="428" t="s">
        <v>299</v>
      </c>
      <c r="E15" s="429"/>
      <c r="F15" s="429"/>
      <c r="G15" s="430"/>
      <c r="H15" s="429"/>
      <c r="I15" s="429"/>
      <c r="J15" s="430"/>
      <c r="K15" s="429"/>
      <c r="L15" s="429"/>
      <c r="M15" s="430"/>
      <c r="N15" s="429"/>
      <c r="O15" s="429"/>
      <c r="P15" s="430"/>
      <c r="S15" s="431" t="s">
        <v>296</v>
      </c>
      <c r="T15" s="429"/>
      <c r="U15" s="429"/>
      <c r="V15" s="432"/>
      <c r="W15" s="429"/>
      <c r="X15" s="429"/>
      <c r="Y15" s="432"/>
      <c r="Z15" s="429"/>
      <c r="AA15" s="429"/>
      <c r="AB15" s="432"/>
      <c r="AC15" s="429"/>
      <c r="AD15" s="429"/>
    </row>
    <row r="16" spans="1:30" ht="15.75">
      <c r="A16" s="426" t="s">
        <v>300</v>
      </c>
      <c r="B16" s="433"/>
      <c r="C16" s="433"/>
      <c r="D16" s="433"/>
      <c r="E16" s="434" t="s">
        <v>301</v>
      </c>
      <c r="F16" s="434" t="s">
        <v>302</v>
      </c>
      <c r="G16" s="435" t="s">
        <v>303</v>
      </c>
      <c r="H16" s="434" t="s">
        <v>301</v>
      </c>
      <c r="I16" s="434" t="s">
        <v>302</v>
      </c>
      <c r="J16" s="435" t="s">
        <v>303</v>
      </c>
      <c r="K16" s="434" t="s">
        <v>301</v>
      </c>
      <c r="L16" s="434" t="s">
        <v>302</v>
      </c>
      <c r="M16" s="435" t="s">
        <v>303</v>
      </c>
      <c r="N16" s="434" t="s">
        <v>301</v>
      </c>
      <c r="O16" s="434" t="s">
        <v>302</v>
      </c>
      <c r="P16" s="435" t="s">
        <v>303</v>
      </c>
      <c r="S16" s="431" t="s">
        <v>91</v>
      </c>
      <c r="T16" s="434" t="s">
        <v>301</v>
      </c>
      <c r="U16" s="434" t="s">
        <v>302</v>
      </c>
      <c r="V16" s="436"/>
      <c r="W16" s="434" t="s">
        <v>301</v>
      </c>
      <c r="X16" s="434" t="s">
        <v>302</v>
      </c>
      <c r="Y16" s="436"/>
      <c r="Z16" s="434" t="s">
        <v>301</v>
      </c>
      <c r="AA16" s="434" t="s">
        <v>302</v>
      </c>
      <c r="AB16" s="436"/>
      <c r="AC16" s="434" t="s">
        <v>301</v>
      </c>
      <c r="AD16" s="434" t="s">
        <v>302</v>
      </c>
    </row>
    <row r="17" spans="1:30" ht="15.75">
      <c r="A17" s="426" t="s">
        <v>304</v>
      </c>
      <c r="B17" s="433">
        <v>648</v>
      </c>
      <c r="C17" s="433">
        <v>29</v>
      </c>
      <c r="D17" s="433">
        <v>1</v>
      </c>
      <c r="E17" s="437">
        <v>75</v>
      </c>
      <c r="F17" s="437">
        <v>20</v>
      </c>
      <c r="G17" s="435">
        <v>2.7</v>
      </c>
      <c r="H17" s="437"/>
      <c r="I17" s="437"/>
      <c r="J17" s="438"/>
      <c r="K17" s="437"/>
      <c r="L17" s="437"/>
      <c r="M17" s="438"/>
      <c r="N17" s="439"/>
      <c r="O17" s="439"/>
      <c r="P17" s="440"/>
      <c r="S17" s="431" t="s">
        <v>305</v>
      </c>
      <c r="T17" s="437" t="s">
        <v>306</v>
      </c>
      <c r="U17" s="437" t="s">
        <v>307</v>
      </c>
      <c r="V17" s="436"/>
      <c r="W17" s="437"/>
      <c r="X17" s="437"/>
      <c r="Y17" s="441"/>
      <c r="Z17" s="437"/>
      <c r="AA17" s="437"/>
      <c r="AB17" s="441"/>
      <c r="AC17" s="439"/>
      <c r="AD17" s="439"/>
    </row>
    <row r="18" spans="1:30" ht="15.75">
      <c r="A18" s="426" t="s">
        <v>308</v>
      </c>
      <c r="B18" s="433"/>
      <c r="C18" s="433"/>
      <c r="D18" s="433"/>
      <c r="E18" s="437" t="s">
        <v>309</v>
      </c>
      <c r="F18" s="437">
        <v>25</v>
      </c>
      <c r="G18" s="438" t="s">
        <v>310</v>
      </c>
      <c r="H18" s="437" t="s">
        <v>311</v>
      </c>
      <c r="I18" s="437">
        <v>18</v>
      </c>
      <c r="J18" s="435">
        <v>2.79</v>
      </c>
      <c r="K18" s="437"/>
      <c r="L18" s="437"/>
      <c r="M18" s="435"/>
      <c r="N18" s="437"/>
      <c r="O18" s="437"/>
      <c r="P18" s="435"/>
      <c r="S18" s="431" t="s">
        <v>312</v>
      </c>
      <c r="T18" s="437" t="s">
        <v>313</v>
      </c>
      <c r="U18" s="437" t="s">
        <v>314</v>
      </c>
      <c r="V18" s="436"/>
      <c r="W18" s="437" t="s">
        <v>315</v>
      </c>
      <c r="X18" s="437" t="s">
        <v>314</v>
      </c>
      <c r="Y18" s="441"/>
      <c r="Z18" s="437"/>
      <c r="AA18" s="437"/>
      <c r="AB18" s="441"/>
      <c r="AC18" s="439"/>
      <c r="AD18" s="439"/>
    </row>
    <row r="19" spans="1:30" ht="15.75">
      <c r="A19" s="426" t="s">
        <v>316</v>
      </c>
      <c r="B19" s="433"/>
      <c r="C19" s="433"/>
      <c r="D19" s="433"/>
      <c r="E19" s="437" t="s">
        <v>317</v>
      </c>
      <c r="F19" s="437">
        <v>25</v>
      </c>
      <c r="G19" s="438" t="s">
        <v>318</v>
      </c>
      <c r="H19" s="437" t="s">
        <v>319</v>
      </c>
      <c r="I19" s="437">
        <v>20</v>
      </c>
      <c r="J19" s="438" t="s">
        <v>320</v>
      </c>
      <c r="K19" s="437" t="s">
        <v>321</v>
      </c>
      <c r="L19" s="437">
        <v>25</v>
      </c>
      <c r="M19" s="438" t="s">
        <v>322</v>
      </c>
      <c r="N19" s="437" t="s">
        <v>323</v>
      </c>
      <c r="O19" s="437">
        <v>18</v>
      </c>
      <c r="P19" s="435">
        <v>2.77</v>
      </c>
      <c r="S19" s="431" t="s">
        <v>237</v>
      </c>
      <c r="T19" s="437" t="s">
        <v>324</v>
      </c>
      <c r="U19" s="437" t="s">
        <v>325</v>
      </c>
      <c r="V19" s="436"/>
      <c r="W19" s="437" t="s">
        <v>326</v>
      </c>
      <c r="X19" s="437" t="s">
        <v>324</v>
      </c>
      <c r="Y19" s="441"/>
      <c r="Z19" s="437"/>
      <c r="AA19" s="437"/>
      <c r="AB19" s="441"/>
      <c r="AC19" s="439"/>
      <c r="AD19" s="439"/>
    </row>
    <row r="20" spans="1:30" ht="15.75">
      <c r="A20" s="426" t="s">
        <v>327</v>
      </c>
      <c r="B20" s="433">
        <v>226</v>
      </c>
      <c r="C20" s="433">
        <v>11</v>
      </c>
      <c r="D20" s="433">
        <v>1</v>
      </c>
      <c r="E20" s="437" t="s">
        <v>328</v>
      </c>
      <c r="F20" s="437" t="s">
        <v>329</v>
      </c>
      <c r="G20" s="435">
        <v>2.79</v>
      </c>
      <c r="H20" s="437">
        <v>55</v>
      </c>
      <c r="I20" s="437">
        <v>18</v>
      </c>
      <c r="J20" s="438" t="s">
        <v>330</v>
      </c>
      <c r="K20" s="437"/>
      <c r="L20" s="437"/>
      <c r="M20" s="438"/>
      <c r="N20" s="439"/>
      <c r="O20" s="439"/>
      <c r="P20" s="440"/>
      <c r="S20" s="431" t="s">
        <v>331</v>
      </c>
      <c r="T20" s="437" t="s">
        <v>332</v>
      </c>
      <c r="U20" s="437" t="s">
        <v>329</v>
      </c>
      <c r="V20" s="436"/>
      <c r="W20" s="437" t="s">
        <v>333</v>
      </c>
      <c r="X20" s="437" t="s">
        <v>307</v>
      </c>
      <c r="Y20" s="441"/>
      <c r="Z20" s="437"/>
      <c r="AA20" s="437"/>
      <c r="AB20" s="441"/>
      <c r="AC20" s="439"/>
      <c r="AD20" s="439"/>
    </row>
    <row r="21" spans="1:30" ht="15.75">
      <c r="A21" s="426" t="s">
        <v>334</v>
      </c>
      <c r="B21" s="433">
        <v>76</v>
      </c>
      <c r="C21" s="433">
        <v>3</v>
      </c>
      <c r="D21" s="433">
        <v>1</v>
      </c>
      <c r="E21" s="437" t="s">
        <v>335</v>
      </c>
      <c r="F21" s="437">
        <v>25</v>
      </c>
      <c r="G21" s="438" t="s">
        <v>310</v>
      </c>
      <c r="H21" s="437">
        <v>57</v>
      </c>
      <c r="I21" s="437">
        <v>18</v>
      </c>
      <c r="J21" s="438" t="s">
        <v>330</v>
      </c>
      <c r="K21" s="437" t="s">
        <v>336</v>
      </c>
      <c r="L21" s="437" t="s">
        <v>329</v>
      </c>
      <c r="M21" s="435">
        <v>2.79</v>
      </c>
      <c r="N21" s="437"/>
      <c r="O21" s="437"/>
      <c r="P21" s="435"/>
      <c r="S21" s="431" t="s">
        <v>337</v>
      </c>
      <c r="T21" s="437"/>
      <c r="U21" s="437"/>
      <c r="V21" s="436"/>
      <c r="W21" s="437"/>
      <c r="X21" s="437"/>
      <c r="Y21" s="441"/>
      <c r="Z21" s="437"/>
      <c r="AA21" s="437"/>
      <c r="AB21" s="441"/>
      <c r="AC21" s="439"/>
      <c r="AD21" s="439"/>
    </row>
    <row r="22" spans="1:30" ht="15.75">
      <c r="A22" s="426" t="s">
        <v>338</v>
      </c>
      <c r="B22" s="433"/>
      <c r="C22" s="433"/>
      <c r="D22" s="433"/>
      <c r="E22" s="437" t="s">
        <v>339</v>
      </c>
      <c r="F22" s="437" t="s">
        <v>307</v>
      </c>
      <c r="G22" s="435">
        <v>3.59</v>
      </c>
      <c r="H22" s="437" t="s">
        <v>340</v>
      </c>
      <c r="I22" s="437" t="s">
        <v>341</v>
      </c>
      <c r="J22" s="438"/>
      <c r="K22" s="437"/>
      <c r="L22" s="437"/>
      <c r="M22" s="438"/>
      <c r="N22" s="439"/>
      <c r="O22" s="439"/>
      <c r="P22" s="440"/>
      <c r="S22" s="431" t="s">
        <v>128</v>
      </c>
      <c r="T22" s="437" t="s">
        <v>313</v>
      </c>
      <c r="U22" s="437" t="s">
        <v>314</v>
      </c>
      <c r="V22" s="436"/>
      <c r="W22" s="437" t="s">
        <v>315</v>
      </c>
      <c r="X22" s="437" t="s">
        <v>314</v>
      </c>
      <c r="Y22" s="441"/>
      <c r="Z22" s="437"/>
      <c r="AA22" s="437"/>
      <c r="AB22" s="441"/>
      <c r="AC22" s="439"/>
      <c r="AD22" s="439"/>
    </row>
    <row r="23" spans="1:30" ht="15.75">
      <c r="A23" s="426" t="s">
        <v>342</v>
      </c>
      <c r="B23" s="433"/>
      <c r="C23" s="433"/>
      <c r="D23" s="433"/>
      <c r="E23" s="437" t="s">
        <v>343</v>
      </c>
      <c r="F23" s="437">
        <v>12</v>
      </c>
      <c r="G23" s="435">
        <v>4.16</v>
      </c>
      <c r="H23" s="437" t="s">
        <v>344</v>
      </c>
      <c r="I23" s="437" t="s">
        <v>345</v>
      </c>
      <c r="J23" s="438"/>
      <c r="K23" s="437"/>
      <c r="L23" s="437"/>
      <c r="M23" s="438"/>
      <c r="N23" s="439"/>
      <c r="O23" s="439"/>
      <c r="P23" s="440"/>
      <c r="S23" s="431" t="s">
        <v>132</v>
      </c>
      <c r="T23" s="437" t="s">
        <v>325</v>
      </c>
      <c r="U23" s="437" t="s">
        <v>324</v>
      </c>
      <c r="V23" s="436"/>
      <c r="W23" s="437" t="s">
        <v>326</v>
      </c>
      <c r="X23" s="437" t="s">
        <v>324</v>
      </c>
      <c r="Y23" s="441"/>
      <c r="Z23" s="437"/>
      <c r="AA23" s="437"/>
      <c r="AB23" s="441"/>
      <c r="AC23" s="439"/>
      <c r="AD23" s="439"/>
    </row>
    <row r="24" spans="1:30" ht="15.75">
      <c r="A24" s="426" t="s">
        <v>346</v>
      </c>
      <c r="B24" s="433"/>
      <c r="C24" s="433"/>
      <c r="D24" s="433"/>
      <c r="E24" s="437" t="s">
        <v>347</v>
      </c>
      <c r="F24" s="437">
        <v>8</v>
      </c>
      <c r="G24" s="435">
        <v>6.25</v>
      </c>
      <c r="H24" s="437" t="s">
        <v>348</v>
      </c>
      <c r="I24" s="437" t="s">
        <v>349</v>
      </c>
      <c r="J24" s="438"/>
      <c r="K24" s="437"/>
      <c r="L24" s="437"/>
      <c r="M24" s="435"/>
      <c r="N24" s="437"/>
      <c r="O24" s="437"/>
      <c r="P24" s="438"/>
      <c r="S24" s="431" t="s">
        <v>133</v>
      </c>
      <c r="T24" s="434" t="s">
        <v>332</v>
      </c>
      <c r="U24" s="434">
        <v>14</v>
      </c>
      <c r="V24" s="436"/>
      <c r="W24" s="437" t="s">
        <v>333</v>
      </c>
      <c r="X24" s="437" t="s">
        <v>307</v>
      </c>
      <c r="Y24" s="441"/>
      <c r="Z24" s="437"/>
      <c r="AA24" s="437"/>
      <c r="AB24" s="441"/>
      <c r="AC24" s="439"/>
      <c r="AD24" s="439"/>
    </row>
    <row r="25" spans="1:30" ht="15.75">
      <c r="A25" s="426" t="s">
        <v>350</v>
      </c>
      <c r="B25" s="433">
        <v>304</v>
      </c>
      <c r="C25" s="433">
        <v>13</v>
      </c>
      <c r="D25" s="433">
        <v>1</v>
      </c>
      <c r="E25" s="437" t="s">
        <v>351</v>
      </c>
      <c r="F25" s="437" t="s">
        <v>352</v>
      </c>
      <c r="G25" s="435">
        <v>2.5299999999999998</v>
      </c>
      <c r="H25" s="437" t="s">
        <v>353</v>
      </c>
      <c r="I25" s="437">
        <v>20</v>
      </c>
      <c r="J25" s="438" t="s">
        <v>354</v>
      </c>
      <c r="K25" s="437"/>
      <c r="L25" s="437"/>
      <c r="M25" s="438"/>
      <c r="N25" s="439"/>
      <c r="O25" s="439"/>
      <c r="P25" s="440"/>
      <c r="S25" s="442"/>
      <c r="T25" s="437"/>
      <c r="U25" s="437"/>
      <c r="V25" s="436"/>
      <c r="W25" s="437"/>
      <c r="X25" s="437"/>
      <c r="Y25" s="441"/>
      <c r="Z25" s="437"/>
      <c r="AA25" s="437"/>
      <c r="AB25" s="441"/>
      <c r="AC25" s="439"/>
      <c r="AD25" s="439"/>
    </row>
    <row r="26" spans="1:30" ht="15.75">
      <c r="A26" s="426" t="s">
        <v>355</v>
      </c>
      <c r="B26" s="433"/>
      <c r="C26" s="433"/>
      <c r="D26" s="433"/>
      <c r="E26" s="437" t="s">
        <v>356</v>
      </c>
      <c r="F26" s="437" t="s">
        <v>357</v>
      </c>
      <c r="G26" s="435">
        <v>2</v>
      </c>
      <c r="H26" s="437">
        <v>19</v>
      </c>
      <c r="I26" s="437">
        <v>18</v>
      </c>
      <c r="J26" s="438" t="s">
        <v>358</v>
      </c>
      <c r="K26" s="437"/>
      <c r="L26" s="437"/>
      <c r="M26" s="438"/>
      <c r="N26" s="439"/>
      <c r="O26" s="439"/>
      <c r="P26" s="440"/>
      <c r="S26" s="442" t="s">
        <v>121</v>
      </c>
      <c r="T26" s="437" t="s">
        <v>359</v>
      </c>
      <c r="U26" s="437" t="s">
        <v>360</v>
      </c>
      <c r="V26" s="436"/>
      <c r="W26" s="437"/>
      <c r="X26" s="437"/>
      <c r="Y26" s="441"/>
      <c r="Z26" s="437"/>
      <c r="AA26" s="437"/>
      <c r="AB26" s="441"/>
      <c r="AC26" s="439"/>
      <c r="AD26" s="439"/>
    </row>
    <row r="27" spans="1:30" ht="15.75">
      <c r="A27" s="426" t="s">
        <v>361</v>
      </c>
      <c r="B27" s="433"/>
      <c r="C27" s="433"/>
      <c r="D27" s="433"/>
      <c r="E27" s="437" t="s">
        <v>321</v>
      </c>
      <c r="F27" s="437">
        <v>25</v>
      </c>
      <c r="G27" s="438" t="s">
        <v>318</v>
      </c>
      <c r="H27" s="437" t="s">
        <v>317</v>
      </c>
      <c r="I27" s="437">
        <v>25</v>
      </c>
      <c r="J27" s="438" t="s">
        <v>318</v>
      </c>
      <c r="K27" s="437" t="s">
        <v>323</v>
      </c>
      <c r="L27" s="437" t="s">
        <v>329</v>
      </c>
      <c r="M27" s="435">
        <v>2.77</v>
      </c>
      <c r="N27" s="437" t="s">
        <v>319</v>
      </c>
      <c r="O27" s="437">
        <v>20</v>
      </c>
      <c r="P27" s="438" t="s">
        <v>362</v>
      </c>
      <c r="S27" s="431"/>
      <c r="T27" s="437"/>
      <c r="U27" s="437"/>
      <c r="V27" s="436"/>
      <c r="W27" s="437"/>
      <c r="X27" s="437"/>
      <c r="Y27" s="441"/>
      <c r="Z27" s="437"/>
      <c r="AA27" s="437"/>
      <c r="AB27" s="441"/>
      <c r="AC27" s="439"/>
      <c r="AD27" s="439"/>
    </row>
    <row r="28" spans="1:30" ht="15.75">
      <c r="A28" s="426" t="s">
        <v>363</v>
      </c>
      <c r="B28" s="433">
        <v>1629</v>
      </c>
      <c r="C28" s="433">
        <v>76</v>
      </c>
      <c r="D28" s="433">
        <v>4</v>
      </c>
      <c r="E28" s="437" t="s">
        <v>364</v>
      </c>
      <c r="F28" s="437" t="s">
        <v>329</v>
      </c>
      <c r="G28" s="435">
        <v>2.79</v>
      </c>
      <c r="H28" s="437">
        <v>24</v>
      </c>
      <c r="I28" s="437">
        <v>18</v>
      </c>
      <c r="J28" s="438" t="s">
        <v>330</v>
      </c>
      <c r="K28" s="437"/>
      <c r="L28" s="437"/>
      <c r="M28" s="438"/>
      <c r="N28" s="439"/>
      <c r="O28" s="439"/>
      <c r="P28" s="440"/>
      <c r="S28" s="443"/>
      <c r="T28" s="444"/>
      <c r="U28" s="444"/>
      <c r="V28" s="445"/>
      <c r="W28" s="444"/>
      <c r="X28" s="444"/>
      <c r="Y28" s="446"/>
      <c r="Z28" s="444"/>
      <c r="AA28" s="444"/>
      <c r="AB28" s="446"/>
      <c r="AC28" s="447"/>
      <c r="AD28" s="447"/>
    </row>
    <row r="29" spans="1:30" ht="15.75">
      <c r="A29" s="426" t="s">
        <v>365</v>
      </c>
      <c r="B29" s="433">
        <v>1088</v>
      </c>
      <c r="C29" s="433">
        <v>54</v>
      </c>
      <c r="D29" s="433">
        <v>3</v>
      </c>
      <c r="E29" s="434">
        <v>66</v>
      </c>
      <c r="F29" s="434">
        <v>17</v>
      </c>
      <c r="G29" s="435">
        <v>2.96</v>
      </c>
      <c r="H29" s="437">
        <v>67</v>
      </c>
      <c r="I29" s="437">
        <v>17</v>
      </c>
      <c r="J29" s="438" t="s">
        <v>366</v>
      </c>
      <c r="K29" s="437" t="s">
        <v>335</v>
      </c>
      <c r="L29" s="437">
        <v>17</v>
      </c>
      <c r="M29" s="438" t="s">
        <v>366</v>
      </c>
      <c r="N29" s="439"/>
      <c r="O29" s="439"/>
      <c r="P29" s="440"/>
      <c r="S29" s="448"/>
      <c r="T29" s="449"/>
      <c r="U29" s="449"/>
      <c r="V29" s="449"/>
      <c r="W29" s="450"/>
      <c r="X29" s="450"/>
      <c r="Y29" s="451"/>
      <c r="Z29" s="451"/>
      <c r="AA29" s="451"/>
      <c r="AB29" s="450"/>
      <c r="AC29" s="451"/>
      <c r="AD29" s="451"/>
    </row>
    <row r="30" spans="1:30" ht="15.75">
      <c r="A30" s="426" t="s">
        <v>367</v>
      </c>
      <c r="B30" s="433">
        <v>151</v>
      </c>
      <c r="C30" s="433">
        <v>11</v>
      </c>
      <c r="D30" s="433">
        <v>2</v>
      </c>
      <c r="E30" s="437" t="s">
        <v>368</v>
      </c>
      <c r="F30" s="437" t="s">
        <v>324</v>
      </c>
      <c r="G30" s="438" t="s">
        <v>369</v>
      </c>
      <c r="H30" s="437">
        <v>69</v>
      </c>
      <c r="I30" s="437">
        <v>9</v>
      </c>
      <c r="J30" s="438" t="s">
        <v>370</v>
      </c>
      <c r="K30" s="437" t="s">
        <v>371</v>
      </c>
      <c r="L30" s="437" t="s">
        <v>349</v>
      </c>
      <c r="M30" s="435">
        <v>5.59</v>
      </c>
      <c r="N30" s="437"/>
      <c r="O30" s="437"/>
      <c r="P30" s="435"/>
      <c r="S30" s="448"/>
      <c r="T30" s="450"/>
      <c r="U30" s="450"/>
      <c r="V30" s="449"/>
      <c r="W30" s="450"/>
      <c r="X30" s="450"/>
      <c r="Y30" s="450"/>
      <c r="Z30" s="450"/>
      <c r="AA30" s="450"/>
      <c r="AB30" s="450"/>
      <c r="AC30" s="451"/>
      <c r="AD30" s="451"/>
    </row>
    <row r="31" spans="1:30" ht="15.75">
      <c r="A31" s="426" t="s">
        <v>372</v>
      </c>
      <c r="B31" s="433">
        <v>60</v>
      </c>
      <c r="C31" s="433">
        <v>5</v>
      </c>
      <c r="D31" s="433">
        <v>1</v>
      </c>
      <c r="E31" s="437" t="s">
        <v>373</v>
      </c>
      <c r="F31" s="437" t="s">
        <v>345</v>
      </c>
      <c r="G31" s="435">
        <v>4.54</v>
      </c>
      <c r="H31" s="437" t="s">
        <v>374</v>
      </c>
      <c r="I31" s="437" t="s">
        <v>375</v>
      </c>
      <c r="J31" s="438"/>
      <c r="K31" s="437" t="s">
        <v>376</v>
      </c>
      <c r="L31" s="437" t="s">
        <v>307</v>
      </c>
      <c r="M31" s="438"/>
      <c r="N31" s="439"/>
      <c r="O31" s="439"/>
      <c r="P31" s="440"/>
      <c r="S31" s="448"/>
      <c r="T31" s="450"/>
      <c r="U31" s="450"/>
      <c r="V31" s="449"/>
      <c r="W31" s="450"/>
      <c r="X31" s="450"/>
      <c r="Y31" s="450"/>
      <c r="Z31" s="450"/>
      <c r="AA31" s="450"/>
      <c r="AB31" s="450"/>
      <c r="AC31" s="451"/>
      <c r="AD31" s="451"/>
    </row>
    <row r="32" spans="1:30" ht="15.75">
      <c r="A32" s="426" t="s">
        <v>377</v>
      </c>
      <c r="B32" s="433">
        <v>534</v>
      </c>
      <c r="C32" s="433">
        <v>44</v>
      </c>
      <c r="D32" s="433">
        <v>4</v>
      </c>
      <c r="E32" s="437" t="s">
        <v>378</v>
      </c>
      <c r="F32" s="437" t="s">
        <v>379</v>
      </c>
      <c r="G32" s="435">
        <v>5</v>
      </c>
      <c r="H32" s="437" t="s">
        <v>380</v>
      </c>
      <c r="I32" s="437" t="s">
        <v>381</v>
      </c>
      <c r="J32" s="438"/>
      <c r="K32" s="437"/>
      <c r="L32" s="437"/>
      <c r="M32" s="438"/>
      <c r="N32" s="439"/>
      <c r="O32" s="439"/>
      <c r="P32" s="440"/>
      <c r="S32" s="448"/>
      <c r="T32" s="450"/>
      <c r="U32" s="450"/>
      <c r="V32" s="449"/>
      <c r="W32" s="450"/>
      <c r="X32" s="450"/>
      <c r="Y32" s="450"/>
      <c r="Z32" s="450"/>
      <c r="AA32" s="450"/>
      <c r="AB32" s="450"/>
      <c r="AC32" s="451"/>
      <c r="AD32" s="451"/>
    </row>
    <row r="33" spans="1:30" ht="15.75">
      <c r="A33" s="426"/>
      <c r="B33" s="433"/>
      <c r="C33" s="433"/>
      <c r="D33" s="433"/>
      <c r="E33" s="437"/>
      <c r="F33" s="437"/>
      <c r="G33" s="435"/>
      <c r="H33" s="437"/>
      <c r="I33" s="437"/>
      <c r="J33" s="438"/>
      <c r="K33" s="437"/>
      <c r="L33" s="437"/>
      <c r="M33" s="438"/>
      <c r="N33" s="439"/>
      <c r="O33" s="439"/>
      <c r="P33" s="440"/>
      <c r="S33" s="448"/>
      <c r="T33" s="450"/>
      <c r="U33" s="450"/>
      <c r="V33" s="449"/>
      <c r="W33" s="450"/>
      <c r="X33" s="450"/>
      <c r="Y33" s="450"/>
      <c r="Z33" s="450"/>
      <c r="AA33" s="450"/>
      <c r="AB33" s="450"/>
      <c r="AC33" s="451"/>
      <c r="AD33" s="451"/>
    </row>
    <row r="34" spans="1:30" ht="15.75">
      <c r="A34" s="426" t="s">
        <v>382</v>
      </c>
      <c r="B34" s="433"/>
      <c r="C34" s="433"/>
      <c r="D34" s="433"/>
      <c r="E34" s="437" t="s">
        <v>353</v>
      </c>
      <c r="F34" s="437" t="s">
        <v>357</v>
      </c>
      <c r="G34" s="438" t="s">
        <v>383</v>
      </c>
      <c r="H34" s="437" t="s">
        <v>384</v>
      </c>
      <c r="I34" s="437" t="s">
        <v>352</v>
      </c>
      <c r="J34" s="435">
        <v>2.7</v>
      </c>
      <c r="K34" s="437"/>
      <c r="L34" s="437"/>
      <c r="M34" s="438"/>
      <c r="N34" s="437"/>
      <c r="O34" s="437"/>
      <c r="P34" s="435"/>
      <c r="S34" s="448"/>
      <c r="T34" s="450"/>
      <c r="U34" s="450"/>
      <c r="V34" s="449"/>
      <c r="W34" s="450"/>
      <c r="X34" s="450"/>
      <c r="Y34" s="450"/>
      <c r="Z34" s="450"/>
      <c r="AA34" s="450"/>
      <c r="AB34" s="450"/>
      <c r="AC34" s="451"/>
      <c r="AD34" s="451"/>
    </row>
    <row r="35" spans="1:30" ht="15.75">
      <c r="A35" s="426" t="s">
        <v>385</v>
      </c>
      <c r="B35" s="433"/>
      <c r="C35" s="433"/>
      <c r="D35" s="433"/>
      <c r="E35" s="437" t="s">
        <v>356</v>
      </c>
      <c r="F35" s="437" t="s">
        <v>357</v>
      </c>
      <c r="G35" s="438" t="s">
        <v>318</v>
      </c>
      <c r="H35" s="437" t="s">
        <v>386</v>
      </c>
      <c r="I35" s="437" t="s">
        <v>329</v>
      </c>
      <c r="J35" s="438" t="s">
        <v>358</v>
      </c>
      <c r="K35" s="437" t="s">
        <v>387</v>
      </c>
      <c r="L35" s="437" t="s">
        <v>329</v>
      </c>
      <c r="M35" s="435">
        <v>2.77</v>
      </c>
      <c r="N35" s="437"/>
      <c r="O35" s="437"/>
      <c r="P35" s="435"/>
      <c r="S35" s="448"/>
      <c r="T35" s="450"/>
      <c r="U35" s="450"/>
      <c r="V35" s="449"/>
      <c r="W35" s="450"/>
      <c r="X35" s="450"/>
      <c r="Y35" s="450"/>
      <c r="Z35" s="450"/>
      <c r="AA35" s="450"/>
      <c r="AB35" s="450"/>
      <c r="AC35" s="451"/>
      <c r="AD35" s="451"/>
    </row>
    <row r="36" spans="1:30" ht="15.75">
      <c r="A36" s="426" t="s">
        <v>388</v>
      </c>
      <c r="B36" s="433"/>
      <c r="C36" s="433"/>
      <c r="D36" s="433"/>
      <c r="E36" s="437" t="s">
        <v>317</v>
      </c>
      <c r="F36" s="437" t="s">
        <v>357</v>
      </c>
      <c r="G36" s="438" t="s">
        <v>318</v>
      </c>
      <c r="H36" s="437" t="s">
        <v>389</v>
      </c>
      <c r="I36" s="437" t="s">
        <v>329</v>
      </c>
      <c r="J36" s="435">
        <v>2.77</v>
      </c>
      <c r="K36" s="437"/>
      <c r="L36" s="437"/>
      <c r="M36" s="438"/>
      <c r="N36" s="437"/>
      <c r="O36" s="437"/>
      <c r="P36" s="435"/>
      <c r="S36" s="448"/>
      <c r="T36" s="450"/>
      <c r="U36" s="450"/>
      <c r="V36" s="449"/>
      <c r="W36" s="450"/>
      <c r="X36" s="450"/>
      <c r="Y36" s="450"/>
      <c r="Z36" s="450"/>
      <c r="AA36" s="450"/>
      <c r="AB36" s="450"/>
      <c r="AC36" s="451"/>
      <c r="AD36" s="451"/>
    </row>
    <row r="37" spans="1:30" ht="15.75">
      <c r="A37" s="426" t="s">
        <v>390</v>
      </c>
      <c r="B37" s="433"/>
      <c r="C37" s="433"/>
      <c r="D37" s="433"/>
      <c r="E37" s="437" t="s">
        <v>391</v>
      </c>
      <c r="F37" s="437" t="s">
        <v>329</v>
      </c>
      <c r="G37" s="435">
        <v>2.81</v>
      </c>
      <c r="H37" s="437" t="s">
        <v>392</v>
      </c>
      <c r="I37" s="437" t="s">
        <v>393</v>
      </c>
      <c r="J37" s="438" t="s">
        <v>394</v>
      </c>
      <c r="K37" s="437"/>
      <c r="L37" s="437"/>
      <c r="M37" s="438"/>
      <c r="N37" s="439"/>
      <c r="O37" s="439"/>
      <c r="P37" s="440"/>
      <c r="S37" s="448"/>
      <c r="T37" s="450"/>
      <c r="U37" s="450"/>
      <c r="V37" s="449"/>
      <c r="W37" s="450"/>
      <c r="X37" s="450"/>
      <c r="Y37" s="450"/>
      <c r="Z37" s="450"/>
      <c r="AA37" s="450"/>
      <c r="AB37" s="450"/>
      <c r="AC37" s="451"/>
      <c r="AD37" s="451"/>
    </row>
    <row r="38" spans="1:30" ht="16.5" thickBot="1">
      <c r="A38" s="426" t="s">
        <v>395</v>
      </c>
      <c r="B38" s="452"/>
      <c r="C38" s="433"/>
      <c r="D38" s="433"/>
      <c r="E38" s="437" t="s">
        <v>396</v>
      </c>
      <c r="F38" s="437" t="s">
        <v>329</v>
      </c>
      <c r="G38" s="438" t="s">
        <v>397</v>
      </c>
      <c r="H38" s="437" t="s">
        <v>398</v>
      </c>
      <c r="I38" s="437" t="s">
        <v>314</v>
      </c>
      <c r="J38" s="435">
        <v>3.16</v>
      </c>
      <c r="K38" s="437"/>
      <c r="L38" s="437"/>
      <c r="M38" s="438"/>
      <c r="N38" s="437"/>
      <c r="O38" s="437"/>
      <c r="P38" s="435"/>
      <c r="S38" s="448"/>
      <c r="T38" s="450"/>
      <c r="U38" s="450"/>
      <c r="V38" s="449"/>
      <c r="W38" s="450"/>
      <c r="X38" s="450"/>
      <c r="Y38" s="450"/>
      <c r="Z38" s="450"/>
      <c r="AA38" s="450"/>
      <c r="AB38" s="450"/>
      <c r="AC38" s="451"/>
      <c r="AD38" s="451"/>
    </row>
    <row r="39" spans="1:30" ht="16.5" thickBot="1">
      <c r="A39" s="453" t="s">
        <v>399</v>
      </c>
      <c r="B39" s="454"/>
      <c r="C39" s="455" t="s">
        <v>400</v>
      </c>
      <c r="D39" s="456" t="s">
        <v>401</v>
      </c>
      <c r="S39" s="448"/>
      <c r="T39" s="457"/>
      <c r="U39" s="457"/>
      <c r="V39" s="457"/>
      <c r="W39" s="457"/>
      <c r="X39" s="457"/>
      <c r="Y39" s="457"/>
      <c r="Z39" s="457"/>
      <c r="AA39" s="457"/>
      <c r="AB39" s="457"/>
      <c r="AC39" s="457"/>
      <c r="AD39" s="457"/>
    </row>
    <row r="40" spans="1:30" ht="15.75" thickBot="1">
      <c r="A40" s="458" t="s">
        <v>402</v>
      </c>
      <c r="B40" s="459"/>
      <c r="C40" s="456" t="s">
        <v>403</v>
      </c>
      <c r="D40" s="460" t="s">
        <v>404</v>
      </c>
      <c r="E40" s="700"/>
      <c r="F40" s="701"/>
    </row>
    <row r="41" spans="1:30" ht="15">
      <c r="A41" s="29"/>
      <c r="B41" s="29"/>
      <c r="C41" s="29"/>
      <c r="D41" s="29"/>
    </row>
    <row r="42" spans="1:30" ht="14.25">
      <c r="A42" s="681" t="s">
        <v>405</v>
      </c>
      <c r="B42" s="681"/>
      <c r="C42" s="681"/>
      <c r="D42" s="681"/>
      <c r="E42" s="681"/>
    </row>
    <row r="44" spans="1:30" ht="15">
      <c r="A44" s="29"/>
      <c r="B44" s="29"/>
      <c r="C44" s="29"/>
      <c r="D44" s="29"/>
    </row>
    <row r="45" spans="1:30" ht="15">
      <c r="A45" s="29"/>
      <c r="B45" s="29"/>
      <c r="C45" s="29"/>
      <c r="D45" s="29"/>
    </row>
    <row r="46" spans="1:30" ht="15">
      <c r="A46" s="29"/>
      <c r="B46" s="29"/>
      <c r="C46" s="29"/>
      <c r="D46" s="29"/>
    </row>
    <row r="47" spans="1:30" ht="15">
      <c r="A47" s="29"/>
      <c r="B47" s="29"/>
      <c r="C47" s="29"/>
      <c r="D47" s="29"/>
    </row>
    <row r="48" spans="1:30" ht="15">
      <c r="A48" s="29"/>
      <c r="B48" s="29"/>
      <c r="C48" s="29"/>
      <c r="D48" s="29"/>
    </row>
  </sheetData>
  <mergeCells count="6">
    <mergeCell ref="A42:E42"/>
    <mergeCell ref="B9:C12"/>
    <mergeCell ref="F9:L11"/>
    <mergeCell ref="F13:L13"/>
    <mergeCell ref="U13:AA13"/>
    <mergeCell ref="E40:F40"/>
  </mergeCells>
  <phoneticPr fontId="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4"/>
  <sheetViews>
    <sheetView showGridLines="0" workbookViewId="0">
      <selection activeCell="E9" sqref="E9"/>
    </sheetView>
  </sheetViews>
  <sheetFormatPr defaultColWidth="9.140625" defaultRowHeight="12.75"/>
  <cols>
    <col min="1" max="1" width="1.85546875" style="1" customWidth="1"/>
    <col min="2" max="2" width="9.42578125" style="1" customWidth="1"/>
    <col min="3" max="3" width="60.85546875" style="1" customWidth="1"/>
    <col min="4" max="8" width="9.140625" style="1" customWidth="1"/>
    <col min="9" max="10" width="9.42578125" style="1" customWidth="1"/>
    <col min="11" max="11" width="11" style="1" customWidth="1"/>
    <col min="12" max="12" width="9.28515625" style="1" customWidth="1"/>
    <col min="13" max="18" width="8.85546875" style="1" customWidth="1"/>
    <col min="19" max="21" width="9.140625" style="1"/>
    <col min="22" max="22" width="16.7109375" style="1" customWidth="1"/>
    <col min="23" max="16384" width="9.140625" style="1"/>
  </cols>
  <sheetData>
    <row r="2" spans="2:15" ht="23.25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2:15">
      <c r="E3" s="1">
        <v>0.8</v>
      </c>
      <c r="L3" s="702"/>
      <c r="M3" s="619"/>
      <c r="N3" s="619"/>
      <c r="O3" s="619"/>
    </row>
    <row r="4" spans="2:15" ht="51">
      <c r="B4" s="69" t="s">
        <v>3</v>
      </c>
      <c r="C4" s="69" t="s">
        <v>4</v>
      </c>
      <c r="D4" s="387" t="s">
        <v>273</v>
      </c>
      <c r="E4" s="387" t="s">
        <v>274</v>
      </c>
      <c r="F4" s="387" t="s">
        <v>7</v>
      </c>
      <c r="G4" s="387" t="s">
        <v>8</v>
      </c>
      <c r="H4" s="387" t="s">
        <v>406</v>
      </c>
      <c r="I4" s="387" t="s">
        <v>9</v>
      </c>
      <c r="J4" s="387" t="s">
        <v>32</v>
      </c>
      <c r="K4" s="387" t="s">
        <v>11</v>
      </c>
      <c r="L4" s="21"/>
      <c r="M4" s="21"/>
      <c r="N4" s="21"/>
      <c r="O4" s="21"/>
    </row>
    <row r="5" spans="2:15">
      <c r="B5" s="355" t="s">
        <v>407</v>
      </c>
      <c r="C5" s="398" t="s">
        <v>408</v>
      </c>
      <c r="D5" s="393">
        <f>(21*60)/D18*$E$2*E18*E3</f>
        <v>7182</v>
      </c>
      <c r="E5" s="393">
        <v>4003</v>
      </c>
      <c r="F5" s="393"/>
      <c r="G5" s="420">
        <f>F5/E5</f>
        <v>0</v>
      </c>
      <c r="H5" s="393">
        <f>E5/22</f>
        <v>181.95454545454547</v>
      </c>
      <c r="I5" s="388">
        <f t="shared" ref="I5:I11" si="0">E5/D5</f>
        <v>0.55736563631300473</v>
      </c>
      <c r="J5" s="388">
        <f>F5/D5</f>
        <v>0</v>
      </c>
      <c r="K5" s="69"/>
    </row>
    <row r="6" spans="2:15">
      <c r="B6" s="403" t="s">
        <v>409</v>
      </c>
      <c r="C6" s="398" t="s">
        <v>410</v>
      </c>
      <c r="D6" s="393">
        <f>(21*60)/D19*$E$2*E19*E3</f>
        <v>7182</v>
      </c>
      <c r="E6" s="393">
        <v>5666</v>
      </c>
      <c r="F6" s="393"/>
      <c r="G6" s="420">
        <f t="shared" ref="G6:G12" si="1">F6/E6</f>
        <v>0</v>
      </c>
      <c r="H6" s="393">
        <f t="shared" ref="H6:H8" si="2">E6/22</f>
        <v>257.54545454545456</v>
      </c>
      <c r="I6" s="388">
        <f t="shared" si="0"/>
        <v>0.78891673628515735</v>
      </c>
      <c r="J6" s="388">
        <f t="shared" ref="J6:J12" si="3">F6/D6</f>
        <v>0</v>
      </c>
      <c r="K6" s="407"/>
    </row>
    <row r="7" spans="2:15">
      <c r="B7" s="355" t="s">
        <v>411</v>
      </c>
      <c r="C7" s="400" t="s">
        <v>412</v>
      </c>
      <c r="D7" s="393">
        <f>(21*60)/D20*$E$2*E20*E3</f>
        <v>3830.4</v>
      </c>
      <c r="E7" s="393"/>
      <c r="F7" s="393"/>
      <c r="G7" s="420" t="e">
        <f t="shared" si="1"/>
        <v>#DIV/0!</v>
      </c>
      <c r="H7" s="393">
        <f t="shared" si="2"/>
        <v>0</v>
      </c>
      <c r="I7" s="388">
        <f t="shared" si="0"/>
        <v>0</v>
      </c>
      <c r="J7" s="388">
        <f t="shared" si="3"/>
        <v>0</v>
      </c>
      <c r="K7" s="407"/>
    </row>
    <row r="8" spans="2:15">
      <c r="B8" s="403" t="s">
        <v>413</v>
      </c>
      <c r="C8" s="398" t="s">
        <v>414</v>
      </c>
      <c r="D8" s="393">
        <f>(21*60)/D21*$E$2*E21*E3</f>
        <v>2052</v>
      </c>
      <c r="E8" s="393">
        <v>2866</v>
      </c>
      <c r="F8" s="393"/>
      <c r="G8" s="420">
        <f t="shared" si="1"/>
        <v>0</v>
      </c>
      <c r="H8" s="393">
        <f t="shared" si="2"/>
        <v>130.27272727272728</v>
      </c>
      <c r="I8" s="388">
        <f t="shared" si="0"/>
        <v>1.3966861598440545</v>
      </c>
      <c r="J8" s="388">
        <f t="shared" si="3"/>
        <v>0</v>
      </c>
      <c r="K8" s="407"/>
    </row>
    <row r="9" spans="2:15">
      <c r="B9" s="355" t="s">
        <v>415</v>
      </c>
      <c r="C9" s="355"/>
      <c r="D9" s="393"/>
      <c r="E9" s="393"/>
      <c r="F9" s="393"/>
      <c r="G9" s="420" t="e">
        <f t="shared" si="1"/>
        <v>#DIV/0!</v>
      </c>
      <c r="H9" s="393"/>
      <c r="I9" s="388" t="e">
        <f t="shared" si="0"/>
        <v>#DIV/0!</v>
      </c>
      <c r="J9" s="388" t="e">
        <f t="shared" si="3"/>
        <v>#DIV/0!</v>
      </c>
      <c r="K9" s="407"/>
    </row>
    <row r="10" spans="2:15">
      <c r="B10" s="355" t="s">
        <v>416</v>
      </c>
      <c r="C10" s="408"/>
      <c r="D10" s="393"/>
      <c r="E10" s="393"/>
      <c r="F10" s="393"/>
      <c r="G10" s="420" t="e">
        <f t="shared" si="1"/>
        <v>#DIV/0!</v>
      </c>
      <c r="H10" s="393"/>
      <c r="I10" s="388" t="e">
        <f t="shared" si="0"/>
        <v>#DIV/0!</v>
      </c>
      <c r="J10" s="388" t="e">
        <f t="shared" si="3"/>
        <v>#DIV/0!</v>
      </c>
      <c r="K10" s="407"/>
    </row>
    <row r="11" spans="2:15">
      <c r="B11" s="355" t="s">
        <v>417</v>
      </c>
      <c r="C11" s="398"/>
      <c r="D11" s="393"/>
      <c r="E11" s="393"/>
      <c r="F11" s="393"/>
      <c r="G11" s="420" t="e">
        <f t="shared" si="1"/>
        <v>#DIV/0!</v>
      </c>
      <c r="H11" s="393"/>
      <c r="I11" s="388" t="e">
        <f t="shared" si="0"/>
        <v>#DIV/0!</v>
      </c>
      <c r="J11" s="388" t="e">
        <f t="shared" si="3"/>
        <v>#DIV/0!</v>
      </c>
      <c r="K11" s="407"/>
    </row>
    <row r="12" spans="2:15" ht="15" customHeight="1">
      <c r="B12" s="355"/>
      <c r="C12" s="404" t="s">
        <v>21</v>
      </c>
      <c r="D12" s="393">
        <f>SUM(D5:D11)</f>
        <v>20246.400000000001</v>
      </c>
      <c r="E12" s="393">
        <f>SUM(E5:E11)</f>
        <v>12535</v>
      </c>
      <c r="F12" s="393">
        <f>SUM(F5:F11)</f>
        <v>0</v>
      </c>
      <c r="G12" s="420">
        <f t="shared" si="1"/>
        <v>0</v>
      </c>
      <c r="H12" s="393"/>
      <c r="I12" s="388">
        <f>E12/D12</f>
        <v>0.61912241188556971</v>
      </c>
      <c r="J12" s="388">
        <f t="shared" si="3"/>
        <v>0</v>
      </c>
      <c r="K12" s="355"/>
      <c r="L12" s="354"/>
      <c r="M12" s="142"/>
    </row>
    <row r="13" spans="2:15" ht="13.5" thickBot="1"/>
    <row r="14" spans="2:15">
      <c r="C14" s="143" t="s">
        <v>418</v>
      </c>
      <c r="D14" s="144">
        <f>SUM(D5:D6)</f>
        <v>14364</v>
      </c>
      <c r="E14" s="144">
        <f>SUM(E5:E6)</f>
        <v>9669</v>
      </c>
      <c r="F14" s="317"/>
      <c r="G14" s="317"/>
      <c r="H14" s="317"/>
      <c r="I14" s="358">
        <f>E14/D14</f>
        <v>0.67314118629908104</v>
      </c>
      <c r="J14" s="19"/>
    </row>
    <row r="15" spans="2:15" ht="13.5" thickBot="1">
      <c r="C15" s="186" t="s">
        <v>419</v>
      </c>
      <c r="D15" s="106">
        <f>SUM(D7:D11)</f>
        <v>5882.4</v>
      </c>
      <c r="E15" s="106">
        <f>SUM(E7:E11)</f>
        <v>2866</v>
      </c>
      <c r="F15" s="318"/>
      <c r="G15" s="318"/>
      <c r="H15" s="318"/>
      <c r="I15" s="147">
        <f>E15/D15</f>
        <v>0.48721610227118184</v>
      </c>
      <c r="J15" s="19"/>
    </row>
    <row r="16" spans="2:15" ht="13.5" thickBot="1"/>
    <row r="17" spans="2:8" ht="13.5" thickBot="1">
      <c r="B17" s="3" t="s">
        <v>3</v>
      </c>
      <c r="C17" s="4" t="s">
        <v>4</v>
      </c>
      <c r="D17" s="4" t="s">
        <v>22</v>
      </c>
      <c r="E17" s="26" t="s">
        <v>420</v>
      </c>
      <c r="F17" s="21"/>
      <c r="G17" s="21"/>
      <c r="H17" s="21"/>
    </row>
    <row r="18" spans="2:8" ht="13.5" thickTop="1">
      <c r="B18" s="6" t="s">
        <v>407</v>
      </c>
      <c r="C18" s="192" t="s">
        <v>421</v>
      </c>
      <c r="D18" s="188">
        <v>8</v>
      </c>
      <c r="E18" s="189">
        <v>3</v>
      </c>
    </row>
    <row r="19" spans="2:8">
      <c r="B19" s="7" t="s">
        <v>409</v>
      </c>
      <c r="C19" s="58" t="s">
        <v>410</v>
      </c>
      <c r="D19" s="157">
        <v>8</v>
      </c>
      <c r="E19" s="139">
        <v>3</v>
      </c>
    </row>
    <row r="20" spans="2:8">
      <c r="B20" s="7" t="s">
        <v>411</v>
      </c>
      <c r="C20" s="183" t="s">
        <v>422</v>
      </c>
      <c r="D20" s="313">
        <v>15</v>
      </c>
      <c r="E20" s="139">
        <v>3</v>
      </c>
    </row>
    <row r="21" spans="2:8">
      <c r="B21" s="7" t="s">
        <v>413</v>
      </c>
      <c r="C21" s="58" t="s">
        <v>414</v>
      </c>
      <c r="D21" s="157">
        <v>28</v>
      </c>
      <c r="E21" s="139">
        <v>3</v>
      </c>
    </row>
    <row r="22" spans="2:8">
      <c r="B22" s="7" t="s">
        <v>415</v>
      </c>
      <c r="C22" s="23"/>
      <c r="D22" s="157"/>
      <c r="E22" s="139">
        <v>3</v>
      </c>
    </row>
    <row r="23" spans="2:8">
      <c r="B23" s="7" t="s">
        <v>416</v>
      </c>
      <c r="C23" s="193"/>
      <c r="D23" s="157"/>
      <c r="E23" s="139">
        <v>3</v>
      </c>
    </row>
    <row r="24" spans="2:8" ht="13.5" thickBot="1">
      <c r="B24" s="184" t="s">
        <v>417</v>
      </c>
      <c r="C24" s="194"/>
      <c r="D24" s="190"/>
      <c r="E24" s="191">
        <v>3</v>
      </c>
    </row>
  </sheetData>
  <mergeCells count="2">
    <mergeCell ref="L3:M3"/>
    <mergeCell ref="N3:O3"/>
  </mergeCells>
  <phoneticPr fontId="4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4"/>
  <sheetViews>
    <sheetView showGridLines="0" zoomScaleNormal="100" workbookViewId="0">
      <selection activeCell="E13" sqref="E13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72.42578125" style="1" customWidth="1"/>
    <col min="4" max="8" width="9.7109375" style="1" customWidth="1"/>
    <col min="9" max="10" width="9.140625" style="1" customWidth="1"/>
    <col min="11" max="11" width="15.140625" style="1" bestFit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273</v>
      </c>
      <c r="E4" s="387" t="s">
        <v>274</v>
      </c>
      <c r="F4" s="387" t="s">
        <v>7</v>
      </c>
      <c r="G4" s="387" t="s">
        <v>275</v>
      </c>
      <c r="H4" s="387" t="s">
        <v>406</v>
      </c>
      <c r="I4" s="387" t="s">
        <v>9</v>
      </c>
      <c r="J4" s="387" t="s">
        <v>32</v>
      </c>
      <c r="K4" s="387" t="s">
        <v>11</v>
      </c>
    </row>
    <row r="5" spans="1:13">
      <c r="B5" s="399" t="s">
        <v>423</v>
      </c>
      <c r="C5" s="398" t="s">
        <v>424</v>
      </c>
      <c r="D5" s="393">
        <f>(21*60)/D17*$E$2*E17*E3</f>
        <v>3359.9999999999995</v>
      </c>
      <c r="E5" s="393">
        <v>1127</v>
      </c>
      <c r="F5" s="393"/>
      <c r="G5" s="420">
        <f>F5/E5</f>
        <v>0</v>
      </c>
      <c r="H5" s="393">
        <f>E5/22</f>
        <v>51.227272727272727</v>
      </c>
      <c r="I5" s="388">
        <f t="shared" ref="I5:I6" si="0">E5/D5</f>
        <v>0.3354166666666667</v>
      </c>
      <c r="J5" s="388">
        <f>F5/D5</f>
        <v>0</v>
      </c>
      <c r="K5" s="355" t="s">
        <v>425</v>
      </c>
    </row>
    <row r="6" spans="1:13">
      <c r="B6" s="355" t="s">
        <v>426</v>
      </c>
      <c r="C6" s="398" t="s">
        <v>427</v>
      </c>
      <c r="D6" s="393">
        <f>(21*60)/D18*$E$2*E18*E3</f>
        <v>5862.8571428571422</v>
      </c>
      <c r="E6" s="393">
        <v>2380</v>
      </c>
      <c r="F6" s="393"/>
      <c r="G6" s="420">
        <f t="shared" ref="G6:G13" si="1">F6/E6</f>
        <v>0</v>
      </c>
      <c r="H6" s="393">
        <f t="shared" ref="H6:H12" si="2">E6/22</f>
        <v>108.18181818181819</v>
      </c>
      <c r="I6" s="388">
        <f t="shared" si="0"/>
        <v>0.40594541910331389</v>
      </c>
      <c r="J6" s="388">
        <f t="shared" ref="J6:J13" si="3">F6/D6</f>
        <v>0</v>
      </c>
      <c r="K6" s="355" t="s">
        <v>428</v>
      </c>
      <c r="M6" s="18"/>
    </row>
    <row r="7" spans="1:13">
      <c r="B7" s="355" t="s">
        <v>429</v>
      </c>
      <c r="C7" s="398" t="s">
        <v>427</v>
      </c>
      <c r="D7" s="393">
        <f>(21*60)/D19*$E$2*E19*E3</f>
        <v>5862.8571428571422</v>
      </c>
      <c r="E7" s="393">
        <v>2380</v>
      </c>
      <c r="F7" s="393"/>
      <c r="G7" s="420">
        <f t="shared" si="1"/>
        <v>0</v>
      </c>
      <c r="H7" s="393">
        <f t="shared" si="2"/>
        <v>108.18181818181819</v>
      </c>
      <c r="I7" s="388">
        <f>E7/D7</f>
        <v>0.40594541910331389</v>
      </c>
      <c r="J7" s="388">
        <f t="shared" si="3"/>
        <v>0</v>
      </c>
      <c r="K7" s="355" t="s">
        <v>428</v>
      </c>
    </row>
    <row r="8" spans="1:13">
      <c r="A8" s="187"/>
      <c r="B8" s="355" t="s">
        <v>430</v>
      </c>
      <c r="C8" s="398" t="s">
        <v>427</v>
      </c>
      <c r="D8" s="393">
        <f>(21*60)/D20*$E$2*E20*E3</f>
        <v>5862.8571428571422</v>
      </c>
      <c r="E8" s="393">
        <v>1363</v>
      </c>
      <c r="F8" s="393"/>
      <c r="G8" s="420">
        <f t="shared" si="1"/>
        <v>0</v>
      </c>
      <c r="H8" s="393">
        <f t="shared" si="2"/>
        <v>61.954545454545453</v>
      </c>
      <c r="I8" s="388">
        <f t="shared" ref="I8:I10" si="4">E8/D8</f>
        <v>0.23248050682261212</v>
      </c>
      <c r="J8" s="388">
        <f t="shared" si="3"/>
        <v>0</v>
      </c>
      <c r="K8" s="355" t="s">
        <v>428</v>
      </c>
    </row>
    <row r="9" spans="1:13">
      <c r="A9" s="187"/>
      <c r="B9" s="355" t="s">
        <v>431</v>
      </c>
      <c r="C9" s="398" t="s">
        <v>432</v>
      </c>
      <c r="D9" s="393">
        <f>(21*60)/D21*$E$2*E21*E3</f>
        <v>15871.82320441989</v>
      </c>
      <c r="E9" s="409">
        <v>2640</v>
      </c>
      <c r="F9" s="409"/>
      <c r="G9" s="420">
        <f t="shared" si="1"/>
        <v>0</v>
      </c>
      <c r="H9" s="393">
        <f t="shared" si="2"/>
        <v>120</v>
      </c>
      <c r="I9" s="388">
        <f t="shared" si="4"/>
        <v>0.16633249791144528</v>
      </c>
      <c r="J9" s="388">
        <f t="shared" si="3"/>
        <v>0</v>
      </c>
      <c r="K9" s="355" t="s">
        <v>433</v>
      </c>
      <c r="M9" s="259"/>
    </row>
    <row r="10" spans="1:13">
      <c r="A10" s="187"/>
      <c r="B10" s="355" t="s">
        <v>434</v>
      </c>
      <c r="C10" s="398" t="s">
        <v>435</v>
      </c>
      <c r="D10" s="393">
        <f>(21*60)/D22*$E$2*E22*E3</f>
        <v>3227.8651685393256</v>
      </c>
      <c r="E10" s="409">
        <v>2866</v>
      </c>
      <c r="F10" s="409"/>
      <c r="G10" s="420">
        <f t="shared" si="1"/>
        <v>0</v>
      </c>
      <c r="H10" s="393">
        <f t="shared" si="2"/>
        <v>130.27272727272728</v>
      </c>
      <c r="I10" s="388">
        <f t="shared" si="4"/>
        <v>0.88789334447229196</v>
      </c>
      <c r="J10" s="388">
        <f>F10/D10</f>
        <v>0</v>
      </c>
      <c r="K10" s="355" t="s">
        <v>436</v>
      </c>
      <c r="M10" s="259"/>
    </row>
    <row r="11" spans="1:13">
      <c r="A11" s="187"/>
      <c r="B11" s="355" t="s">
        <v>437</v>
      </c>
      <c r="C11" s="410" t="s">
        <v>438</v>
      </c>
      <c r="D11" s="393">
        <f>(21*60)/D23*$E$2*E23*E3</f>
        <v>1701.2307692307693</v>
      </c>
      <c r="E11" s="409">
        <v>827</v>
      </c>
      <c r="F11" s="409"/>
      <c r="G11" s="420">
        <f t="shared" si="1"/>
        <v>0</v>
      </c>
      <c r="H11" s="393">
        <f t="shared" si="2"/>
        <v>37.590909090909093</v>
      </c>
      <c r="I11" s="388">
        <f>E11/D11</f>
        <v>0.48611864713329717</v>
      </c>
      <c r="J11" s="388">
        <f t="shared" si="3"/>
        <v>0</v>
      </c>
      <c r="K11" s="355" t="s">
        <v>439</v>
      </c>
    </row>
    <row r="12" spans="1:13">
      <c r="A12" s="187"/>
      <c r="B12" s="355" t="s">
        <v>440</v>
      </c>
      <c r="C12" s="410" t="s">
        <v>438</v>
      </c>
      <c r="D12" s="393">
        <f>(21*60)/D24*$E$2*E24*E3</f>
        <v>1806.7924528301887</v>
      </c>
      <c r="E12" s="409"/>
      <c r="F12" s="409"/>
      <c r="G12" s="420" t="e">
        <f t="shared" si="1"/>
        <v>#DIV/0!</v>
      </c>
      <c r="H12" s="393">
        <f t="shared" si="2"/>
        <v>0</v>
      </c>
      <c r="I12" s="388">
        <f>E12/D12</f>
        <v>0</v>
      </c>
      <c r="J12" s="388">
        <f t="shared" si="3"/>
        <v>0</v>
      </c>
      <c r="K12" s="355" t="s">
        <v>441</v>
      </c>
    </row>
    <row r="13" spans="1:13" ht="13.5">
      <c r="B13" s="355"/>
      <c r="C13" s="404" t="s">
        <v>21</v>
      </c>
      <c r="D13" s="393">
        <f>SUM(D5:D12)</f>
        <v>43556.283023591597</v>
      </c>
      <c r="E13" s="393">
        <f>SUM(E5:E12)</f>
        <v>13583</v>
      </c>
      <c r="F13" s="393">
        <f>SUM(F5:F12)</f>
        <v>0</v>
      </c>
      <c r="G13" s="420">
        <f t="shared" si="1"/>
        <v>0</v>
      </c>
      <c r="H13" s="393"/>
      <c r="I13" s="388">
        <f>E13/D13</f>
        <v>0.3118493833058017</v>
      </c>
      <c r="J13" s="388">
        <f t="shared" si="3"/>
        <v>0</v>
      </c>
      <c r="K13" s="355"/>
      <c r="M13" s="18">
        <f>(0+0+0+1262+2261+1094+1060+1087+1258+3763+0+0+0+0+4010+243+204+275+0+663+138)/3</f>
        <v>5772.666666666667</v>
      </c>
    </row>
    <row r="14" spans="1:13">
      <c r="D14" s="18"/>
      <c r="K14" s="386"/>
    </row>
    <row r="15" spans="1:13" ht="13.5" thickBot="1"/>
    <row r="16" spans="1:13" ht="13.5" thickBot="1">
      <c r="B16" s="3" t="s">
        <v>3</v>
      </c>
      <c r="C16" s="4" t="s">
        <v>4</v>
      </c>
      <c r="D16" s="4" t="s">
        <v>22</v>
      </c>
      <c r="E16" s="26" t="s">
        <v>283</v>
      </c>
      <c r="F16" s="21"/>
      <c r="G16" s="21"/>
      <c r="H16" s="21"/>
    </row>
    <row r="17" spans="2:11" ht="13.5" thickTop="1">
      <c r="B17" s="6" t="s">
        <v>423</v>
      </c>
      <c r="C17" s="58" t="s">
        <v>424</v>
      </c>
      <c r="D17" s="188">
        <v>17.100000000000001</v>
      </c>
      <c r="E17" s="189">
        <v>3</v>
      </c>
    </row>
    <row r="18" spans="2:11">
      <c r="B18" s="7" t="s">
        <v>426</v>
      </c>
      <c r="C18" s="192" t="s">
        <v>427</v>
      </c>
      <c r="D18" s="157">
        <v>9.8000000000000007</v>
      </c>
      <c r="E18" s="139">
        <v>3</v>
      </c>
    </row>
    <row r="19" spans="2:11">
      <c r="B19" s="7" t="s">
        <v>429</v>
      </c>
      <c r="C19" s="192" t="s">
        <v>427</v>
      </c>
      <c r="D19" s="157">
        <v>9.8000000000000007</v>
      </c>
      <c r="E19" s="139">
        <v>3</v>
      </c>
    </row>
    <row r="20" spans="2:11">
      <c r="B20" s="7" t="s">
        <v>430</v>
      </c>
      <c r="C20" s="192" t="s">
        <v>427</v>
      </c>
      <c r="D20" s="157">
        <v>9.8000000000000007</v>
      </c>
      <c r="E20" s="139">
        <v>3</v>
      </c>
      <c r="K20" s="259">
        <f>(250+500+594)/2</f>
        <v>672</v>
      </c>
    </row>
    <row r="21" spans="2:11">
      <c r="B21" s="7" t="s">
        <v>431</v>
      </c>
      <c r="C21" s="58" t="s">
        <v>432</v>
      </c>
      <c r="D21" s="157">
        <v>3.62</v>
      </c>
      <c r="E21" s="139">
        <v>3</v>
      </c>
    </row>
    <row r="22" spans="2:11">
      <c r="B22" s="6" t="s">
        <v>434</v>
      </c>
      <c r="C22" s="192" t="s">
        <v>442</v>
      </c>
      <c r="D22" s="157">
        <v>17.8</v>
      </c>
      <c r="E22" s="139">
        <v>3</v>
      </c>
    </row>
    <row r="23" spans="2:11">
      <c r="B23" s="6" t="s">
        <v>437</v>
      </c>
      <c r="C23" s="255" t="s">
        <v>438</v>
      </c>
      <c r="D23" s="157">
        <v>5.46</v>
      </c>
      <c r="E23" s="257">
        <v>0.48499999999999999</v>
      </c>
      <c r="F23" s="319"/>
      <c r="G23" s="319"/>
      <c r="H23" s="319"/>
    </row>
    <row r="24" spans="2:11" ht="13.5" thickBot="1">
      <c r="B24" s="12" t="s">
        <v>440</v>
      </c>
      <c r="C24" s="256" t="s">
        <v>443</v>
      </c>
      <c r="D24" s="190">
        <v>10.6</v>
      </c>
      <c r="E24" s="251">
        <v>1</v>
      </c>
      <c r="F24" s="259"/>
      <c r="G24" s="259"/>
      <c r="H24" s="259"/>
    </row>
  </sheetData>
  <phoneticPr fontId="40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E2D7-14F3-462E-BDD5-0B6809B293B7}">
  <dimension ref="A2:M33"/>
  <sheetViews>
    <sheetView showGridLines="0" zoomScaleNormal="100" workbookViewId="0">
      <selection activeCell="E9" sqref="E9"/>
    </sheetView>
  </sheetViews>
  <sheetFormatPr defaultColWidth="9.140625" defaultRowHeight="12.75"/>
  <cols>
    <col min="1" max="1" width="1.85546875" style="1" customWidth="1"/>
    <col min="2" max="2" width="9" style="1" bestFit="1" customWidth="1"/>
    <col min="3" max="3" width="53" style="1" bestFit="1" customWidth="1"/>
    <col min="4" max="8" width="9.7109375" style="1" customWidth="1"/>
    <col min="9" max="10" width="9.140625" style="1" customWidth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273</v>
      </c>
      <c r="E4" s="387" t="s">
        <v>274</v>
      </c>
      <c r="F4" s="387" t="s">
        <v>7</v>
      </c>
      <c r="G4" s="387" t="s">
        <v>275</v>
      </c>
      <c r="H4" s="387" t="s">
        <v>406</v>
      </c>
      <c r="I4" s="387" t="s">
        <v>9</v>
      </c>
      <c r="J4" s="387" t="s">
        <v>32</v>
      </c>
      <c r="K4" s="387" t="s">
        <v>11</v>
      </c>
    </row>
    <row r="5" spans="1:13">
      <c r="B5" s="355" t="s">
        <v>444</v>
      </c>
      <c r="C5" s="398" t="s">
        <v>445</v>
      </c>
      <c r="D5" s="393">
        <f>(21*60)/D16*$E$2*E16*E3</f>
        <v>2885.9178082191788</v>
      </c>
      <c r="E5" s="393">
        <v>1567</v>
      </c>
      <c r="F5" s="393"/>
      <c r="G5" s="420">
        <f>F5/E5</f>
        <v>0</v>
      </c>
      <c r="H5" s="393">
        <f>E5/E2</f>
        <v>82.473684210526315</v>
      </c>
      <c r="I5" s="388">
        <f t="shared" ref="I5:I6" si="0">E5/D5</f>
        <v>0.54298150679729618</v>
      </c>
      <c r="J5" s="388">
        <f>F5/D5</f>
        <v>0</v>
      </c>
      <c r="K5" s="355"/>
    </row>
    <row r="6" spans="1:13">
      <c r="B6" s="355" t="s">
        <v>446</v>
      </c>
      <c r="C6" s="398" t="s">
        <v>445</v>
      </c>
      <c r="D6" s="393">
        <f>(21*60)/D17*$E$2*E17*E3</f>
        <v>2885.9178082191788</v>
      </c>
      <c r="E6" s="393">
        <v>1567</v>
      </c>
      <c r="F6" s="393"/>
      <c r="G6" s="420">
        <f t="shared" ref="G6:G12" si="1">F6/E6</f>
        <v>0</v>
      </c>
      <c r="H6" s="393">
        <f>E6/E2</f>
        <v>82.473684210526315</v>
      </c>
      <c r="I6" s="388">
        <f t="shared" si="0"/>
        <v>0.54298150679729618</v>
      </c>
      <c r="J6" s="388">
        <f t="shared" ref="J6:J12" si="2">F6/D6</f>
        <v>0</v>
      </c>
      <c r="K6" s="355"/>
      <c r="M6" s="18"/>
    </row>
    <row r="7" spans="1:13">
      <c r="B7" s="355" t="s">
        <v>447</v>
      </c>
      <c r="C7" s="398" t="s">
        <v>445</v>
      </c>
      <c r="D7" s="393">
        <f>(21*60)/D18*$E$2*E18*E3</f>
        <v>2885.9178082191788</v>
      </c>
      <c r="E7" s="393">
        <v>1567</v>
      </c>
      <c r="F7" s="393"/>
      <c r="G7" s="420">
        <f t="shared" si="1"/>
        <v>0</v>
      </c>
      <c r="H7" s="393">
        <f>E7/E2</f>
        <v>82.473684210526315</v>
      </c>
      <c r="I7" s="388">
        <f>E7/D7</f>
        <v>0.54298150679729618</v>
      </c>
      <c r="J7" s="388">
        <f t="shared" si="2"/>
        <v>0</v>
      </c>
      <c r="K7" s="355"/>
    </row>
    <row r="8" spans="1:13">
      <c r="A8" s="187"/>
      <c r="B8" s="355" t="s">
        <v>448</v>
      </c>
      <c r="C8" s="398" t="s">
        <v>445</v>
      </c>
      <c r="D8" s="393">
        <f>(21*60)/D19*$E$2*E19*E3</f>
        <v>2885.9178082191788</v>
      </c>
      <c r="E8" s="393">
        <v>1567</v>
      </c>
      <c r="F8" s="393"/>
      <c r="G8" s="420">
        <f t="shared" si="1"/>
        <v>0</v>
      </c>
      <c r="H8" s="393">
        <f>E8/E2</f>
        <v>82.473684210526315</v>
      </c>
      <c r="I8" s="388">
        <f t="shared" ref="I8:I9" si="3">E8/D8</f>
        <v>0.54298150679729618</v>
      </c>
      <c r="J8" s="388">
        <f t="shared" si="2"/>
        <v>0</v>
      </c>
      <c r="K8" s="355"/>
    </row>
    <row r="9" spans="1:13">
      <c r="A9" s="187"/>
      <c r="B9" s="355" t="s">
        <v>449</v>
      </c>
      <c r="C9" s="398" t="s">
        <v>450</v>
      </c>
      <c r="D9" s="393">
        <f>(21*60)/D20*$E$2*E20*E3</f>
        <v>5693.8378378378384</v>
      </c>
      <c r="E9" s="409">
        <v>4732</v>
      </c>
      <c r="F9" s="409"/>
      <c r="G9" s="420">
        <f t="shared" si="1"/>
        <v>0</v>
      </c>
      <c r="H9" s="393">
        <f>E9/E2</f>
        <v>249.05263157894737</v>
      </c>
      <c r="I9" s="388">
        <f t="shared" si="3"/>
        <v>0.83107389686337052</v>
      </c>
      <c r="J9" s="388">
        <f t="shared" si="2"/>
        <v>0</v>
      </c>
      <c r="K9" s="355" t="s">
        <v>451</v>
      </c>
      <c r="M9" s="259"/>
    </row>
    <row r="10" spans="1:13">
      <c r="A10" s="187"/>
      <c r="B10" s="355"/>
      <c r="C10" s="410"/>
      <c r="D10" s="393"/>
      <c r="E10" s="409"/>
      <c r="F10" s="409"/>
      <c r="G10" s="420" t="e">
        <f t="shared" si="1"/>
        <v>#DIV/0!</v>
      </c>
      <c r="H10" s="393">
        <f t="shared" ref="H10:H11" si="4">E10/22</f>
        <v>0</v>
      </c>
      <c r="I10" s="388" t="e">
        <f>E10/D10</f>
        <v>#DIV/0!</v>
      </c>
      <c r="J10" s="388" t="e">
        <f t="shared" si="2"/>
        <v>#DIV/0!</v>
      </c>
      <c r="K10" s="355"/>
    </row>
    <row r="11" spans="1:13">
      <c r="A11" s="187"/>
      <c r="B11" s="355"/>
      <c r="C11" s="410"/>
      <c r="D11" s="393"/>
      <c r="E11" s="409"/>
      <c r="F11" s="409"/>
      <c r="G11" s="420" t="e">
        <f t="shared" si="1"/>
        <v>#DIV/0!</v>
      </c>
      <c r="H11" s="393">
        <f t="shared" si="4"/>
        <v>0</v>
      </c>
      <c r="I11" s="388" t="e">
        <f>E11/D11</f>
        <v>#DIV/0!</v>
      </c>
      <c r="J11" s="388" t="e">
        <f t="shared" si="2"/>
        <v>#DIV/0!</v>
      </c>
      <c r="K11" s="355"/>
    </row>
    <row r="12" spans="1:13" ht="13.5">
      <c r="B12" s="355"/>
      <c r="C12" s="404" t="s">
        <v>21</v>
      </c>
      <c r="D12" s="393">
        <f>SUM(D5:D11)</f>
        <v>17237.509070714554</v>
      </c>
      <c r="E12" s="393">
        <f>SUM(E5:E11)</f>
        <v>11000</v>
      </c>
      <c r="F12" s="393">
        <f>SUM(F5:F11)</f>
        <v>0</v>
      </c>
      <c r="G12" s="420">
        <f t="shared" si="1"/>
        <v>0</v>
      </c>
      <c r="H12" s="393"/>
      <c r="I12" s="388">
        <f>E12/D12</f>
        <v>0.63814324650237952</v>
      </c>
      <c r="J12" s="388">
        <f t="shared" si="2"/>
        <v>0</v>
      </c>
      <c r="K12" s="355"/>
      <c r="M12" s="18">
        <f>(0+0+0+1262+2261+1094+1060+1087+1258+3763+0+0+0+0+4010+243+204+275+0+663+138)/3</f>
        <v>5772.666666666667</v>
      </c>
    </row>
    <row r="13" spans="1:13">
      <c r="D13" s="18"/>
      <c r="K13" s="386"/>
    </row>
    <row r="14" spans="1:13" ht="13.5" thickBot="1"/>
    <row r="15" spans="1:13" ht="13.5" thickBot="1">
      <c r="B15" s="3" t="s">
        <v>3</v>
      </c>
      <c r="C15" s="4" t="s">
        <v>4</v>
      </c>
      <c r="D15" s="4" t="s">
        <v>22</v>
      </c>
      <c r="E15" s="26" t="s">
        <v>283</v>
      </c>
      <c r="F15" s="21"/>
      <c r="G15" s="21"/>
      <c r="H15" s="21"/>
    </row>
    <row r="16" spans="1:13" ht="13.5" thickTop="1">
      <c r="B16" s="495" t="s">
        <v>444</v>
      </c>
      <c r="C16" s="493" t="s">
        <v>445</v>
      </c>
      <c r="D16" s="188">
        <v>7.3</v>
      </c>
      <c r="E16" s="189">
        <v>1.1000000000000001</v>
      </c>
    </row>
    <row r="17" spans="2:11">
      <c r="B17" s="7" t="s">
        <v>446</v>
      </c>
      <c r="C17" s="58" t="s">
        <v>445</v>
      </c>
      <c r="D17" s="157">
        <v>7.3</v>
      </c>
      <c r="E17" s="139">
        <v>1.1000000000000001</v>
      </c>
    </row>
    <row r="18" spans="2:11">
      <c r="B18" s="7" t="s">
        <v>447</v>
      </c>
      <c r="C18" s="58" t="s">
        <v>445</v>
      </c>
      <c r="D18" s="157">
        <v>7.3</v>
      </c>
      <c r="E18" s="139">
        <v>1.1000000000000001</v>
      </c>
    </row>
    <row r="19" spans="2:11">
      <c r="B19" s="7" t="s">
        <v>448</v>
      </c>
      <c r="C19" s="58" t="s">
        <v>445</v>
      </c>
      <c r="D19" s="157">
        <v>7.3</v>
      </c>
      <c r="E19" s="139">
        <v>1.1000000000000001</v>
      </c>
      <c r="K19" s="259">
        <f>(250+500+594)/2</f>
        <v>672</v>
      </c>
    </row>
    <row r="20" spans="2:11">
      <c r="B20" s="7" t="s">
        <v>449</v>
      </c>
      <c r="C20" s="58" t="s">
        <v>450</v>
      </c>
      <c r="D20" s="157">
        <v>3.7</v>
      </c>
      <c r="E20" s="139">
        <v>1.1000000000000001</v>
      </c>
    </row>
    <row r="21" spans="2:11">
      <c r="B21" s="7"/>
      <c r="C21" s="494"/>
      <c r="D21" s="157"/>
      <c r="E21" s="257"/>
      <c r="F21" s="319"/>
      <c r="G21" s="319"/>
      <c r="H21" s="319"/>
    </row>
    <row r="22" spans="2:11" ht="13.5" thickBot="1">
      <c r="B22" s="184"/>
      <c r="C22" s="256"/>
      <c r="D22" s="190"/>
      <c r="E22" s="251"/>
      <c r="F22" s="259"/>
      <c r="G22" s="259"/>
      <c r="H22" s="259"/>
      <c r="J22" s="1">
        <v>9265</v>
      </c>
    </row>
    <row r="28" spans="2:11">
      <c r="H28" s="1">
        <f>5600/4</f>
        <v>1400</v>
      </c>
    </row>
    <row r="31" spans="2:11">
      <c r="E31" s="1">
        <f>5065/4</f>
        <v>1266.25</v>
      </c>
    </row>
    <row r="33" spans="8:8">
      <c r="H33" s="1">
        <f>6268/4</f>
        <v>1567</v>
      </c>
    </row>
  </sheetData>
  <phoneticPr fontId="53" type="noConversion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E93B-9EDE-4361-BA46-1A3BC66ED61F}">
  <dimension ref="A2:M29"/>
  <sheetViews>
    <sheetView showGridLines="0" zoomScaleNormal="100" workbookViewId="0">
      <selection activeCell="E7" sqref="E7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80" style="1" bestFit="1" customWidth="1"/>
    <col min="4" max="8" width="9.7109375" style="1" customWidth="1"/>
    <col min="9" max="10" width="9.140625" style="1" customWidth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452</v>
      </c>
      <c r="E4" s="387" t="s">
        <v>30</v>
      </c>
      <c r="F4" s="387" t="s">
        <v>7</v>
      </c>
      <c r="G4" s="387" t="s">
        <v>275</v>
      </c>
      <c r="H4" s="387" t="s">
        <v>453</v>
      </c>
      <c r="I4" s="387" t="s">
        <v>9</v>
      </c>
      <c r="J4" s="387" t="s">
        <v>32</v>
      </c>
      <c r="K4" s="387" t="s">
        <v>11</v>
      </c>
    </row>
    <row r="5" spans="1:13">
      <c r="B5" s="355" t="s">
        <v>454</v>
      </c>
      <c r="C5" s="398" t="s">
        <v>455</v>
      </c>
      <c r="D5" s="393">
        <f>(21*60)/D16*$E$2*E16*E3</f>
        <v>3908.5714285714284</v>
      </c>
      <c r="E5" s="393">
        <v>2761</v>
      </c>
      <c r="F5" s="393"/>
      <c r="G5" s="420">
        <f>F5/E5</f>
        <v>0</v>
      </c>
      <c r="H5" s="393">
        <f>E5/E2</f>
        <v>145.31578947368422</v>
      </c>
      <c r="I5" s="388">
        <f t="shared" ref="I5:I6" si="0">E5/D5</f>
        <v>0.70639619883040938</v>
      </c>
      <c r="J5" s="388">
        <f>F5/D5</f>
        <v>0</v>
      </c>
      <c r="K5" s="355"/>
    </row>
    <row r="6" spans="1:13">
      <c r="B6" s="355" t="s">
        <v>456</v>
      </c>
      <c r="C6" s="398" t="s">
        <v>455</v>
      </c>
      <c r="D6" s="393">
        <f>(21*60)/D17*$E$2*E17*E3</f>
        <v>3908.5714285714284</v>
      </c>
      <c r="E6" s="393">
        <v>2760</v>
      </c>
      <c r="F6" s="393"/>
      <c r="G6" s="420">
        <f t="shared" ref="G6:G12" si="1">F6/E6</f>
        <v>0</v>
      </c>
      <c r="H6" s="393">
        <f>E6/E2</f>
        <v>145.26315789473685</v>
      </c>
      <c r="I6" s="388">
        <f t="shared" si="0"/>
        <v>0.70614035087719296</v>
      </c>
      <c r="J6" s="388">
        <f t="shared" ref="J6:J12" si="2">F6/D6</f>
        <v>0</v>
      </c>
      <c r="K6" s="355"/>
      <c r="M6" s="18"/>
    </row>
    <row r="7" spans="1:13">
      <c r="B7" s="355" t="s">
        <v>457</v>
      </c>
      <c r="C7" s="401" t="s">
        <v>458</v>
      </c>
      <c r="D7" s="393">
        <f>(21*60)/D18*$E$2*E18*E3</f>
        <v>5472</v>
      </c>
      <c r="E7" s="393">
        <v>1468</v>
      </c>
      <c r="F7" s="393"/>
      <c r="G7" s="420">
        <f t="shared" si="1"/>
        <v>0</v>
      </c>
      <c r="H7" s="393">
        <f>E7/E2</f>
        <v>77.263157894736835</v>
      </c>
      <c r="I7" s="388">
        <f>E7/D7</f>
        <v>0.26827485380116961</v>
      </c>
      <c r="J7" s="388">
        <f t="shared" si="2"/>
        <v>0</v>
      </c>
      <c r="K7" s="355" t="s">
        <v>451</v>
      </c>
    </row>
    <row r="8" spans="1:13">
      <c r="A8" s="187"/>
      <c r="B8" s="355"/>
      <c r="C8" s="398"/>
      <c r="D8" s="393"/>
      <c r="E8" s="393"/>
      <c r="F8" s="393"/>
      <c r="G8" s="420"/>
      <c r="H8" s="393"/>
      <c r="I8" s="388"/>
      <c r="J8" s="388"/>
      <c r="K8" s="355"/>
    </row>
    <row r="9" spans="1:13">
      <c r="A9" s="187"/>
      <c r="B9" s="355"/>
      <c r="C9" s="398"/>
      <c r="D9" s="393"/>
      <c r="E9" s="409"/>
      <c r="F9" s="409"/>
      <c r="G9" s="420"/>
      <c r="H9" s="393"/>
      <c r="I9" s="388"/>
      <c r="J9" s="388"/>
      <c r="K9" s="355"/>
      <c r="M9" s="259"/>
    </row>
    <row r="10" spans="1:13">
      <c r="A10" s="187"/>
      <c r="B10" s="355"/>
      <c r="C10" s="410"/>
      <c r="D10" s="393"/>
      <c r="E10" s="409"/>
      <c r="F10" s="409"/>
      <c r="G10" s="420"/>
      <c r="H10" s="393"/>
      <c r="I10" s="388"/>
      <c r="J10" s="388"/>
      <c r="K10" s="355"/>
    </row>
    <row r="11" spans="1:13">
      <c r="A11" s="187"/>
      <c r="B11" s="355"/>
      <c r="C11" s="410"/>
      <c r="D11" s="393"/>
      <c r="E11" s="409"/>
      <c r="F11" s="409"/>
      <c r="G11" s="420"/>
      <c r="H11" s="393"/>
      <c r="I11" s="388"/>
      <c r="J11" s="388"/>
      <c r="K11" s="355"/>
    </row>
    <row r="12" spans="1:13" ht="13.5">
      <c r="B12" s="355"/>
      <c r="C12" s="404" t="s">
        <v>21</v>
      </c>
      <c r="D12" s="393">
        <f>SUM(D5:D11)</f>
        <v>13289.142857142857</v>
      </c>
      <c r="E12" s="393">
        <f>SUM(E5:E11)</f>
        <v>6989</v>
      </c>
      <c r="F12" s="393">
        <f>SUM(F5:F11)</f>
        <v>0</v>
      </c>
      <c r="G12" s="420">
        <f t="shared" si="1"/>
        <v>0</v>
      </c>
      <c r="H12" s="393">
        <f>SUM(H5:H11)</f>
        <v>367.84210526315786</v>
      </c>
      <c r="I12" s="388">
        <f>E12/D12</f>
        <v>0.52591804265565878</v>
      </c>
      <c r="J12" s="388">
        <f t="shared" si="2"/>
        <v>0</v>
      </c>
      <c r="K12" s="355"/>
      <c r="M12" s="18">
        <f>(0+0+0+1262+2261+1094+1060+1087+1258+3763+0+0+0+0+4010+243+204+275+0+663+138)/3</f>
        <v>5772.666666666667</v>
      </c>
    </row>
    <row r="13" spans="1:13">
      <c r="D13" s="18"/>
      <c r="K13" s="386"/>
    </row>
    <row r="14" spans="1:13" ht="13.5" thickBot="1"/>
    <row r="15" spans="1:13" ht="13.5" thickBot="1">
      <c r="B15" s="3" t="s">
        <v>3</v>
      </c>
      <c r="C15" s="4" t="s">
        <v>4</v>
      </c>
      <c r="D15" s="4" t="s">
        <v>22</v>
      </c>
      <c r="E15" s="26" t="s">
        <v>459</v>
      </c>
      <c r="F15" s="21"/>
      <c r="G15" s="21"/>
      <c r="H15" s="21"/>
    </row>
    <row r="16" spans="1:13" ht="13.5" thickTop="1">
      <c r="B16" s="495" t="s">
        <v>454</v>
      </c>
      <c r="C16" s="493" t="s">
        <v>455</v>
      </c>
      <c r="D16" s="188">
        <v>4.9000000000000004</v>
      </c>
      <c r="E16" s="189">
        <v>1</v>
      </c>
    </row>
    <row r="17" spans="2:11">
      <c r="B17" s="7" t="s">
        <v>456</v>
      </c>
      <c r="C17" s="58" t="s">
        <v>455</v>
      </c>
      <c r="D17" s="157">
        <v>4.9000000000000004</v>
      </c>
      <c r="E17" s="139">
        <v>1</v>
      </c>
    </row>
    <row r="18" spans="2:11">
      <c r="B18" s="7" t="s">
        <v>457</v>
      </c>
      <c r="C18" s="496" t="s">
        <v>458</v>
      </c>
      <c r="D18" s="157">
        <v>3.5</v>
      </c>
      <c r="E18" s="139">
        <v>1</v>
      </c>
    </row>
    <row r="19" spans="2:11">
      <c r="B19" s="6"/>
      <c r="C19" s="192"/>
      <c r="D19" s="157"/>
      <c r="E19" s="139"/>
      <c r="K19" s="259">
        <f>(250+500+594)/2</f>
        <v>672</v>
      </c>
    </row>
    <row r="20" spans="2:11">
      <c r="B20" s="7"/>
      <c r="C20" s="58"/>
      <c r="D20" s="157"/>
      <c r="E20" s="139"/>
    </row>
    <row r="21" spans="2:11">
      <c r="B21" s="7"/>
      <c r="C21" s="494"/>
      <c r="D21" s="157"/>
      <c r="E21" s="257"/>
      <c r="F21" s="319"/>
      <c r="G21" s="319"/>
      <c r="H21" s="319"/>
    </row>
    <row r="22" spans="2:11" ht="13.5" thickBot="1">
      <c r="B22" s="184"/>
      <c r="C22" s="256"/>
      <c r="D22" s="190"/>
      <c r="E22" s="251"/>
      <c r="F22" s="259"/>
      <c r="G22" s="259"/>
      <c r="H22" s="259"/>
      <c r="J22" s="1">
        <v>9265</v>
      </c>
    </row>
    <row r="29" spans="2:11">
      <c r="E29" s="1">
        <f>5521/2</f>
        <v>2760.5</v>
      </c>
    </row>
  </sheetData>
  <phoneticPr fontId="53" type="noConversion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BE214591F796C44BB0D143472EF5DE7" ma:contentTypeVersion="3" ma:contentTypeDescription="新しいドキュメントを作成します。" ma:contentTypeScope="" ma:versionID="230f47c277290a1581fbee99b1719f07">
  <xsd:schema xmlns:xsd="http://www.w3.org/2001/XMLSchema" xmlns:xs="http://www.w3.org/2001/XMLSchema" xmlns:p="http://schemas.microsoft.com/office/2006/metadata/properties" xmlns:ns2="787d7a92-1713-4781-81fd-8380be07d888" targetNamespace="http://schemas.microsoft.com/office/2006/metadata/properties" ma:root="true" ma:fieldsID="b207545d4d94b9a93578fa6c91f36173" ns2:_="">
    <xsd:import namespace="787d7a92-1713-4781-81fd-8380be07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d7a92-1713-4781-81fd-8380be07d8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193E8-291B-47C5-B010-3557C078D9E0}"/>
</file>

<file path=customXml/itemProps2.xml><?xml version="1.0" encoding="utf-8"?>
<ds:datastoreItem xmlns:ds="http://schemas.openxmlformats.org/officeDocument/2006/customXml" ds:itemID="{81AE1C75-15D8-4733-9A12-C1D33DF31D06}"/>
</file>

<file path=customXml/itemProps3.xml><?xml version="1.0" encoding="utf-8"?>
<ds:datastoreItem xmlns:ds="http://schemas.openxmlformats.org/officeDocument/2006/customXml" ds:itemID="{F9739889-8C57-4514-BB96-A587E040CE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/>
  <cp:revision/>
  <dcterms:created xsi:type="dcterms:W3CDTF">2004-09-28T17:18:56Z</dcterms:created>
  <dcterms:modified xsi:type="dcterms:W3CDTF">2023-08-08T16:55:35Z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0x010100FBE214591F796C44BB0D143472EF5DE7</vt:lpwstr>
  </property>
</Properties>
</file>