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\课\大三下\软件项目与过程管理\期末答辩\"/>
    </mc:Choice>
  </mc:AlternateContent>
  <xr:revisionPtr revIDLastSave="0" documentId="13_ncr:1_{6B888C68-7BEB-4F7D-84A8-3D8B05BB86E2}" xr6:coauthVersionLast="36" xr6:coauthVersionMax="36" xr10:uidLastSave="{00000000-0000-0000-0000-000000000000}"/>
  <bookViews>
    <workbookView xWindow="0" yWindow="0" windowWidth="7956" windowHeight="5184" xr2:uid="{00000000-000D-0000-FFFF-FFFF00000000}"/>
  </bookViews>
  <sheets>
    <sheet name="财务报表" sheetId="1" r:id="rId1"/>
  </sheets>
  <calcPr calcId="191029"/>
</workbook>
</file>

<file path=xl/calcChain.xml><?xml version="1.0" encoding="utf-8"?>
<calcChain xmlns="http://schemas.openxmlformats.org/spreadsheetml/2006/main">
  <c r="C146" i="1" l="1"/>
  <c r="C41" i="1"/>
  <c r="C42" i="1"/>
  <c r="C45" i="1" l="1"/>
  <c r="D44" i="1"/>
  <c r="E44" i="1"/>
  <c r="F44" i="1"/>
  <c r="C44" i="1"/>
  <c r="C31" i="1"/>
  <c r="B16" i="1"/>
  <c r="B15" i="1"/>
  <c r="C5" i="1"/>
  <c r="C290" i="1" l="1"/>
  <c r="C289" i="1"/>
  <c r="C287" i="1"/>
  <c r="E284" i="1"/>
  <c r="F284" i="1"/>
  <c r="E265" i="1"/>
  <c r="F265" i="1"/>
  <c r="G265" i="1"/>
  <c r="C265" i="1"/>
  <c r="C263" i="1" s="1"/>
  <c r="D264" i="1"/>
  <c r="E264" i="1"/>
  <c r="F264" i="1"/>
  <c r="C264" i="1"/>
  <c r="F263" i="1"/>
  <c r="D259" i="1"/>
  <c r="E259" i="1"/>
  <c r="F259" i="1"/>
  <c r="G259" i="1"/>
  <c r="D257" i="1"/>
  <c r="E257" i="1"/>
  <c r="F257" i="1"/>
  <c r="C257" i="1"/>
  <c r="D256" i="1"/>
  <c r="E256" i="1"/>
  <c r="F256" i="1"/>
  <c r="F255" i="1" s="1"/>
  <c r="G256" i="1"/>
  <c r="C256" i="1"/>
  <c r="D252" i="1"/>
  <c r="E252" i="1"/>
  <c r="F252" i="1"/>
  <c r="G252" i="1"/>
  <c r="C252" i="1"/>
  <c r="D245" i="1"/>
  <c r="E245" i="1"/>
  <c r="C245" i="1"/>
  <c r="D239" i="1"/>
  <c r="D238" i="1" s="1"/>
  <c r="E239" i="1"/>
  <c r="E238" i="1" s="1"/>
  <c r="F239" i="1"/>
  <c r="F238" i="1" s="1"/>
  <c r="G239" i="1"/>
  <c r="G238" i="1" s="1"/>
  <c r="C239" i="1"/>
  <c r="C238" i="1" s="1"/>
  <c r="D197" i="1"/>
  <c r="E197" i="1"/>
  <c r="C197" i="1"/>
  <c r="E193" i="1"/>
  <c r="F193" i="1"/>
  <c r="G193" i="1"/>
  <c r="C193" i="1"/>
  <c r="D192" i="1"/>
  <c r="E192" i="1"/>
  <c r="F192" i="1"/>
  <c r="C192" i="1"/>
  <c r="E191" i="1"/>
  <c r="F191" i="1"/>
  <c r="C191" i="1"/>
  <c r="D190" i="1"/>
  <c r="E190" i="1"/>
  <c r="F190" i="1"/>
  <c r="G190" i="1"/>
  <c r="C190" i="1"/>
  <c r="D188" i="1"/>
  <c r="E188" i="1"/>
  <c r="F188" i="1"/>
  <c r="C188" i="1"/>
  <c r="D187" i="1"/>
  <c r="E187" i="1"/>
  <c r="F187" i="1"/>
  <c r="C187" i="1"/>
  <c r="D8" i="1"/>
  <c r="E8" i="1"/>
  <c r="D171" i="1"/>
  <c r="E171" i="1"/>
  <c r="C171" i="1"/>
  <c r="D159" i="1"/>
  <c r="D186" i="1" s="1"/>
  <c r="E159" i="1"/>
  <c r="E186" i="1" s="1"/>
  <c r="F159" i="1"/>
  <c r="F158" i="1" s="1"/>
  <c r="G159" i="1"/>
  <c r="G186" i="1" s="1"/>
  <c r="C159" i="1"/>
  <c r="C158" i="1" s="1"/>
  <c r="C144" i="1"/>
  <c r="C143" i="1"/>
  <c r="E140" i="1"/>
  <c r="F140" i="1"/>
  <c r="G140" i="1"/>
  <c r="G284" i="1" s="1"/>
  <c r="E128" i="1"/>
  <c r="E139" i="1" s="1"/>
  <c r="E285" i="1" s="1"/>
  <c r="E283" i="1" s="1"/>
  <c r="F128" i="1"/>
  <c r="F139" i="1" s="1"/>
  <c r="F285" i="1" s="1"/>
  <c r="G128" i="1"/>
  <c r="G134" i="1" s="1"/>
  <c r="G264" i="1" s="1"/>
  <c r="G263" i="1" s="1"/>
  <c r="D128" i="1"/>
  <c r="D139" i="1" s="1"/>
  <c r="D285" i="1" s="1"/>
  <c r="D130" i="1"/>
  <c r="E130" i="1"/>
  <c r="F130" i="1"/>
  <c r="C130" i="1"/>
  <c r="D135" i="1" s="1"/>
  <c r="D113" i="1"/>
  <c r="D117" i="1" s="1"/>
  <c r="E113" i="1"/>
  <c r="E117" i="1" s="1"/>
  <c r="F113" i="1"/>
  <c r="F114" i="1" s="1"/>
  <c r="G113" i="1"/>
  <c r="G114" i="1" s="1"/>
  <c r="C113" i="1"/>
  <c r="C114" i="1" s="1"/>
  <c r="C91" i="1"/>
  <c r="D103" i="1"/>
  <c r="D104" i="1" s="1"/>
  <c r="D89" i="1" s="1"/>
  <c r="E103" i="1"/>
  <c r="E104" i="1" s="1"/>
  <c r="E89" i="1" s="1"/>
  <c r="F103" i="1"/>
  <c r="F104" i="1" s="1"/>
  <c r="F89" i="1" s="1"/>
  <c r="G103" i="1"/>
  <c r="G104" i="1" s="1"/>
  <c r="G89" i="1" s="1"/>
  <c r="C103" i="1"/>
  <c r="C104" i="1" s="1"/>
  <c r="C89" i="1" s="1"/>
  <c r="C87" i="1"/>
  <c r="C78" i="1"/>
  <c r="C92" i="1" s="1"/>
  <c r="D42" i="1"/>
  <c r="E42" i="1" s="1"/>
  <c r="D45" i="1"/>
  <c r="D40" i="1" s="1"/>
  <c r="E45" i="1"/>
  <c r="E40" i="1" s="1"/>
  <c r="F45" i="1"/>
  <c r="F40" i="1" s="1"/>
  <c r="G45" i="1"/>
  <c r="G43" i="1"/>
  <c r="G257" i="1" s="1"/>
  <c r="D129" i="1"/>
  <c r="C40" i="1"/>
  <c r="D25" i="1"/>
  <c r="E25" i="1"/>
  <c r="F25" i="1"/>
  <c r="G25" i="1"/>
  <c r="D28" i="1"/>
  <c r="E28" i="1"/>
  <c r="F28" i="1"/>
  <c r="G28" i="1"/>
  <c r="C28" i="1"/>
  <c r="C25" i="1"/>
  <c r="D7" i="1"/>
  <c r="E7" i="1"/>
  <c r="F7" i="1"/>
  <c r="G7" i="1"/>
  <c r="F8" i="1"/>
  <c r="G8" i="1"/>
  <c r="D4" i="1"/>
  <c r="D71" i="1" s="1"/>
  <c r="E4" i="1"/>
  <c r="E71" i="1" s="1"/>
  <c r="F4" i="1"/>
  <c r="F98" i="1" s="1"/>
  <c r="G4" i="1"/>
  <c r="G98" i="1" s="1"/>
  <c r="C8" i="1"/>
  <c r="C75" i="1" s="1"/>
  <c r="C17" i="1"/>
  <c r="C7" i="1" s="1"/>
  <c r="G117" i="1" l="1"/>
  <c r="G118" i="1"/>
  <c r="G112" i="1" s="1"/>
  <c r="E158" i="1"/>
  <c r="D114" i="1"/>
  <c r="D158" i="1"/>
  <c r="D255" i="1"/>
  <c r="D287" i="1"/>
  <c r="C135" i="1"/>
  <c r="G130" i="1"/>
  <c r="G139" i="1" s="1"/>
  <c r="G285" i="1" s="1"/>
  <c r="G283" i="1" s="1"/>
  <c r="C55" i="1"/>
  <c r="C57" i="1" s="1"/>
  <c r="C59" i="1" s="1"/>
  <c r="C279" i="1" s="1"/>
  <c r="C4" i="1"/>
  <c r="C67" i="1" s="1"/>
  <c r="F68" i="1" s="1"/>
  <c r="F283" i="1"/>
  <c r="F42" i="1"/>
  <c r="E287" i="1"/>
  <c r="G255" i="1"/>
  <c r="D118" i="1"/>
  <c r="D112" i="1" s="1"/>
  <c r="G135" i="1"/>
  <c r="E114" i="1"/>
  <c r="F135" i="1"/>
  <c r="E255" i="1"/>
  <c r="C118" i="1"/>
  <c r="E263" i="1"/>
  <c r="E185" i="1"/>
  <c r="E207" i="1"/>
  <c r="G192" i="1"/>
  <c r="G191" i="1"/>
  <c r="D207" i="1"/>
  <c r="D185" i="1"/>
  <c r="F118" i="1"/>
  <c r="E135" i="1"/>
  <c r="E262" i="1" s="1"/>
  <c r="E261" i="1" s="1"/>
  <c r="E254" i="1" s="1"/>
  <c r="G207" i="1"/>
  <c r="C117" i="1"/>
  <c r="C112" i="1" s="1"/>
  <c r="E118" i="1"/>
  <c r="E112" i="1" s="1"/>
  <c r="C139" i="1"/>
  <c r="C285" i="1" s="1"/>
  <c r="C186" i="1"/>
  <c r="G93" i="1"/>
  <c r="F71" i="1"/>
  <c r="F72" i="1" s="1"/>
  <c r="F117" i="1"/>
  <c r="F112" i="1" s="1"/>
  <c r="C131" i="1"/>
  <c r="F186" i="1"/>
  <c r="F194" i="1"/>
  <c r="F93" i="1"/>
  <c r="G132" i="1"/>
  <c r="E72" i="1"/>
  <c r="D72" i="1"/>
  <c r="D73" i="1" s="1"/>
  <c r="E56" i="1"/>
  <c r="E58" i="1" s="1"/>
  <c r="E76" i="1"/>
  <c r="F76" i="1"/>
  <c r="G76" i="1"/>
  <c r="D76" i="1"/>
  <c r="C77" i="1"/>
  <c r="G99" i="1"/>
  <c r="G100" i="1" s="1"/>
  <c r="G87" i="1" s="1"/>
  <c r="G90" i="1" s="1"/>
  <c r="G243" i="1" s="1"/>
  <c r="F99" i="1"/>
  <c r="F100" i="1" s="1"/>
  <c r="F87" i="1" s="1"/>
  <c r="F90" i="1" s="1"/>
  <c r="F243" i="1" s="1"/>
  <c r="C90" i="1"/>
  <c r="C243" i="1" s="1"/>
  <c r="G71" i="1"/>
  <c r="E98" i="1"/>
  <c r="G40" i="1"/>
  <c r="D98" i="1"/>
  <c r="C30" i="1"/>
  <c r="C275" i="1" s="1"/>
  <c r="G30" i="1"/>
  <c r="F30" i="1"/>
  <c r="F275" i="1" s="1"/>
  <c r="E30" i="1"/>
  <c r="E275" i="1" s="1"/>
  <c r="D30" i="1"/>
  <c r="D275" i="1" s="1"/>
  <c r="G3" i="1"/>
  <c r="F3" i="1"/>
  <c r="E3" i="1"/>
  <c r="D3" i="1"/>
  <c r="E68" i="1" l="1"/>
  <c r="E78" i="1" s="1"/>
  <c r="E144" i="1" s="1"/>
  <c r="C69" i="1"/>
  <c r="C79" i="1" s="1"/>
  <c r="C280" i="1" s="1"/>
  <c r="G68" i="1"/>
  <c r="G78" i="1" s="1"/>
  <c r="C11" i="1"/>
  <c r="C3" i="1" s="1"/>
  <c r="C38" i="1" s="1"/>
  <c r="D68" i="1"/>
  <c r="D69" i="1" s="1"/>
  <c r="E69" i="1" s="1"/>
  <c r="F69" i="1" s="1"/>
  <c r="G69" i="1" s="1"/>
  <c r="D56" i="1"/>
  <c r="D58" i="1" s="1"/>
  <c r="F56" i="1"/>
  <c r="F58" i="1" s="1"/>
  <c r="G56" i="1"/>
  <c r="G58" i="1" s="1"/>
  <c r="G143" i="1" s="1"/>
  <c r="G72" i="1"/>
  <c r="E73" i="1"/>
  <c r="D196" i="1"/>
  <c r="D208" i="1"/>
  <c r="D244" i="1" s="1"/>
  <c r="D167" i="1"/>
  <c r="E164" i="1"/>
  <c r="E250" i="1"/>
  <c r="E249" i="1" s="1"/>
  <c r="E247" i="1" s="1"/>
  <c r="G164" i="1"/>
  <c r="G250" i="1"/>
  <c r="G249" i="1" s="1"/>
  <c r="G247" i="1" s="1"/>
  <c r="F132" i="1"/>
  <c r="F262" i="1"/>
  <c r="F261" i="1" s="1"/>
  <c r="F254" i="1" s="1"/>
  <c r="G42" i="1"/>
  <c r="G287" i="1" s="1"/>
  <c r="F287" i="1"/>
  <c r="D164" i="1"/>
  <c r="D250" i="1"/>
  <c r="D249" i="1" s="1"/>
  <c r="D247" i="1" s="1"/>
  <c r="F164" i="1"/>
  <c r="F250" i="1"/>
  <c r="F249" i="1" s="1"/>
  <c r="F247" i="1" s="1"/>
  <c r="F277" i="1"/>
  <c r="G194" i="1"/>
  <c r="G262" i="1"/>
  <c r="G261" i="1" s="1"/>
  <c r="G254" i="1" s="1"/>
  <c r="G162" i="1"/>
  <c r="G188" i="1" s="1"/>
  <c r="G275" i="1"/>
  <c r="F208" i="1"/>
  <c r="F244" i="1" s="1"/>
  <c r="F196" i="1"/>
  <c r="F167" i="1"/>
  <c r="C166" i="1"/>
  <c r="C195" i="1"/>
  <c r="E91" i="1"/>
  <c r="E143" i="1"/>
  <c r="C39" i="1"/>
  <c r="C165" i="1"/>
  <c r="G166" i="1"/>
  <c r="G195" i="1"/>
  <c r="F166" i="1"/>
  <c r="F163" i="1" s="1"/>
  <c r="F169" i="1" s="1"/>
  <c r="F195" i="1"/>
  <c r="D91" i="1"/>
  <c r="D143" i="1"/>
  <c r="E132" i="1"/>
  <c r="E194" i="1"/>
  <c r="E93" i="1"/>
  <c r="F73" i="1"/>
  <c r="G73" i="1" s="1"/>
  <c r="C207" i="1"/>
  <c r="C185" i="1"/>
  <c r="G91" i="1"/>
  <c r="F185" i="1"/>
  <c r="F207" i="1"/>
  <c r="F91" i="1"/>
  <c r="F143" i="1"/>
  <c r="C138" i="1"/>
  <c r="C262" i="1" s="1"/>
  <c r="C261" i="1" s="1"/>
  <c r="D138" i="1"/>
  <c r="D262" i="1" s="1"/>
  <c r="C145" i="1"/>
  <c r="C259" i="1" s="1"/>
  <c r="C255" i="1" s="1"/>
  <c r="D137" i="1"/>
  <c r="D265" i="1" s="1"/>
  <c r="D263" i="1" s="1"/>
  <c r="C140" i="1"/>
  <c r="C284" i="1" s="1"/>
  <c r="C283" i="1" s="1"/>
  <c r="G208" i="1"/>
  <c r="G244" i="1" s="1"/>
  <c r="G196" i="1"/>
  <c r="G167" i="1"/>
  <c r="C167" i="1"/>
  <c r="C208" i="1"/>
  <c r="C244" i="1" s="1"/>
  <c r="C242" i="1" s="1"/>
  <c r="C237" i="1" s="1"/>
  <c r="C196" i="1"/>
  <c r="E208" i="1"/>
  <c r="E244" i="1" s="1"/>
  <c r="E196" i="1"/>
  <c r="E167" i="1"/>
  <c r="D77" i="1"/>
  <c r="D99" i="1"/>
  <c r="D100" i="1" s="1"/>
  <c r="D87" i="1" s="1"/>
  <c r="D90" i="1" s="1"/>
  <c r="D243" i="1" s="1"/>
  <c r="D242" i="1" s="1"/>
  <c r="D237" i="1" s="1"/>
  <c r="F78" i="1"/>
  <c r="E99" i="1"/>
  <c r="E100" i="1" s="1"/>
  <c r="E87" i="1" s="1"/>
  <c r="E90" i="1" s="1"/>
  <c r="E243" i="1" s="1"/>
  <c r="D57" i="1"/>
  <c r="C12" i="1"/>
  <c r="D12" i="1"/>
  <c r="D38" i="1"/>
  <c r="D37" i="1" s="1"/>
  <c r="F12" i="1"/>
  <c r="F38" i="1"/>
  <c r="F37" i="1" s="1"/>
  <c r="E12" i="1"/>
  <c r="E38" i="1"/>
  <c r="E37" i="1" s="1"/>
  <c r="G12" i="1"/>
  <c r="G38" i="1"/>
  <c r="G37" i="1" s="1"/>
  <c r="E242" i="1" l="1"/>
  <c r="E237" i="1" s="1"/>
  <c r="E268" i="1" s="1"/>
  <c r="D261" i="1"/>
  <c r="D254" i="1" s="1"/>
  <c r="D268" i="1" s="1"/>
  <c r="C37" i="1"/>
  <c r="E277" i="1"/>
  <c r="C250" i="1"/>
  <c r="C249" i="1" s="1"/>
  <c r="C247" i="1" s="1"/>
  <c r="D277" i="1"/>
  <c r="C277" i="1"/>
  <c r="D78" i="1"/>
  <c r="D92" i="1" s="1"/>
  <c r="C164" i="1"/>
  <c r="C163" i="1" s="1"/>
  <c r="C169" i="1" s="1"/>
  <c r="G277" i="1"/>
  <c r="E92" i="1"/>
  <c r="C254" i="1"/>
  <c r="C268" i="1" s="1"/>
  <c r="C269" i="1" s="1"/>
  <c r="G163" i="1"/>
  <c r="D191" i="1"/>
  <c r="D193" i="1"/>
  <c r="D140" i="1"/>
  <c r="D284" i="1" s="1"/>
  <c r="D283" i="1" s="1"/>
  <c r="D93" i="1"/>
  <c r="D132" i="1"/>
  <c r="D194" i="1"/>
  <c r="G92" i="1"/>
  <c r="G94" i="1" s="1"/>
  <c r="G209" i="1" s="1"/>
  <c r="G211" i="1" s="1"/>
  <c r="G144" i="1"/>
  <c r="C194" i="1"/>
  <c r="C189" i="1" s="1"/>
  <c r="C198" i="1" s="1"/>
  <c r="C93" i="1"/>
  <c r="C94" i="1" s="1"/>
  <c r="C209" i="1" s="1"/>
  <c r="C211" i="1" s="1"/>
  <c r="C132" i="1"/>
  <c r="E94" i="1"/>
  <c r="E209" i="1" s="1"/>
  <c r="E211" i="1" s="1"/>
  <c r="E166" i="1"/>
  <c r="E163" i="1" s="1"/>
  <c r="E169" i="1" s="1"/>
  <c r="E172" i="1" s="1"/>
  <c r="E195" i="1"/>
  <c r="E189" i="1" s="1"/>
  <c r="E198" i="1" s="1"/>
  <c r="F92" i="1"/>
  <c r="F94" i="1" s="1"/>
  <c r="F209" i="1" s="1"/>
  <c r="F211" i="1" s="1"/>
  <c r="F144" i="1"/>
  <c r="D166" i="1"/>
  <c r="D163" i="1" s="1"/>
  <c r="D169" i="1" s="1"/>
  <c r="D172" i="1" s="1"/>
  <c r="D195" i="1"/>
  <c r="D79" i="1"/>
  <c r="D280" i="1" s="1"/>
  <c r="E77" i="1"/>
  <c r="D59" i="1"/>
  <c r="D279" i="1" s="1"/>
  <c r="E57" i="1"/>
  <c r="D144" i="1" l="1"/>
  <c r="D94" i="1"/>
  <c r="D209" i="1" s="1"/>
  <c r="D211" i="1" s="1"/>
  <c r="D215" i="1" s="1"/>
  <c r="C278" i="1"/>
  <c r="C274" i="1" s="1"/>
  <c r="C273" i="1" s="1"/>
  <c r="C295" i="1" s="1"/>
  <c r="D269" i="1"/>
  <c r="E142" i="1"/>
  <c r="E146" i="1" s="1"/>
  <c r="E215" i="1"/>
  <c r="E228" i="1"/>
  <c r="E229" i="1" s="1"/>
  <c r="E213" i="1"/>
  <c r="C199" i="1"/>
  <c r="D189" i="1"/>
  <c r="D198" i="1" s="1"/>
  <c r="G142" i="1"/>
  <c r="G146" i="1" s="1"/>
  <c r="G213" i="1"/>
  <c r="G214" i="1" s="1"/>
  <c r="G245" i="1" s="1"/>
  <c r="G242" i="1" s="1"/>
  <c r="G237" i="1" s="1"/>
  <c r="G268" i="1" s="1"/>
  <c r="G228" i="1"/>
  <c r="G229" i="1" s="1"/>
  <c r="C228" i="1"/>
  <c r="C229" i="1" s="1"/>
  <c r="C213" i="1"/>
  <c r="D212" i="1"/>
  <c r="C215" i="1"/>
  <c r="C142" i="1"/>
  <c r="F142" i="1"/>
  <c r="F146" i="1" s="1"/>
  <c r="F228" i="1"/>
  <c r="F229" i="1" s="1"/>
  <c r="F213" i="1"/>
  <c r="F214" i="1" s="1"/>
  <c r="C172" i="1"/>
  <c r="C170" i="1"/>
  <c r="D170" i="1" s="1"/>
  <c r="E170" i="1" s="1"/>
  <c r="F170" i="1" s="1"/>
  <c r="F77" i="1"/>
  <c r="E79" i="1"/>
  <c r="E280" i="1" s="1"/>
  <c r="F57" i="1"/>
  <c r="E59" i="1"/>
  <c r="E279" i="1" s="1"/>
  <c r="D213" i="1" l="1"/>
  <c r="C233" i="1"/>
  <c r="C234" i="1"/>
  <c r="D228" i="1"/>
  <c r="D229" i="1" s="1"/>
  <c r="D142" i="1"/>
  <c r="D146" i="1" s="1"/>
  <c r="G215" i="1"/>
  <c r="D199" i="1"/>
  <c r="E199" i="1" s="1"/>
  <c r="F215" i="1"/>
  <c r="F245" i="1"/>
  <c r="F242" i="1" s="1"/>
  <c r="F237" i="1" s="1"/>
  <c r="F268" i="1" s="1"/>
  <c r="D278" i="1"/>
  <c r="D274" i="1" s="1"/>
  <c r="D273" i="1" s="1"/>
  <c r="D295" i="1" s="1"/>
  <c r="E269" i="1"/>
  <c r="C173" i="1"/>
  <c r="D173" i="1" s="1"/>
  <c r="E173" i="1" s="1"/>
  <c r="G171" i="1"/>
  <c r="G197" i="1"/>
  <c r="G189" i="1" s="1"/>
  <c r="F197" i="1"/>
  <c r="F189" i="1" s="1"/>
  <c r="F198" i="1" s="1"/>
  <c r="F171" i="1"/>
  <c r="F172" i="1" s="1"/>
  <c r="C226" i="1"/>
  <c r="C227" i="1" s="1"/>
  <c r="C291" i="1" s="1"/>
  <c r="C286" i="1" s="1"/>
  <c r="C282" i="1" s="1"/>
  <c r="C217" i="1"/>
  <c r="C220" i="1" s="1"/>
  <c r="G77" i="1"/>
  <c r="G79" i="1" s="1"/>
  <c r="F79" i="1"/>
  <c r="F280" i="1" s="1"/>
  <c r="G57" i="1"/>
  <c r="F59" i="1"/>
  <c r="F279" i="1" s="1"/>
  <c r="F173" i="1" l="1"/>
  <c r="F199" i="1"/>
  <c r="G161" i="1"/>
  <c r="G280" i="1"/>
  <c r="F269" i="1"/>
  <c r="E278" i="1"/>
  <c r="E274" i="1" s="1"/>
  <c r="E273" i="1" s="1"/>
  <c r="E295" i="1" s="1"/>
  <c r="G59" i="1"/>
  <c r="G279" i="1" s="1"/>
  <c r="G160" i="1"/>
  <c r="D216" i="1"/>
  <c r="D217" i="1" s="1"/>
  <c r="D222" i="1" s="1"/>
  <c r="D223" i="1" s="1"/>
  <c r="D290" i="1" s="1"/>
  <c r="G269" i="1" l="1"/>
  <c r="G278" i="1" s="1"/>
  <c r="G274" i="1" s="1"/>
  <c r="G273" i="1" s="1"/>
  <c r="G295" i="1" s="1"/>
  <c r="F278" i="1"/>
  <c r="F274" i="1" s="1"/>
  <c r="F273" i="1" s="1"/>
  <c r="F295" i="1" s="1"/>
  <c r="D218" i="1"/>
  <c r="D220" i="1" s="1"/>
  <c r="G187" i="1"/>
  <c r="G185" i="1" s="1"/>
  <c r="G198" i="1" s="1"/>
  <c r="G158" i="1"/>
  <c r="G169" i="1" s="1"/>
  <c r="H295" i="1" l="1"/>
  <c r="G172" i="1"/>
  <c r="C177" i="1"/>
  <c r="C176" i="1"/>
  <c r="C178" i="1"/>
  <c r="G170" i="1"/>
  <c r="D219" i="1"/>
  <c r="D289" i="1" s="1"/>
  <c r="D226" i="1"/>
  <c r="D227" i="1" s="1"/>
  <c r="D291" i="1" s="1"/>
  <c r="C203" i="1"/>
  <c r="C202" i="1"/>
  <c r="G199" i="1"/>
  <c r="D286" i="1" l="1"/>
  <c r="D282" i="1" s="1"/>
  <c r="E216" i="1"/>
  <c r="E217" i="1" s="1"/>
  <c r="E222" i="1" s="1"/>
  <c r="E223" i="1" s="1"/>
  <c r="E290" i="1" s="1"/>
  <c r="C180" i="1"/>
  <c r="C179" i="1"/>
  <c r="C181" i="1"/>
  <c r="G173" i="1"/>
  <c r="E218" i="1" l="1"/>
  <c r="E220" i="1" s="1"/>
  <c r="E226" i="1" l="1"/>
  <c r="E227" i="1" s="1"/>
  <c r="E291" i="1" s="1"/>
  <c r="E219" i="1"/>
  <c r="E289" i="1" s="1"/>
  <c r="E286" i="1" l="1"/>
  <c r="E282" i="1" s="1"/>
  <c r="F216" i="1"/>
  <c r="F217" i="1" s="1"/>
  <c r="F222" i="1" s="1"/>
  <c r="F223" i="1" s="1"/>
  <c r="F290" i="1" l="1"/>
  <c r="F218" i="1"/>
  <c r="F220" i="1" s="1"/>
  <c r="F226" i="1" l="1"/>
  <c r="F227" i="1" s="1"/>
  <c r="F219" i="1"/>
  <c r="F289" i="1" s="1"/>
  <c r="G216" i="1" l="1"/>
  <c r="G217" i="1" s="1"/>
  <c r="G222" i="1" s="1"/>
  <c r="G223" i="1" s="1"/>
  <c r="G290" i="1" s="1"/>
  <c r="F291" i="1"/>
  <c r="F286" i="1" s="1"/>
  <c r="F282" i="1" s="1"/>
  <c r="G218" i="1" l="1"/>
  <c r="G226" i="1" s="1"/>
  <c r="G227" i="1" s="1"/>
  <c r="G291" i="1" s="1"/>
  <c r="G219" i="1" l="1"/>
  <c r="G289" i="1" s="1"/>
  <c r="G286" i="1" s="1"/>
  <c r="G282" i="1" s="1"/>
  <c r="G220" i="1"/>
</calcChain>
</file>

<file path=xl/sharedStrings.xml><?xml version="1.0" encoding="utf-8"?>
<sst xmlns="http://schemas.openxmlformats.org/spreadsheetml/2006/main" count="484" uniqueCount="313">
  <si>
    <t>1</t>
    <phoneticPr fontId="1" type="noConversion"/>
  </si>
  <si>
    <t>1.1</t>
    <phoneticPr fontId="1" type="noConversion"/>
  </si>
  <si>
    <t>1.1.1</t>
    <phoneticPr fontId="1" type="noConversion"/>
  </si>
  <si>
    <t>1.1.2</t>
    <phoneticPr fontId="1" type="noConversion"/>
  </si>
  <si>
    <t>1.2</t>
    <phoneticPr fontId="1" type="noConversion"/>
  </si>
  <si>
    <t>1.3</t>
    <phoneticPr fontId="1" type="noConversion"/>
  </si>
  <si>
    <t>1.3.1</t>
    <phoneticPr fontId="1" type="noConversion"/>
  </si>
  <si>
    <t>1.3.2</t>
    <phoneticPr fontId="1" type="noConversion"/>
  </si>
  <si>
    <t>1.4</t>
    <phoneticPr fontId="1" type="noConversion"/>
  </si>
  <si>
    <t>2</t>
    <phoneticPr fontId="1" type="noConversion"/>
  </si>
  <si>
    <t>1.</t>
    <phoneticPr fontId="1" type="noConversion"/>
  </si>
  <si>
    <t>2.1</t>
    <phoneticPr fontId="1" type="noConversion"/>
  </si>
  <si>
    <t>3</t>
    <phoneticPr fontId="1" type="noConversion"/>
  </si>
  <si>
    <t>4</t>
    <phoneticPr fontId="1" type="noConversion"/>
  </si>
  <si>
    <t>2.1.1</t>
    <phoneticPr fontId="1" type="noConversion"/>
  </si>
  <si>
    <t>2.2</t>
    <phoneticPr fontId="1" type="noConversion"/>
  </si>
  <si>
    <t>2.2.1</t>
    <phoneticPr fontId="1" type="noConversion"/>
  </si>
  <si>
    <t>2.3</t>
    <phoneticPr fontId="1" type="noConversion"/>
  </si>
  <si>
    <t>2.3.1</t>
    <phoneticPr fontId="1" type="noConversion"/>
  </si>
  <si>
    <t>3.1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</si>
  <si>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</si>
  <si>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</si>
  <si>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</si>
  <si>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9</t>
    <phoneticPr fontId="1" type="noConversion"/>
  </si>
  <si>
    <t>8</t>
    <phoneticPr fontId="1" type="noConversion"/>
  </si>
  <si>
    <t>10</t>
    <phoneticPr fontId="1" type="noConversion"/>
  </si>
  <si>
    <t>2.1.2</t>
    <phoneticPr fontId="1" type="noConversion"/>
  </si>
  <si>
    <t>2.4</t>
    <phoneticPr fontId="1" type="noConversion"/>
  </si>
  <si>
    <t>1.5</t>
    <phoneticPr fontId="1" type="noConversion"/>
  </si>
  <si>
    <t>1.6</t>
    <phoneticPr fontId="1" type="noConversion"/>
  </si>
  <si>
    <t>1.7</t>
    <phoneticPr fontId="1" type="noConversion"/>
  </si>
  <si>
    <t>1.8</t>
    <phoneticPr fontId="1" type="noConversion"/>
  </si>
  <si>
    <t>1.9</t>
    <phoneticPr fontId="1" type="noConversion"/>
  </si>
  <si>
    <t>2.2.2</t>
    <phoneticPr fontId="1" type="noConversion"/>
  </si>
  <si>
    <t>2.6</t>
    <phoneticPr fontId="1" type="noConversion"/>
  </si>
  <si>
    <t>1.1.3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</si>
  <si>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</si>
  <si>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</si>
  <si>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</si>
  <si>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1.2.4</t>
    <phoneticPr fontId="1" type="noConversion"/>
  </si>
  <si>
    <t>2.2.3</t>
    <phoneticPr fontId="1" type="noConversion"/>
  </si>
  <si>
    <t>2.2.4</t>
    <phoneticPr fontId="1" type="noConversion"/>
  </si>
  <si>
    <t>3.1.1</t>
    <phoneticPr fontId="1" type="noConversion"/>
  </si>
  <si>
    <t>3.1.2</t>
    <phoneticPr fontId="1" type="noConversion"/>
  </si>
  <si>
    <t>3.1.3</t>
    <phoneticPr fontId="1" type="noConversion"/>
  </si>
  <si>
    <t>3.1.4</t>
    <phoneticPr fontId="1" type="noConversion"/>
  </si>
  <si>
    <t>3.1.5</t>
    <phoneticPr fontId="1" type="noConversion"/>
  </si>
  <si>
    <t>3.2</t>
    <phoneticPr fontId="1" type="noConversion"/>
  </si>
  <si>
    <t>3.2.1</t>
    <phoneticPr fontId="1" type="noConversion"/>
  </si>
  <si>
    <t>3.2.2</t>
    <phoneticPr fontId="1" type="noConversion"/>
  </si>
  <si>
    <t>3.2.2.1</t>
    <phoneticPr fontId="1" type="noConversion"/>
  </si>
  <si>
    <t>3.2.2.2</t>
    <phoneticPr fontId="1" type="noConversion"/>
  </si>
  <si>
    <t>3.2.3</t>
    <phoneticPr fontId="1" type="noConversion"/>
  </si>
  <si>
    <t>3.2.4</t>
    <phoneticPr fontId="1" type="noConversion"/>
  </si>
  <si>
    <t>1.1.4</t>
    <phoneticPr fontId="1" type="noConversion"/>
  </si>
  <si>
    <t>2.2.5</t>
    <phoneticPr fontId="1" type="noConversion"/>
  </si>
  <si>
    <t>计算指标：</t>
    <phoneticPr fontId="1" type="noConversion"/>
  </si>
  <si>
    <t>&gt;10%</t>
    <phoneticPr fontId="1" type="noConversion"/>
  </si>
  <si>
    <t>&gt;0</t>
    <phoneticPr fontId="1" type="noConversion"/>
  </si>
  <si>
    <t>项目财务分析计算所需基本参数</t>
    <phoneticPr fontId="1" type="noConversion"/>
  </si>
  <si>
    <r>
      <rPr>
        <b/>
        <sz val="11"/>
        <color rgb="FFFFFFFF"/>
        <rFont val="宋体"/>
        <family val="3"/>
        <charset val="134"/>
      </rPr>
      <t>序号</t>
    </r>
    <phoneticPr fontId="1" type="noConversion"/>
  </si>
  <si>
    <r>
      <rPr>
        <b/>
        <sz val="11"/>
        <color rgb="FFFFFFFF"/>
        <rFont val="宋体"/>
        <family val="3"/>
        <charset val="134"/>
      </rPr>
      <t>项目</t>
    </r>
    <r>
      <rPr>
        <b/>
        <sz val="11"/>
        <color rgb="FFFFFFFF"/>
        <rFont val="Times New Roman"/>
        <family val="1"/>
      </rPr>
      <t>/</t>
    </r>
    <r>
      <rPr>
        <b/>
        <sz val="11"/>
        <color rgb="FFFFFFFF"/>
        <rFont val="宋体"/>
        <family val="3"/>
        <charset val="134"/>
      </rPr>
      <t>年份</t>
    </r>
  </si>
  <si>
    <r>
      <t>1</t>
    </r>
    <r>
      <rPr>
        <b/>
        <sz val="11"/>
        <color rgb="FFFFFFFF"/>
        <rFont val="宋体"/>
        <family val="3"/>
        <charset val="134"/>
      </rPr>
      <t>（开发期）</t>
    </r>
    <phoneticPr fontId="1" type="noConversion"/>
  </si>
  <si>
    <r>
      <rPr>
        <sz val="11"/>
        <color indexed="8"/>
        <rFont val="宋体"/>
        <family val="3"/>
        <charset val="134"/>
      </rPr>
      <t>规划期：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年，开发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年，运维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年</t>
    </r>
    <phoneticPr fontId="1" type="noConversion"/>
  </si>
  <si>
    <r>
      <rPr>
        <b/>
        <sz val="11"/>
        <color indexed="8"/>
        <rFont val="宋体"/>
        <family val="3"/>
        <charset val="134"/>
      </rPr>
      <t>建设投资</t>
    </r>
    <phoneticPr fontId="1" type="noConversion"/>
  </si>
  <si>
    <r>
      <rPr>
        <b/>
        <sz val="11"/>
        <color indexed="8"/>
        <rFont val="宋体"/>
        <family val="3"/>
        <charset val="134"/>
      </rPr>
      <t>软件开发与运维费</t>
    </r>
    <phoneticPr fontId="1" type="noConversion"/>
  </si>
  <si>
    <r>
      <rPr>
        <sz val="11"/>
        <color indexed="8"/>
        <rFont val="宋体"/>
        <family val="3"/>
        <charset val="134"/>
      </rPr>
      <t>软件平台与应用软件开发费</t>
    </r>
    <phoneticPr fontId="1" type="noConversion"/>
  </si>
  <si>
    <r>
      <rPr>
        <sz val="11"/>
        <color indexed="8"/>
        <rFont val="宋体"/>
        <family val="3"/>
        <charset val="134"/>
      </rPr>
      <t>软件增强开发与运维费</t>
    </r>
    <phoneticPr fontId="1" type="noConversion"/>
  </si>
  <si>
    <r>
      <rPr>
        <b/>
        <sz val="11"/>
        <color indexed="8"/>
        <rFont val="宋体"/>
        <family val="3"/>
        <charset val="134"/>
      </rPr>
      <t>设备及工器具购置费</t>
    </r>
    <phoneticPr fontId="1" type="noConversion"/>
  </si>
  <si>
    <r>
      <rPr>
        <sz val="11"/>
        <color indexed="8"/>
        <rFont val="宋体"/>
        <family val="3"/>
        <charset val="134"/>
      </rPr>
      <t>税率：增值税</t>
    </r>
    <r>
      <rPr>
        <sz val="11"/>
        <color indexed="8"/>
        <rFont val="Times New Roman"/>
        <family val="1"/>
      </rPr>
      <t>6%</t>
    </r>
    <r>
      <rPr>
        <sz val="11"/>
        <color indexed="8"/>
        <rFont val="宋体"/>
        <family val="3"/>
        <charset val="134"/>
      </rPr>
      <t>，城市建设维护税</t>
    </r>
    <r>
      <rPr>
        <sz val="11"/>
        <color indexed="8"/>
        <rFont val="Times New Roman"/>
        <family val="1"/>
      </rPr>
      <t>7%</t>
    </r>
    <r>
      <rPr>
        <sz val="11"/>
        <color indexed="8"/>
        <rFont val="宋体"/>
        <family val="3"/>
        <charset val="134"/>
      </rPr>
      <t>，教育费附加</t>
    </r>
    <r>
      <rPr>
        <sz val="11"/>
        <color indexed="8"/>
        <rFont val="Times New Roman"/>
        <family val="1"/>
      </rPr>
      <t>3%</t>
    </r>
    <r>
      <rPr>
        <sz val="11"/>
        <color indexed="8"/>
        <rFont val="宋体"/>
        <family val="3"/>
        <charset val="134"/>
      </rPr>
      <t>，所得税</t>
    </r>
    <r>
      <rPr>
        <sz val="11"/>
        <color indexed="8"/>
        <rFont val="Times New Roman"/>
        <family val="1"/>
      </rPr>
      <t>25%</t>
    </r>
    <phoneticPr fontId="1" type="noConversion"/>
  </si>
  <si>
    <r>
      <rPr>
        <b/>
        <sz val="11"/>
        <color indexed="8"/>
        <rFont val="宋体"/>
        <family val="3"/>
        <charset val="134"/>
      </rPr>
      <t>工程建设其他费用</t>
    </r>
    <phoneticPr fontId="1" type="noConversion"/>
  </si>
  <si>
    <r>
      <rPr>
        <sz val="11"/>
        <color indexed="8"/>
        <rFont val="宋体"/>
        <family val="3"/>
        <charset val="134"/>
      </rPr>
      <t>项目开办费</t>
    </r>
    <phoneticPr fontId="1" type="noConversion"/>
  </si>
  <si>
    <r>
      <rPr>
        <sz val="11"/>
        <color indexed="8"/>
        <rFont val="宋体"/>
        <family val="3"/>
        <charset val="134"/>
      </rPr>
      <t>建设单位管理费</t>
    </r>
    <phoneticPr fontId="1" type="noConversion"/>
  </si>
  <si>
    <r>
      <rPr>
        <b/>
        <sz val="11"/>
        <color indexed="8"/>
        <rFont val="宋体"/>
        <family val="3"/>
        <charset val="134"/>
      </rPr>
      <t>基本预备费</t>
    </r>
    <phoneticPr fontId="1" type="noConversion"/>
  </si>
  <si>
    <r>
      <rPr>
        <b/>
        <sz val="11"/>
        <color indexed="8"/>
        <rFont val="宋体"/>
        <family val="3"/>
        <charset val="134"/>
      </rPr>
      <t>项目建设投资合计</t>
    </r>
    <phoneticPr fontId="1" type="noConversion"/>
  </si>
  <si>
    <r>
      <rPr>
        <sz val="11"/>
        <color indexed="8"/>
        <rFont val="宋体"/>
        <family val="3"/>
        <charset val="134"/>
      </rPr>
      <t>注：</t>
    </r>
    <phoneticPr fontId="1" type="noConversion"/>
  </si>
  <si>
    <r>
      <rPr>
        <sz val="11"/>
        <color indexed="8"/>
        <rFont val="宋体"/>
        <family val="3"/>
        <charset val="134"/>
      </rPr>
      <t>开发人员在岗人数</t>
    </r>
  </si>
  <si>
    <r>
      <rPr>
        <sz val="11"/>
        <color indexed="8"/>
        <rFont val="宋体"/>
        <family val="3"/>
        <charset val="134"/>
      </rPr>
      <t>设备及工器具购置费</t>
    </r>
    <phoneticPr fontId="1" type="noConversion"/>
  </si>
  <si>
    <r>
      <t xml:space="preserve">    </t>
    </r>
    <r>
      <rPr>
        <sz val="11"/>
        <color indexed="8"/>
        <rFont val="宋体"/>
        <family val="3"/>
        <charset val="134"/>
      </rPr>
      <t>办公场地装修</t>
    </r>
    <phoneticPr fontId="1" type="noConversion"/>
  </si>
  <si>
    <r>
      <rPr>
        <sz val="11"/>
        <color indexed="8"/>
        <rFont val="宋体"/>
        <family val="3"/>
        <charset val="134"/>
      </rPr>
      <t>基本预备费</t>
    </r>
    <r>
      <rPr>
        <sz val="11"/>
        <color indexed="8"/>
        <rFont val="Times New Roman"/>
        <family val="1"/>
      </rPr>
      <t>=</t>
    </r>
    <r>
      <rPr>
        <sz val="11"/>
        <color indexed="8"/>
        <rFont val="宋体"/>
        <family val="3"/>
        <charset val="134"/>
      </rPr>
      <t>（软件开发与运维费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设备及工器具购置费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工程建设其他费用）</t>
    </r>
    <r>
      <rPr>
        <sz val="11"/>
        <color indexed="8"/>
        <rFont val="Times New Roman"/>
        <family val="1"/>
      </rPr>
      <t>*0.1</t>
    </r>
    <phoneticPr fontId="1" type="noConversion"/>
  </si>
  <si>
    <r>
      <rPr>
        <b/>
        <sz val="11"/>
        <color indexed="8"/>
        <rFont val="宋体"/>
        <family val="3"/>
        <charset val="134"/>
      </rPr>
      <t>流动资产</t>
    </r>
    <phoneticPr fontId="1" type="noConversion"/>
  </si>
  <si>
    <r>
      <rPr>
        <sz val="11"/>
        <color indexed="8"/>
        <rFont val="宋体"/>
        <family val="3"/>
        <charset val="134"/>
      </rPr>
      <t>现金</t>
    </r>
    <phoneticPr fontId="1" type="noConversion"/>
  </si>
  <si>
    <r>
      <rPr>
        <sz val="11"/>
        <color indexed="8"/>
        <rFont val="宋体"/>
        <family val="3"/>
        <charset val="134"/>
      </rPr>
      <t>应收账款（销售保证金）</t>
    </r>
    <phoneticPr fontId="1" type="noConversion"/>
  </si>
  <si>
    <r>
      <rPr>
        <b/>
        <sz val="11"/>
        <color indexed="8"/>
        <rFont val="宋体"/>
        <family val="3"/>
        <charset val="134"/>
      </rPr>
      <t>流动负债</t>
    </r>
    <phoneticPr fontId="1" type="noConversion"/>
  </si>
  <si>
    <r>
      <rPr>
        <sz val="11"/>
        <color indexed="8"/>
        <rFont val="宋体"/>
        <family val="3"/>
        <charset val="134"/>
      </rPr>
      <t>应付账款</t>
    </r>
    <phoneticPr fontId="1" type="noConversion"/>
  </si>
  <si>
    <r>
      <rPr>
        <b/>
        <sz val="11"/>
        <color indexed="8"/>
        <rFont val="宋体"/>
        <family val="3"/>
        <charset val="134"/>
      </rPr>
      <t>流动资金</t>
    </r>
    <phoneticPr fontId="1" type="noConversion"/>
  </si>
  <si>
    <r>
      <rPr>
        <sz val="11"/>
        <color indexed="8"/>
        <rFont val="宋体"/>
        <family val="3"/>
        <charset val="134"/>
      </rPr>
      <t>流动资金年增加额</t>
    </r>
    <phoneticPr fontId="1" type="noConversion"/>
  </si>
  <si>
    <r>
      <rPr>
        <sz val="11"/>
        <color indexed="8"/>
        <rFont val="宋体"/>
        <family val="3"/>
        <charset val="134"/>
      </rPr>
      <t>流动资金</t>
    </r>
    <r>
      <rPr>
        <sz val="11"/>
        <color indexed="8"/>
        <rFont val="Times New Roman"/>
        <family val="1"/>
      </rPr>
      <t>=</t>
    </r>
    <r>
      <rPr>
        <sz val="11"/>
        <color indexed="8"/>
        <rFont val="宋体"/>
        <family val="3"/>
        <charset val="134"/>
      </rPr>
      <t>流动资产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family val="3"/>
        <charset val="134"/>
      </rPr>
      <t>流动负债</t>
    </r>
    <phoneticPr fontId="1" type="noConversion"/>
  </si>
  <si>
    <r>
      <rPr>
        <sz val="11"/>
        <color indexed="8"/>
        <rFont val="宋体"/>
        <family val="3"/>
        <charset val="134"/>
      </rPr>
      <t>建设投资</t>
    </r>
    <phoneticPr fontId="1" type="noConversion"/>
  </si>
  <si>
    <r>
      <rPr>
        <sz val="11"/>
        <color indexed="8"/>
        <rFont val="宋体"/>
        <family val="3"/>
        <charset val="134"/>
      </rPr>
      <t>流动资金</t>
    </r>
    <phoneticPr fontId="1" type="noConversion"/>
  </si>
  <si>
    <r>
      <rPr>
        <sz val="11"/>
        <color indexed="8"/>
        <rFont val="宋体"/>
        <family val="3"/>
        <charset val="134"/>
      </rPr>
      <t>资本金</t>
    </r>
    <phoneticPr fontId="1" type="noConversion"/>
  </si>
  <si>
    <r>
      <rPr>
        <sz val="11"/>
        <color indexed="8"/>
        <rFont val="宋体"/>
        <family val="3"/>
        <charset val="134"/>
      </rPr>
      <t>资本金余额</t>
    </r>
    <phoneticPr fontId="1" type="noConversion"/>
  </si>
  <si>
    <r>
      <rPr>
        <sz val="11"/>
        <color indexed="8"/>
        <rFont val="宋体"/>
        <family val="3"/>
        <charset val="134"/>
      </rPr>
      <t>贷款</t>
    </r>
    <phoneticPr fontId="1" type="noConversion"/>
  </si>
  <si>
    <r>
      <rPr>
        <sz val="11"/>
        <color indexed="8"/>
        <rFont val="宋体"/>
        <family val="3"/>
        <charset val="134"/>
      </rPr>
      <t>贷款余额</t>
    </r>
    <phoneticPr fontId="1" type="noConversion"/>
  </si>
  <si>
    <r>
      <rPr>
        <sz val="11"/>
        <color indexed="8"/>
        <rFont val="宋体"/>
        <family val="3"/>
        <charset val="134"/>
      </rPr>
      <t>短期借款</t>
    </r>
    <phoneticPr fontId="1" type="noConversion"/>
  </si>
  <si>
    <r>
      <rPr>
        <sz val="11"/>
        <color indexed="8"/>
        <rFont val="宋体"/>
        <family val="3"/>
        <charset val="134"/>
      </rPr>
      <t>短期借款余额</t>
    </r>
    <phoneticPr fontId="1" type="noConversion"/>
  </si>
  <si>
    <r>
      <rPr>
        <sz val="11"/>
        <rFont val="宋体"/>
        <family val="3"/>
        <charset val="134"/>
      </rPr>
      <t>资金筹措</t>
    </r>
    <r>
      <rPr>
        <sz val="11"/>
        <rFont val="Times New Roman"/>
        <family val="1"/>
      </rPr>
      <t>=</t>
    </r>
    <r>
      <rPr>
        <sz val="11"/>
        <rFont val="宋体"/>
        <family val="3"/>
        <charset val="134"/>
      </rPr>
      <t>投资总额</t>
    </r>
  </si>
  <si>
    <r>
      <rPr>
        <sz val="11"/>
        <rFont val="宋体"/>
        <family val="3"/>
        <charset val="134"/>
      </rPr>
      <t>资金筹措</t>
    </r>
    <r>
      <rPr>
        <sz val="11"/>
        <rFont val="Times New Roman"/>
        <family val="1"/>
      </rPr>
      <t>=</t>
    </r>
    <r>
      <rPr>
        <sz val="11"/>
        <rFont val="宋体"/>
        <family val="3"/>
        <charset val="134"/>
      </rPr>
      <t>资本金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贷款</t>
    </r>
  </si>
  <si>
    <r>
      <rPr>
        <sz val="11"/>
        <rFont val="宋体"/>
        <family val="3"/>
        <charset val="134"/>
      </rPr>
      <t>贷款前几年只还息，最后一年还清本金</t>
    </r>
  </si>
  <si>
    <r>
      <rPr>
        <sz val="11"/>
        <color indexed="8"/>
        <rFont val="宋体"/>
        <family val="3"/>
        <charset val="134"/>
      </rPr>
      <t>设备及工器具</t>
    </r>
    <phoneticPr fontId="1" type="noConversion"/>
  </si>
  <si>
    <r>
      <rPr>
        <sz val="11"/>
        <color indexed="8"/>
        <rFont val="宋体"/>
        <family val="3"/>
        <charset val="134"/>
      </rPr>
      <t>当年新增固定资产原值</t>
    </r>
    <phoneticPr fontId="1" type="noConversion"/>
  </si>
  <si>
    <r>
      <rPr>
        <sz val="11"/>
        <color indexed="8"/>
        <rFont val="宋体"/>
        <family val="3"/>
        <charset val="134"/>
      </rPr>
      <t>当年折旧费</t>
    </r>
    <phoneticPr fontId="1" type="noConversion"/>
  </si>
  <si>
    <r>
      <rPr>
        <sz val="11"/>
        <color indexed="8"/>
        <rFont val="宋体"/>
        <family val="3"/>
        <charset val="134"/>
      </rPr>
      <t>固定资产净值</t>
    </r>
    <phoneticPr fontId="1" type="noConversion"/>
  </si>
  <si>
    <r>
      <rPr>
        <sz val="11"/>
        <color indexed="8"/>
        <rFont val="宋体"/>
        <family val="3"/>
        <charset val="134"/>
      </rPr>
      <t>年折旧费合计</t>
    </r>
    <phoneticPr fontId="1" type="noConversion"/>
  </si>
  <si>
    <r>
      <rPr>
        <sz val="11"/>
        <color indexed="8"/>
        <rFont val="宋体"/>
        <family val="3"/>
        <charset val="134"/>
      </rPr>
      <t>年末固定资产净值</t>
    </r>
    <phoneticPr fontId="1" type="noConversion"/>
  </si>
  <si>
    <r>
      <rPr>
        <sz val="11"/>
        <color indexed="8"/>
        <rFont val="宋体"/>
        <family val="3"/>
        <charset val="134"/>
      </rPr>
      <t>设备及工器具购置费来自辅助一</t>
    </r>
  </si>
  <si>
    <r>
      <rPr>
        <sz val="11"/>
        <color indexed="8"/>
        <rFont val="宋体"/>
        <family val="3"/>
        <charset val="134"/>
      </rPr>
      <t>当年新增无形资产原值</t>
    </r>
    <phoneticPr fontId="1" type="noConversion"/>
  </si>
  <si>
    <r>
      <rPr>
        <sz val="11"/>
        <color indexed="8"/>
        <rFont val="宋体"/>
        <family val="3"/>
        <charset val="134"/>
      </rPr>
      <t>年摊销费</t>
    </r>
    <phoneticPr fontId="1" type="noConversion"/>
  </si>
  <si>
    <r>
      <rPr>
        <sz val="11"/>
        <color indexed="8"/>
        <rFont val="宋体"/>
        <family val="3"/>
        <charset val="134"/>
      </rPr>
      <t>无形资产净值</t>
    </r>
    <phoneticPr fontId="1" type="noConversion"/>
  </si>
  <si>
    <r>
      <rPr>
        <sz val="11"/>
        <color indexed="8"/>
        <rFont val="宋体"/>
        <family val="3"/>
        <charset val="134"/>
      </rPr>
      <t>工程建设其他费用</t>
    </r>
    <phoneticPr fontId="1" type="noConversion"/>
  </si>
  <si>
    <r>
      <rPr>
        <sz val="11"/>
        <color indexed="8"/>
        <rFont val="宋体"/>
        <family val="3"/>
        <charset val="134"/>
      </rPr>
      <t>当年新增待摊销费用</t>
    </r>
    <phoneticPr fontId="1" type="noConversion"/>
  </si>
  <si>
    <r>
      <rPr>
        <sz val="11"/>
        <rFont val="宋体"/>
        <family val="3"/>
        <charset val="134"/>
      </rPr>
      <t>年摊销费</t>
    </r>
    <phoneticPr fontId="1" type="noConversion"/>
  </si>
  <si>
    <r>
      <rPr>
        <sz val="11"/>
        <rFont val="宋体"/>
        <family val="3"/>
        <charset val="134"/>
      </rPr>
      <t>无形资产净值</t>
    </r>
    <phoneticPr fontId="1" type="noConversion"/>
  </si>
  <si>
    <r>
      <rPr>
        <sz val="11"/>
        <rFont val="宋体"/>
        <family val="3"/>
        <charset val="134"/>
      </rPr>
      <t>年摊销费合计</t>
    </r>
    <phoneticPr fontId="1" type="noConversion"/>
  </si>
  <si>
    <r>
      <rPr>
        <sz val="11"/>
        <rFont val="宋体"/>
        <family val="3"/>
        <charset val="134"/>
      </rPr>
      <t>年末无形资产净值</t>
    </r>
    <phoneticPr fontId="1" type="noConversion"/>
  </si>
  <si>
    <r>
      <rPr>
        <sz val="11"/>
        <rFont val="宋体"/>
        <family val="3"/>
        <charset val="134"/>
      </rPr>
      <t>均按照五年摊销，无残值</t>
    </r>
  </si>
  <si>
    <r>
      <rPr>
        <sz val="11"/>
        <color indexed="8"/>
        <rFont val="宋体"/>
        <family val="3"/>
        <charset val="134"/>
      </rPr>
      <t>外购原材料费</t>
    </r>
    <phoneticPr fontId="1" type="noConversion"/>
  </si>
  <si>
    <r>
      <rPr>
        <sz val="11"/>
        <color indexed="8"/>
        <rFont val="宋体"/>
        <family val="3"/>
        <charset val="134"/>
      </rPr>
      <t>外购燃料动力费</t>
    </r>
    <phoneticPr fontId="1" type="noConversion"/>
  </si>
  <si>
    <r>
      <rPr>
        <sz val="11"/>
        <color indexed="8"/>
        <rFont val="宋体"/>
        <family val="3"/>
        <charset val="134"/>
      </rPr>
      <t>工资及福利费</t>
    </r>
    <phoneticPr fontId="1" type="noConversion"/>
  </si>
  <si>
    <r>
      <rPr>
        <sz val="11"/>
        <color indexed="8"/>
        <rFont val="宋体"/>
        <family val="3"/>
        <charset val="134"/>
      </rPr>
      <t>修理费</t>
    </r>
    <phoneticPr fontId="1" type="noConversion"/>
  </si>
  <si>
    <r>
      <rPr>
        <sz val="11"/>
        <color indexed="8"/>
        <rFont val="宋体"/>
        <family val="3"/>
        <charset val="134"/>
      </rPr>
      <t>营销费用</t>
    </r>
    <phoneticPr fontId="1" type="noConversion"/>
  </si>
  <si>
    <r>
      <rPr>
        <sz val="11"/>
        <color indexed="8"/>
        <rFont val="宋体"/>
        <family val="3"/>
        <charset val="134"/>
      </rPr>
      <t>经营成本（</t>
    </r>
    <r>
      <rPr>
        <sz val="11"/>
        <color indexed="8"/>
        <rFont val="Times New Roman"/>
        <family val="1"/>
      </rPr>
      <t>1+2+3+4+5</t>
    </r>
    <r>
      <rPr>
        <sz val="11"/>
        <color indexed="8"/>
        <rFont val="宋体"/>
        <family val="3"/>
        <charset val="134"/>
      </rPr>
      <t>）</t>
    </r>
    <phoneticPr fontId="1" type="noConversion"/>
  </si>
  <si>
    <r>
      <rPr>
        <sz val="11"/>
        <color indexed="8"/>
        <rFont val="宋体"/>
        <family val="3"/>
        <charset val="134"/>
      </rPr>
      <t>折旧费</t>
    </r>
    <phoneticPr fontId="1" type="noConversion"/>
  </si>
  <si>
    <r>
      <rPr>
        <sz val="11"/>
        <color indexed="8"/>
        <rFont val="宋体"/>
        <family val="3"/>
        <charset val="134"/>
      </rPr>
      <t>摊销费</t>
    </r>
    <phoneticPr fontId="1" type="noConversion"/>
  </si>
  <si>
    <r>
      <rPr>
        <sz val="11"/>
        <color indexed="8"/>
        <rFont val="宋体"/>
        <family val="3"/>
        <charset val="134"/>
      </rPr>
      <t>利息支出</t>
    </r>
    <phoneticPr fontId="1" type="noConversion"/>
  </si>
  <si>
    <r>
      <rPr>
        <sz val="11"/>
        <color indexed="8"/>
        <rFont val="宋体"/>
        <family val="3"/>
        <charset val="134"/>
      </rPr>
      <t>总成本费用（经营成本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折旧费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摊销费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利息支出）</t>
    </r>
    <phoneticPr fontId="1" type="noConversion"/>
  </si>
  <si>
    <r>
      <rPr>
        <b/>
        <sz val="11"/>
        <color rgb="FFFFFFFF"/>
        <rFont val="宋体"/>
        <family val="3"/>
        <charset val="134"/>
      </rPr>
      <t>工资及福利费</t>
    </r>
    <r>
      <rPr>
        <b/>
        <sz val="11"/>
        <color rgb="FFFFFFFF"/>
        <rFont val="Times New Roman"/>
        <family val="1"/>
      </rPr>
      <t>/</t>
    </r>
    <r>
      <rPr>
        <b/>
        <sz val="11"/>
        <color rgb="FFFFFFFF"/>
        <rFont val="宋体"/>
        <family val="3"/>
        <charset val="134"/>
      </rPr>
      <t>年份</t>
    </r>
  </si>
  <si>
    <r>
      <rPr>
        <sz val="11"/>
        <color indexed="8"/>
        <rFont val="宋体"/>
        <family val="3"/>
        <charset val="134"/>
      </rPr>
      <t>年均员工数</t>
    </r>
  </si>
  <si>
    <r>
      <rPr>
        <sz val="11"/>
        <color indexed="8"/>
        <rFont val="宋体"/>
        <family val="3"/>
        <charset val="134"/>
      </rPr>
      <t>五险一金</t>
    </r>
    <r>
      <rPr>
        <sz val="11"/>
        <color indexed="8"/>
        <rFont val="Times New Roman"/>
        <family val="1"/>
      </rPr>
      <t>45.5%</t>
    </r>
  </si>
  <si>
    <r>
      <rPr>
        <sz val="11"/>
        <color indexed="8"/>
        <rFont val="宋体"/>
        <family val="3"/>
        <charset val="134"/>
      </rPr>
      <t>合计</t>
    </r>
  </si>
  <si>
    <r>
      <rPr>
        <b/>
        <sz val="11"/>
        <color rgb="FFFFFFFF"/>
        <rFont val="宋体"/>
        <family val="3"/>
        <charset val="134"/>
      </rPr>
      <t>营销费用</t>
    </r>
    <r>
      <rPr>
        <b/>
        <sz val="11"/>
        <color rgb="FFFFFFFF"/>
        <rFont val="Times New Roman"/>
        <family val="1"/>
      </rPr>
      <t>/</t>
    </r>
    <r>
      <rPr>
        <b/>
        <sz val="11"/>
        <color rgb="FFFFFFFF"/>
        <rFont val="宋体"/>
        <family val="3"/>
        <charset val="134"/>
      </rPr>
      <t>年份</t>
    </r>
  </si>
  <si>
    <r>
      <rPr>
        <sz val="11"/>
        <color indexed="8"/>
        <rFont val="宋体"/>
        <family val="3"/>
        <charset val="134"/>
      </rPr>
      <t>营业收入（辅助七）</t>
    </r>
  </si>
  <si>
    <r>
      <rPr>
        <sz val="11"/>
        <color indexed="8"/>
        <rFont val="宋体"/>
        <family val="3"/>
        <charset val="134"/>
      </rPr>
      <t>营销费用（营业收入的</t>
    </r>
    <r>
      <rPr>
        <sz val="11"/>
        <color indexed="8"/>
        <rFont val="Times New Roman"/>
        <family val="1"/>
      </rPr>
      <t>25%</t>
    </r>
    <r>
      <rPr>
        <sz val="11"/>
        <color indexed="8"/>
        <rFont val="宋体"/>
        <family val="3"/>
        <charset val="134"/>
      </rPr>
      <t>）</t>
    </r>
  </si>
  <si>
    <r>
      <rPr>
        <b/>
        <sz val="11"/>
        <color rgb="FFFFFFFF"/>
        <rFont val="宋体"/>
        <family val="3"/>
        <charset val="134"/>
      </rPr>
      <t>行政办公费</t>
    </r>
    <r>
      <rPr>
        <b/>
        <sz val="11"/>
        <color rgb="FFFFFFFF"/>
        <rFont val="Times New Roman"/>
        <family val="1"/>
      </rPr>
      <t>/</t>
    </r>
    <r>
      <rPr>
        <b/>
        <sz val="11"/>
        <color rgb="FFFFFFFF"/>
        <rFont val="宋体"/>
        <family val="3"/>
        <charset val="134"/>
      </rPr>
      <t>年份</t>
    </r>
  </si>
  <si>
    <r>
      <rPr>
        <sz val="11"/>
        <color indexed="8"/>
        <rFont val="宋体"/>
        <family val="3"/>
        <charset val="134"/>
      </rPr>
      <t>月度行政办公经费标准</t>
    </r>
  </si>
  <si>
    <r>
      <rPr>
        <sz val="11"/>
        <color indexed="8"/>
        <rFont val="宋体"/>
        <family val="3"/>
        <charset val="134"/>
      </rPr>
      <t>营业收入</t>
    </r>
    <phoneticPr fontId="1" type="noConversion"/>
  </si>
  <si>
    <r>
      <rPr>
        <sz val="11"/>
        <color indexed="8"/>
        <rFont val="宋体"/>
        <family val="3"/>
        <charset val="134"/>
      </rPr>
      <t>税金及附加</t>
    </r>
    <phoneticPr fontId="1" type="noConversion"/>
  </si>
  <si>
    <r>
      <rPr>
        <sz val="11"/>
        <color indexed="8"/>
        <rFont val="宋体"/>
        <family val="3"/>
        <charset val="134"/>
      </rPr>
      <t>增值税</t>
    </r>
    <phoneticPr fontId="1" type="noConversion"/>
  </si>
  <si>
    <r>
      <rPr>
        <sz val="11"/>
        <color indexed="8"/>
        <rFont val="宋体"/>
        <family val="3"/>
        <charset val="134"/>
      </rPr>
      <t>增值税销项税额</t>
    </r>
    <phoneticPr fontId="1" type="noConversion"/>
  </si>
  <si>
    <r>
      <rPr>
        <sz val="11"/>
        <color indexed="8"/>
        <rFont val="宋体"/>
        <family val="3"/>
        <charset val="134"/>
      </rPr>
      <t>增值税进项税额</t>
    </r>
    <phoneticPr fontId="1" type="noConversion"/>
  </si>
  <si>
    <r>
      <rPr>
        <sz val="11"/>
        <color indexed="8"/>
        <rFont val="宋体"/>
        <family val="3"/>
        <charset val="134"/>
      </rPr>
      <t>消费税</t>
    </r>
    <phoneticPr fontId="1" type="noConversion"/>
  </si>
  <si>
    <r>
      <rPr>
        <sz val="11"/>
        <color indexed="8"/>
        <rFont val="宋体"/>
        <family val="3"/>
        <charset val="134"/>
      </rPr>
      <t>城市维护建设税</t>
    </r>
    <phoneticPr fontId="1" type="noConversion"/>
  </si>
  <si>
    <r>
      <rPr>
        <sz val="11"/>
        <color indexed="8"/>
        <rFont val="宋体"/>
        <family val="3"/>
        <charset val="134"/>
      </rPr>
      <t>教育费附加</t>
    </r>
    <phoneticPr fontId="1" type="noConversion"/>
  </si>
  <si>
    <r>
      <rPr>
        <sz val="11"/>
        <rFont val="宋体"/>
        <family val="3"/>
        <charset val="134"/>
      </rPr>
      <t>税率及计算税金的基数说明：</t>
    </r>
  </si>
  <si>
    <r>
      <rPr>
        <sz val="11"/>
        <color indexed="8"/>
        <rFont val="宋体"/>
        <family val="3"/>
        <charset val="134"/>
      </rPr>
      <t>借款</t>
    </r>
  </si>
  <si>
    <r>
      <rPr>
        <sz val="11"/>
        <color indexed="8"/>
        <rFont val="宋体"/>
        <family val="3"/>
        <charset val="134"/>
      </rPr>
      <t>年初贷款本金余额</t>
    </r>
  </si>
  <si>
    <r>
      <rPr>
        <sz val="11"/>
        <color indexed="8"/>
        <rFont val="宋体"/>
        <family val="3"/>
        <charset val="134"/>
      </rPr>
      <t>年初短期借款本金余额</t>
    </r>
  </si>
  <si>
    <r>
      <rPr>
        <sz val="11"/>
        <color indexed="8"/>
        <rFont val="宋体"/>
        <family val="3"/>
        <charset val="134"/>
      </rPr>
      <t>当年贷款</t>
    </r>
  </si>
  <si>
    <r>
      <rPr>
        <sz val="11"/>
        <color indexed="8"/>
        <rFont val="宋体"/>
        <family val="3"/>
        <charset val="134"/>
      </rPr>
      <t>当年短期借款</t>
    </r>
  </si>
  <si>
    <r>
      <rPr>
        <sz val="11"/>
        <color indexed="8"/>
        <rFont val="宋体"/>
        <family val="3"/>
        <charset val="134"/>
      </rPr>
      <t>当年应计利息</t>
    </r>
  </si>
  <si>
    <r>
      <rPr>
        <sz val="11"/>
        <color indexed="8"/>
        <rFont val="宋体"/>
        <family val="3"/>
        <charset val="134"/>
      </rPr>
      <t>当年贷款还本付息</t>
    </r>
  </si>
  <si>
    <r>
      <rPr>
        <sz val="11"/>
        <color indexed="8"/>
        <rFont val="宋体"/>
        <family val="3"/>
        <charset val="134"/>
      </rPr>
      <t>其中：</t>
    </r>
    <r>
      <rPr>
        <sz val="11"/>
        <color indexed="8"/>
        <rFont val="Times New Roman"/>
        <family val="1"/>
      </rPr>
      <t xml:space="preserve">        </t>
    </r>
    <r>
      <rPr>
        <sz val="11"/>
        <color indexed="8"/>
        <rFont val="宋体"/>
        <family val="3"/>
        <charset val="134"/>
      </rPr>
      <t>还本</t>
    </r>
    <phoneticPr fontId="1" type="noConversion"/>
  </si>
  <si>
    <r>
      <t xml:space="preserve">                   </t>
    </r>
    <r>
      <rPr>
        <sz val="11"/>
        <color indexed="8"/>
        <rFont val="宋体"/>
        <family val="3"/>
        <charset val="134"/>
      </rPr>
      <t>付息</t>
    </r>
    <phoneticPr fontId="1" type="noConversion"/>
  </si>
  <si>
    <r>
      <rPr>
        <sz val="11"/>
        <color indexed="8"/>
        <rFont val="宋体"/>
        <family val="3"/>
        <charset val="134"/>
      </rPr>
      <t>当年短期借款还本付息</t>
    </r>
  </si>
  <si>
    <r>
      <rPr>
        <sz val="11"/>
        <rFont val="宋体"/>
        <family val="3"/>
        <charset val="134"/>
      </rPr>
      <t>年末贷款本金余额</t>
    </r>
  </si>
  <si>
    <r>
      <rPr>
        <sz val="11"/>
        <rFont val="宋体"/>
        <family val="3"/>
        <charset val="134"/>
      </rPr>
      <t>年末短期借款本金余额</t>
    </r>
  </si>
  <si>
    <r>
      <rPr>
        <sz val="11"/>
        <rFont val="宋体"/>
        <family val="3"/>
        <charset val="134"/>
      </rPr>
      <t>还本资金</t>
    </r>
  </si>
  <si>
    <r>
      <rPr>
        <sz val="11"/>
        <rFont val="宋体"/>
        <family val="3"/>
        <charset val="134"/>
      </rPr>
      <t>利润</t>
    </r>
  </si>
  <si>
    <r>
      <rPr>
        <sz val="11"/>
        <rFont val="宋体"/>
        <family val="3"/>
        <charset val="134"/>
      </rPr>
      <t>折旧</t>
    </r>
  </si>
  <si>
    <r>
      <rPr>
        <sz val="11"/>
        <rFont val="宋体"/>
        <family val="3"/>
        <charset val="134"/>
      </rPr>
      <t>摊销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</si>
  <si>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</si>
  <si>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还本资金合计</t>
    </r>
  </si>
  <si>
    <r>
      <rPr>
        <sz val="11"/>
        <color indexed="8"/>
        <rFont val="宋体"/>
        <family val="3"/>
        <charset val="134"/>
      </rPr>
      <t>贷款年利率说明：</t>
    </r>
  </si>
  <si>
    <r>
      <rPr>
        <sz val="11"/>
        <color indexed="8"/>
        <rFont val="宋体"/>
        <family val="3"/>
        <charset val="134"/>
      </rPr>
      <t>计算指标：</t>
    </r>
  </si>
  <si>
    <r>
      <rPr>
        <sz val="11"/>
        <color indexed="8"/>
        <rFont val="宋体"/>
        <family val="3"/>
        <charset val="134"/>
      </rPr>
      <t>利息备付率</t>
    </r>
  </si>
  <si>
    <r>
      <rPr>
        <sz val="11"/>
        <color indexed="8"/>
        <rFont val="宋体"/>
        <family val="3"/>
        <charset val="134"/>
      </rPr>
      <t>偿债备付率</t>
    </r>
  </si>
  <si>
    <r>
      <rPr>
        <sz val="11"/>
        <color indexed="8"/>
        <rFont val="宋体"/>
        <family val="3"/>
        <charset val="134"/>
      </rPr>
      <t>现金流入</t>
    </r>
  </si>
  <si>
    <r>
      <rPr>
        <sz val="11"/>
        <color indexed="8"/>
        <rFont val="宋体"/>
        <family val="3"/>
        <charset val="134"/>
      </rPr>
      <t>回收固定资产余值</t>
    </r>
    <phoneticPr fontId="1" type="noConversion"/>
  </si>
  <si>
    <r>
      <rPr>
        <sz val="11"/>
        <color indexed="8"/>
        <rFont val="宋体"/>
        <family val="3"/>
        <charset val="134"/>
      </rPr>
      <t>回收无形资产余值</t>
    </r>
    <phoneticPr fontId="1" type="noConversion"/>
  </si>
  <si>
    <r>
      <rPr>
        <sz val="11"/>
        <color indexed="8"/>
        <rFont val="宋体"/>
        <family val="3"/>
        <charset val="134"/>
      </rPr>
      <t>回收流动资金</t>
    </r>
    <phoneticPr fontId="1" type="noConversion"/>
  </si>
  <si>
    <r>
      <rPr>
        <sz val="11"/>
        <color indexed="8"/>
        <rFont val="宋体"/>
        <family val="3"/>
        <charset val="134"/>
      </rPr>
      <t>现金流出</t>
    </r>
  </si>
  <si>
    <r>
      <rPr>
        <sz val="11"/>
        <color indexed="8"/>
        <rFont val="宋体"/>
        <family val="3"/>
        <charset val="134"/>
      </rPr>
      <t>建设投资（不含建设期利息）</t>
    </r>
    <phoneticPr fontId="1" type="noConversion"/>
  </si>
  <si>
    <r>
      <rPr>
        <sz val="11"/>
        <color indexed="8"/>
        <rFont val="宋体"/>
        <family val="3"/>
        <charset val="134"/>
      </rPr>
      <t>经营成本</t>
    </r>
    <phoneticPr fontId="1" type="noConversion"/>
  </si>
  <si>
    <r>
      <rPr>
        <sz val="11"/>
        <color indexed="8"/>
        <rFont val="宋体"/>
        <family val="3"/>
        <charset val="134"/>
      </rPr>
      <t>营业税金及附加</t>
    </r>
    <phoneticPr fontId="1" type="noConversion"/>
  </si>
  <si>
    <r>
      <rPr>
        <sz val="11"/>
        <rFont val="宋体"/>
        <family val="3"/>
        <charset val="134"/>
      </rPr>
      <t>维持运营投资</t>
    </r>
    <phoneticPr fontId="1" type="noConversion"/>
  </si>
  <si>
    <r>
      <rPr>
        <sz val="11"/>
        <rFont val="宋体"/>
        <family val="3"/>
        <charset val="134"/>
      </rPr>
      <t>所得税前净现金流量</t>
    </r>
  </si>
  <si>
    <r>
      <rPr>
        <sz val="11"/>
        <rFont val="宋体"/>
        <family val="3"/>
        <charset val="134"/>
      </rPr>
      <t>累计所得税前净现金流量</t>
    </r>
  </si>
  <si>
    <r>
      <rPr>
        <sz val="11"/>
        <rFont val="宋体"/>
        <family val="3"/>
        <charset val="134"/>
      </rPr>
      <t>调整所得税</t>
    </r>
  </si>
  <si>
    <r>
      <rPr>
        <sz val="11"/>
        <rFont val="宋体"/>
        <family val="3"/>
        <charset val="134"/>
      </rPr>
      <t>所得税后净现金流量</t>
    </r>
  </si>
  <si>
    <r>
      <rPr>
        <sz val="11"/>
        <rFont val="宋体"/>
        <family val="3"/>
        <charset val="134"/>
      </rPr>
      <t>累计所得税后净现金流量</t>
    </r>
  </si>
  <si>
    <r>
      <rPr>
        <sz val="11"/>
        <rFont val="宋体"/>
        <family val="3"/>
        <charset val="134"/>
      </rPr>
      <t>计算指标：</t>
    </r>
  </si>
  <si>
    <r>
      <rPr>
        <sz val="11"/>
        <rFont val="宋体"/>
        <family val="3"/>
        <charset val="134"/>
      </rPr>
      <t>所得税前</t>
    </r>
  </si>
  <si>
    <r>
      <rPr>
        <sz val="11"/>
        <rFont val="宋体"/>
        <family val="3"/>
        <charset val="134"/>
      </rPr>
      <t>项目财务内部收益率</t>
    </r>
  </si>
  <si>
    <r>
      <rPr>
        <sz val="11"/>
        <rFont val="宋体"/>
        <family val="3"/>
        <charset val="134"/>
      </rPr>
      <t>项目财务净现值</t>
    </r>
    <r>
      <rPr>
        <sz val="11"/>
        <rFont val="Times New Roman"/>
        <family val="1"/>
      </rPr>
      <t>(i=8%)</t>
    </r>
  </si>
  <si>
    <r>
      <rPr>
        <sz val="11"/>
        <color indexed="8"/>
        <rFont val="宋体"/>
        <family val="3"/>
        <charset val="134"/>
      </rPr>
      <t>＞</t>
    </r>
    <r>
      <rPr>
        <sz val="11"/>
        <color indexed="8"/>
        <rFont val="Times New Roman"/>
        <family val="1"/>
      </rPr>
      <t>0</t>
    </r>
    <phoneticPr fontId="1" type="noConversion"/>
  </si>
  <si>
    <r>
      <rPr>
        <sz val="11"/>
        <color indexed="8"/>
        <rFont val="宋体"/>
        <family val="3"/>
        <charset val="134"/>
      </rPr>
      <t>动态投资回收期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宋体"/>
        <family val="3"/>
        <charset val="134"/>
      </rPr>
      <t>含建设期</t>
    </r>
    <r>
      <rPr>
        <sz val="11"/>
        <color indexed="8"/>
        <rFont val="Times New Roman"/>
        <family val="1"/>
      </rPr>
      <t>)</t>
    </r>
  </si>
  <si>
    <r>
      <rPr>
        <sz val="11"/>
        <color indexed="8"/>
        <rFont val="宋体"/>
        <family val="3"/>
        <charset val="134"/>
      </rPr>
      <t>年</t>
    </r>
  </si>
  <si>
    <r>
      <rPr>
        <sz val="11"/>
        <color indexed="8"/>
        <rFont val="宋体"/>
        <family val="3"/>
        <charset val="134"/>
      </rPr>
      <t>所得税后</t>
    </r>
  </si>
  <si>
    <r>
      <rPr>
        <sz val="11"/>
        <color indexed="8"/>
        <rFont val="宋体"/>
        <family val="3"/>
        <charset val="134"/>
      </rPr>
      <t>项目财务内部收益率</t>
    </r>
  </si>
  <si>
    <r>
      <rPr>
        <sz val="11"/>
        <color indexed="8"/>
        <rFont val="宋体"/>
        <family val="3"/>
        <charset val="134"/>
      </rPr>
      <t>项目财务净现值</t>
    </r>
    <r>
      <rPr>
        <sz val="11"/>
        <color indexed="8"/>
        <rFont val="Times New Roman"/>
        <family val="1"/>
      </rPr>
      <t>(i=8%)</t>
    </r>
  </si>
  <si>
    <r>
      <t>&lt;5</t>
    </r>
    <r>
      <rPr>
        <sz val="11"/>
        <color indexed="8"/>
        <rFont val="宋体"/>
        <family val="3"/>
        <charset val="134"/>
      </rPr>
      <t>年</t>
    </r>
    <phoneticPr fontId="1" type="noConversion"/>
  </si>
  <si>
    <r>
      <rPr>
        <sz val="11"/>
        <color indexed="8"/>
        <rFont val="宋体"/>
        <family val="3"/>
        <charset val="134"/>
      </rPr>
      <t>回收固定资产、无形资产余值</t>
    </r>
    <phoneticPr fontId="1" type="noConversion"/>
  </si>
  <si>
    <r>
      <rPr>
        <sz val="11"/>
        <color indexed="8"/>
        <rFont val="宋体"/>
        <family val="3"/>
        <charset val="134"/>
      </rPr>
      <t>项目资本金</t>
    </r>
    <phoneticPr fontId="1" type="noConversion"/>
  </si>
  <si>
    <r>
      <rPr>
        <sz val="11"/>
        <color indexed="8"/>
        <rFont val="宋体"/>
        <family val="3"/>
        <charset val="134"/>
      </rPr>
      <t>借款本金偿还</t>
    </r>
    <phoneticPr fontId="1" type="noConversion"/>
  </si>
  <si>
    <r>
      <rPr>
        <sz val="11"/>
        <color indexed="8"/>
        <rFont val="宋体"/>
        <family val="3"/>
        <charset val="134"/>
      </rPr>
      <t>流动资金贷款本金偿还</t>
    </r>
    <phoneticPr fontId="1" type="noConversion"/>
  </si>
  <si>
    <r>
      <rPr>
        <sz val="11"/>
        <color indexed="8"/>
        <rFont val="宋体"/>
        <family val="3"/>
        <charset val="134"/>
      </rPr>
      <t>短期借款本金偿还</t>
    </r>
    <phoneticPr fontId="1" type="noConversion"/>
  </si>
  <si>
    <r>
      <rPr>
        <sz val="11"/>
        <color indexed="8"/>
        <rFont val="宋体"/>
        <family val="3"/>
        <charset val="134"/>
      </rPr>
      <t>借款利息支付</t>
    </r>
    <phoneticPr fontId="1" type="noConversion"/>
  </si>
  <si>
    <r>
      <rPr>
        <sz val="11"/>
        <rFont val="宋体"/>
        <family val="3"/>
        <charset val="134"/>
      </rPr>
      <t>经营成本</t>
    </r>
    <phoneticPr fontId="1" type="noConversion"/>
  </si>
  <si>
    <r>
      <rPr>
        <sz val="11"/>
        <rFont val="宋体"/>
        <family val="3"/>
        <charset val="134"/>
      </rPr>
      <t>税金及附加</t>
    </r>
    <phoneticPr fontId="1" type="noConversion"/>
  </si>
  <si>
    <r>
      <rPr>
        <sz val="11"/>
        <rFont val="宋体"/>
        <family val="3"/>
        <charset val="134"/>
      </rPr>
      <t>所得税</t>
    </r>
    <phoneticPr fontId="1" type="noConversion"/>
  </si>
  <si>
    <r>
      <rPr>
        <sz val="11"/>
        <rFont val="宋体"/>
        <family val="3"/>
        <charset val="134"/>
      </rPr>
      <t>净现金流量</t>
    </r>
  </si>
  <si>
    <r>
      <rPr>
        <sz val="11"/>
        <rFont val="宋体"/>
        <family val="3"/>
        <charset val="134"/>
      </rPr>
      <t>净现金流量累计</t>
    </r>
  </si>
  <si>
    <r>
      <rPr>
        <sz val="11"/>
        <rFont val="宋体"/>
        <family val="3"/>
        <charset val="134"/>
      </rPr>
      <t>项目资本金财务内部收益率</t>
    </r>
  </si>
  <si>
    <r>
      <rPr>
        <sz val="11"/>
        <rFont val="宋体"/>
        <family val="3"/>
        <charset val="134"/>
      </rPr>
      <t>项目资本金财务净现值</t>
    </r>
    <r>
      <rPr>
        <sz val="11"/>
        <rFont val="Times New Roman"/>
        <family val="1"/>
      </rPr>
      <t>(i=8%)</t>
    </r>
  </si>
  <si>
    <r>
      <rPr>
        <b/>
        <sz val="11"/>
        <color rgb="FFFFFFFF"/>
        <rFont val="宋体"/>
        <family val="3"/>
        <charset val="134"/>
      </rPr>
      <t>项目</t>
    </r>
    <r>
      <rPr>
        <b/>
        <sz val="11"/>
        <color rgb="FFFFFFFF"/>
        <rFont val="Times New Roman"/>
        <family val="1"/>
      </rPr>
      <t>/</t>
    </r>
    <r>
      <rPr>
        <b/>
        <sz val="11"/>
        <color rgb="FFFFFFFF"/>
        <rFont val="宋体"/>
        <family val="3"/>
        <charset val="134"/>
      </rPr>
      <t>年份</t>
    </r>
    <phoneticPr fontId="1" type="noConversion"/>
  </si>
  <si>
    <r>
      <rPr>
        <sz val="11"/>
        <color indexed="8"/>
        <rFont val="宋体"/>
        <family val="3"/>
        <charset val="134"/>
      </rPr>
      <t>营业收入</t>
    </r>
  </si>
  <si>
    <r>
      <rPr>
        <sz val="11"/>
        <color indexed="8"/>
        <rFont val="宋体"/>
        <family val="3"/>
        <charset val="134"/>
      </rPr>
      <t>税金及附加（扣除增值税）</t>
    </r>
  </si>
  <si>
    <r>
      <rPr>
        <sz val="11"/>
        <color indexed="8"/>
        <rFont val="宋体"/>
        <family val="3"/>
        <charset val="134"/>
      </rPr>
      <t>总成本费用</t>
    </r>
  </si>
  <si>
    <r>
      <rPr>
        <sz val="11"/>
        <color indexed="8"/>
        <rFont val="宋体"/>
        <family val="3"/>
        <charset val="134"/>
      </rPr>
      <t>补贴收入</t>
    </r>
  </si>
  <si>
    <r>
      <rPr>
        <sz val="11"/>
        <color indexed="8"/>
        <rFont val="宋体"/>
        <family val="3"/>
        <charset val="134"/>
      </rPr>
      <t>利润总额（</t>
    </r>
    <r>
      <rPr>
        <sz val="11"/>
        <color indexed="8"/>
        <rFont val="Times New Roman"/>
        <family val="1"/>
      </rPr>
      <t>1-2-3+4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</si>
  <si>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弥补以前年度亏损</t>
    </r>
  </si>
  <si>
    <r>
      <rPr>
        <sz val="11"/>
        <color indexed="8"/>
        <rFont val="宋体"/>
        <family val="3"/>
        <charset val="134"/>
      </rPr>
      <t>应纳所得税额（</t>
    </r>
    <r>
      <rPr>
        <sz val="11"/>
        <color indexed="8"/>
        <rFont val="Times New Roman"/>
        <family val="1"/>
      </rPr>
      <t>5-6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</si>
  <si>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所得税</t>
    </r>
  </si>
  <si>
    <r>
      <rPr>
        <sz val="11"/>
        <color indexed="8"/>
        <rFont val="宋体"/>
        <family val="3"/>
        <charset val="134"/>
      </rPr>
      <t>净利润（</t>
    </r>
    <r>
      <rPr>
        <sz val="11"/>
        <color indexed="8"/>
        <rFont val="Times New Roman"/>
        <family val="1"/>
      </rPr>
      <t>5-8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</si>
  <si>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期初未分配利润</t>
    </r>
  </si>
  <si>
    <r>
      <rPr>
        <sz val="11"/>
        <color indexed="8"/>
        <rFont val="宋体"/>
        <family val="3"/>
        <charset val="134"/>
      </rPr>
      <t>可供分配利润（</t>
    </r>
    <r>
      <rPr>
        <sz val="11"/>
        <color indexed="8"/>
        <rFont val="Times New Roman"/>
        <family val="1"/>
      </rPr>
      <t>9+10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</si>
  <si>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提取法定盈余公积金</t>
    </r>
  </si>
  <si>
    <r>
      <rPr>
        <sz val="11"/>
        <color indexed="8"/>
        <rFont val="宋体"/>
        <family val="3"/>
        <charset val="134"/>
      </rPr>
      <t>法定盈余公积金累计额</t>
    </r>
    <phoneticPr fontId="1" type="noConversion"/>
  </si>
  <si>
    <r>
      <rPr>
        <sz val="11"/>
        <color indexed="8"/>
        <rFont val="宋体"/>
        <family val="3"/>
        <charset val="134"/>
      </rPr>
      <t>可供投资者分配利润（</t>
    </r>
    <r>
      <rPr>
        <sz val="11"/>
        <color indexed="8"/>
        <rFont val="Times New Roman"/>
        <family val="1"/>
      </rPr>
      <t>11-12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</si>
  <si>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应付优先股股利</t>
    </r>
  </si>
  <si>
    <r>
      <rPr>
        <sz val="11"/>
        <color indexed="8"/>
        <rFont val="宋体"/>
        <family val="3"/>
        <charset val="134"/>
      </rPr>
      <t>提取任意盈余公积金</t>
    </r>
  </si>
  <si>
    <r>
      <rPr>
        <sz val="11"/>
        <color indexed="8"/>
        <rFont val="宋体"/>
        <family val="3"/>
        <charset val="134"/>
      </rPr>
      <t>任意盈余公积金累计额</t>
    </r>
    <phoneticPr fontId="1" type="noConversion"/>
  </si>
  <si>
    <r>
      <rPr>
        <sz val="11"/>
        <color indexed="8"/>
        <rFont val="宋体"/>
        <family val="3"/>
        <charset val="134"/>
      </rPr>
      <t>应付普通股股利</t>
    </r>
  </si>
  <si>
    <r>
      <rPr>
        <sz val="11"/>
        <color indexed="8"/>
        <rFont val="宋体"/>
        <family val="3"/>
        <charset val="134"/>
      </rPr>
      <t>各投资方利润分配</t>
    </r>
  </si>
  <si>
    <r>
      <rPr>
        <sz val="11"/>
        <color indexed="8"/>
        <rFont val="宋体"/>
        <family val="3"/>
        <charset val="134"/>
      </rPr>
      <t>未分配利润（</t>
    </r>
    <r>
      <rPr>
        <sz val="11"/>
        <color indexed="8"/>
        <rFont val="Times New Roman"/>
        <family val="1"/>
      </rPr>
      <t>9-12-14-15-16-17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</si>
  <si>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未分配利润累计额</t>
    </r>
    <phoneticPr fontId="1" type="noConversion"/>
  </si>
  <si>
    <r>
      <rPr>
        <sz val="11"/>
        <color indexed="8"/>
        <rFont val="宋体"/>
        <family val="3"/>
        <charset val="134"/>
      </rPr>
      <t>息税前利润（利润总额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利息支出）</t>
    </r>
  </si>
  <si>
    <r>
      <rPr>
        <sz val="11"/>
        <color indexed="8"/>
        <rFont val="宋体"/>
        <family val="3"/>
        <charset val="134"/>
      </rPr>
      <t>息税折旧摊销前利润（息税前利润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折旧</t>
    </r>
    <r>
      <rPr>
        <sz val="11"/>
        <color indexed="8"/>
        <rFont val="Times New Roman"/>
        <family val="1"/>
      </rPr>
      <t>+</t>
    </r>
    <r>
      <rPr>
        <sz val="11"/>
        <color indexed="8"/>
        <rFont val="宋体"/>
        <family val="3"/>
        <charset val="134"/>
      </rPr>
      <t>摊销）</t>
    </r>
  </si>
  <si>
    <r>
      <rPr>
        <sz val="11"/>
        <color indexed="8"/>
        <rFont val="宋体"/>
        <family val="3"/>
        <charset val="134"/>
      </rPr>
      <t>获利年度起计算，第一年至第二年免征企业所得税，第三年至第五年按照</t>
    </r>
    <r>
      <rPr>
        <sz val="11"/>
        <color indexed="8"/>
        <rFont val="Times New Roman"/>
        <family val="1"/>
      </rPr>
      <t>25%</t>
    </r>
    <r>
      <rPr>
        <sz val="11"/>
        <color indexed="8"/>
        <rFont val="宋体"/>
        <family val="3"/>
        <charset val="134"/>
      </rPr>
      <t>税率减半征收</t>
    </r>
  </si>
  <si>
    <r>
      <rPr>
        <sz val="11"/>
        <color indexed="8"/>
        <rFont val="宋体"/>
        <family val="3"/>
        <charset val="134"/>
      </rPr>
      <t>提取法定公积金比例</t>
    </r>
  </si>
  <si>
    <r>
      <rPr>
        <sz val="11"/>
        <color indexed="8"/>
        <rFont val="宋体"/>
        <family val="3"/>
        <charset val="134"/>
      </rPr>
      <t>提取任意盈余公积金比例</t>
    </r>
  </si>
  <si>
    <r>
      <rPr>
        <sz val="11"/>
        <color indexed="8"/>
        <rFont val="宋体"/>
        <family val="3"/>
        <charset val="134"/>
      </rPr>
      <t>补贴收入</t>
    </r>
    <phoneticPr fontId="1" type="noConversion"/>
  </si>
  <si>
    <r>
      <rPr>
        <sz val="11"/>
        <color indexed="8"/>
        <rFont val="宋体"/>
        <family val="3"/>
        <charset val="134"/>
      </rPr>
      <t>其他流入</t>
    </r>
    <phoneticPr fontId="1" type="noConversion"/>
  </si>
  <si>
    <r>
      <rPr>
        <sz val="11"/>
        <color indexed="8"/>
        <rFont val="宋体"/>
        <family val="3"/>
        <charset val="134"/>
      </rPr>
      <t>税金及附加（扣除增值税）</t>
    </r>
    <phoneticPr fontId="1" type="noConversion"/>
  </si>
  <si>
    <r>
      <rPr>
        <sz val="11"/>
        <color indexed="8"/>
        <rFont val="宋体"/>
        <family val="3"/>
        <charset val="134"/>
      </rPr>
      <t>所得税</t>
    </r>
    <phoneticPr fontId="1" type="noConversion"/>
  </si>
  <si>
    <r>
      <rPr>
        <sz val="11"/>
        <color indexed="8"/>
        <rFont val="宋体"/>
        <family val="3"/>
        <charset val="134"/>
      </rPr>
      <t>其他流出</t>
    </r>
    <phoneticPr fontId="1" type="noConversion"/>
  </si>
  <si>
    <r>
      <rPr>
        <sz val="11"/>
        <rFont val="宋体"/>
        <family val="3"/>
        <charset val="134"/>
      </rPr>
      <t>现金流入</t>
    </r>
  </si>
  <si>
    <r>
      <rPr>
        <sz val="11"/>
        <rFont val="宋体"/>
        <family val="3"/>
        <charset val="134"/>
      </rPr>
      <t>现金流出</t>
    </r>
  </si>
  <si>
    <r>
      <rPr>
        <sz val="11"/>
        <rFont val="宋体"/>
        <family val="3"/>
        <charset val="134"/>
      </rPr>
      <t>建设投资</t>
    </r>
    <phoneticPr fontId="1" type="noConversion"/>
  </si>
  <si>
    <r>
      <rPr>
        <sz val="11"/>
        <rFont val="宋体"/>
        <family val="3"/>
        <charset val="134"/>
      </rPr>
      <t>流动资金</t>
    </r>
    <phoneticPr fontId="1" type="noConversion"/>
  </si>
  <si>
    <r>
      <rPr>
        <sz val="11"/>
        <rFont val="宋体"/>
        <family val="3"/>
        <charset val="134"/>
      </rPr>
      <t>其他流出</t>
    </r>
    <phoneticPr fontId="1" type="noConversion"/>
  </si>
  <si>
    <r>
      <rPr>
        <sz val="11"/>
        <rFont val="宋体"/>
        <family val="3"/>
        <charset val="134"/>
      </rPr>
      <t>项目资本金</t>
    </r>
    <phoneticPr fontId="1" type="noConversion"/>
  </si>
  <si>
    <r>
      <rPr>
        <sz val="11"/>
        <color indexed="8"/>
        <rFont val="宋体"/>
        <family val="3"/>
        <charset val="134"/>
      </rPr>
      <t>债券</t>
    </r>
    <phoneticPr fontId="1" type="noConversion"/>
  </si>
  <si>
    <r>
      <rPr>
        <sz val="11"/>
        <color indexed="8"/>
        <rFont val="宋体"/>
        <family val="3"/>
        <charset val="134"/>
      </rPr>
      <t>各种利息支出</t>
    </r>
    <phoneticPr fontId="1" type="noConversion"/>
  </si>
  <si>
    <r>
      <rPr>
        <sz val="11"/>
        <color indexed="8"/>
        <rFont val="宋体"/>
        <family val="3"/>
        <charset val="134"/>
      </rPr>
      <t>偿还债务本金</t>
    </r>
    <phoneticPr fontId="1" type="noConversion"/>
  </si>
  <si>
    <r>
      <rPr>
        <sz val="11"/>
        <color indexed="8"/>
        <rFont val="宋体"/>
        <family val="3"/>
        <charset val="134"/>
      </rPr>
      <t>偿还贷款本金</t>
    </r>
    <phoneticPr fontId="1" type="noConversion"/>
  </si>
  <si>
    <r>
      <rPr>
        <sz val="11"/>
        <color indexed="8"/>
        <rFont val="宋体"/>
        <family val="3"/>
        <charset val="134"/>
      </rPr>
      <t>偿还短期借款本金</t>
    </r>
    <phoneticPr fontId="1" type="noConversion"/>
  </si>
  <si>
    <r>
      <rPr>
        <sz val="11"/>
        <color indexed="8"/>
        <rFont val="宋体"/>
        <family val="3"/>
        <charset val="134"/>
      </rPr>
      <t>应付利润</t>
    </r>
    <phoneticPr fontId="1" type="noConversion"/>
  </si>
  <si>
    <r>
      <rPr>
        <sz val="11"/>
        <color indexed="8"/>
        <rFont val="宋体"/>
        <family val="3"/>
        <charset val="134"/>
      </rPr>
      <t>流动资产</t>
    </r>
  </si>
  <si>
    <r>
      <rPr>
        <sz val="11"/>
        <color indexed="8"/>
        <rFont val="宋体"/>
        <family val="3"/>
        <charset val="134"/>
      </rPr>
      <t>应收账款</t>
    </r>
    <phoneticPr fontId="1" type="noConversion"/>
  </si>
  <si>
    <r>
      <rPr>
        <sz val="11"/>
        <color indexed="8"/>
        <rFont val="宋体"/>
        <family val="3"/>
        <charset val="134"/>
      </rPr>
      <t>基本预备费</t>
    </r>
    <phoneticPr fontId="1" type="noConversion"/>
  </si>
  <si>
    <r>
      <rPr>
        <sz val="11"/>
        <color indexed="8"/>
        <rFont val="宋体"/>
        <family val="3"/>
        <charset val="134"/>
      </rPr>
      <t>累计盈余资金</t>
    </r>
    <phoneticPr fontId="1" type="noConversion"/>
  </si>
  <si>
    <r>
      <rPr>
        <sz val="11"/>
        <color indexed="8"/>
        <rFont val="宋体"/>
        <family val="3"/>
        <charset val="134"/>
      </rPr>
      <t>固定资产净值</t>
    </r>
  </si>
  <si>
    <r>
      <rPr>
        <sz val="11"/>
        <color indexed="8"/>
        <rFont val="宋体"/>
        <family val="3"/>
        <charset val="134"/>
      </rPr>
      <t>无形资产净值</t>
    </r>
  </si>
  <si>
    <r>
      <rPr>
        <sz val="11"/>
        <color indexed="8"/>
        <rFont val="宋体"/>
        <family val="3"/>
        <charset val="134"/>
      </rPr>
      <t>负债</t>
    </r>
  </si>
  <si>
    <r>
      <rPr>
        <sz val="11"/>
        <rFont val="宋体"/>
        <family val="3"/>
        <charset val="134"/>
      </rPr>
      <t>短期借款余额</t>
    </r>
    <phoneticPr fontId="1" type="noConversion"/>
  </si>
  <si>
    <r>
      <rPr>
        <sz val="11"/>
        <rFont val="宋体"/>
        <family val="3"/>
        <charset val="134"/>
      </rPr>
      <t>贷款</t>
    </r>
    <phoneticPr fontId="1" type="noConversion"/>
  </si>
  <si>
    <r>
      <rPr>
        <sz val="11"/>
        <rFont val="宋体"/>
        <family val="3"/>
        <charset val="134"/>
      </rPr>
      <t>所有者权益</t>
    </r>
  </si>
  <si>
    <r>
      <rPr>
        <sz val="11"/>
        <rFont val="宋体"/>
        <family val="3"/>
        <charset val="134"/>
      </rPr>
      <t>资本金</t>
    </r>
    <phoneticPr fontId="1" type="noConversion"/>
  </si>
  <si>
    <r>
      <rPr>
        <sz val="11"/>
        <rFont val="宋体"/>
        <family val="3"/>
        <charset val="134"/>
      </rPr>
      <t>资本公积金</t>
    </r>
    <phoneticPr fontId="1" type="noConversion"/>
  </si>
  <si>
    <r>
      <rPr>
        <sz val="11"/>
        <rFont val="宋体"/>
        <family val="3"/>
        <charset val="134"/>
      </rPr>
      <t>法定盈余公积金累计额</t>
    </r>
    <phoneticPr fontId="1" type="noConversion"/>
  </si>
  <si>
    <r>
      <rPr>
        <sz val="11"/>
        <rFont val="宋体"/>
        <family val="3"/>
        <charset val="134"/>
      </rPr>
      <t>任意盈余公积金累计额</t>
    </r>
    <phoneticPr fontId="1" type="noConversion"/>
  </si>
  <si>
    <r>
      <rPr>
        <sz val="11"/>
        <rFont val="宋体"/>
        <family val="3"/>
        <charset val="134"/>
      </rPr>
      <t>未分配利润累计金额</t>
    </r>
    <phoneticPr fontId="1" type="noConversion"/>
  </si>
  <si>
    <r>
      <rPr>
        <sz val="11"/>
        <rFont val="宋体"/>
        <family val="3"/>
        <charset val="134"/>
      </rPr>
      <t>资产等于负债及所有者权益</t>
    </r>
    <phoneticPr fontId="1" type="noConversion"/>
  </si>
  <si>
    <r>
      <rPr>
        <sz val="11"/>
        <rFont val="宋体"/>
        <family val="3"/>
        <charset val="134"/>
      </rPr>
      <t>计算指标：</t>
    </r>
    <phoneticPr fontId="1" type="noConversion"/>
  </si>
  <si>
    <r>
      <rPr>
        <sz val="11"/>
        <rFont val="宋体"/>
        <family val="3"/>
        <charset val="134"/>
      </rPr>
      <t>资产负债率（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年平均值）</t>
    </r>
    <phoneticPr fontId="1" type="noConversion"/>
  </si>
  <si>
    <r>
      <rPr>
        <b/>
        <sz val="11"/>
        <color indexed="8"/>
        <rFont val="宋体"/>
        <family val="3"/>
        <charset val="134"/>
      </rPr>
      <t>投资总额</t>
    </r>
    <phoneticPr fontId="1" type="noConversion"/>
  </si>
  <si>
    <r>
      <rPr>
        <b/>
        <sz val="11"/>
        <color indexed="8"/>
        <rFont val="宋体"/>
        <family val="3"/>
        <charset val="134"/>
      </rPr>
      <t>资金筹措来源</t>
    </r>
    <phoneticPr fontId="1" type="noConversion"/>
  </si>
  <si>
    <t>折旧率</t>
    <phoneticPr fontId="1" type="noConversion"/>
  </si>
  <si>
    <r>
      <rPr>
        <sz val="11"/>
        <color indexed="8"/>
        <rFont val="宋体"/>
        <family val="3"/>
        <charset val="134"/>
      </rPr>
      <t>设备及工器具的折旧年限为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年，残值率</t>
    </r>
    <r>
      <rPr>
        <sz val="11"/>
        <color indexed="8"/>
        <rFont val="Times New Roman"/>
        <family val="1"/>
      </rPr>
      <t>5%</t>
    </r>
    <phoneticPr fontId="1" type="noConversion"/>
  </si>
  <si>
    <t>摊销率</t>
    <phoneticPr fontId="1" type="noConversion"/>
  </si>
  <si>
    <r>
      <rPr>
        <sz val="11"/>
        <rFont val="宋体"/>
        <family val="3"/>
        <charset val="134"/>
      </rPr>
      <t>增值税：销售收入的</t>
    </r>
    <r>
      <rPr>
        <sz val="11"/>
        <rFont val="Times New Roman"/>
        <family val="1"/>
      </rPr>
      <t>6.00%</t>
    </r>
    <phoneticPr fontId="1" type="noConversion"/>
  </si>
  <si>
    <r>
      <rPr>
        <sz val="11"/>
        <rFont val="宋体"/>
        <family val="3"/>
        <charset val="134"/>
      </rPr>
      <t>城市维护建设税</t>
    </r>
    <r>
      <rPr>
        <sz val="11"/>
        <rFont val="宋体"/>
        <family val="1"/>
        <charset val="134"/>
      </rPr>
      <t>：</t>
    </r>
    <r>
      <rPr>
        <sz val="11"/>
        <rFont val="宋体"/>
        <family val="3"/>
        <charset val="134"/>
      </rPr>
      <t>增值税的</t>
    </r>
    <r>
      <rPr>
        <sz val="11"/>
        <rFont val="Times New Roman"/>
        <family val="1"/>
      </rPr>
      <t>7.00%</t>
    </r>
    <phoneticPr fontId="1" type="noConversion"/>
  </si>
  <si>
    <r>
      <rPr>
        <sz val="11"/>
        <rFont val="宋体"/>
        <family val="3"/>
        <charset val="134"/>
      </rPr>
      <t>教育费附加：增值税的</t>
    </r>
    <r>
      <rPr>
        <sz val="11"/>
        <rFont val="Times New Roman"/>
        <family val="1"/>
      </rPr>
      <t>3.00%</t>
    </r>
    <phoneticPr fontId="1" type="noConversion"/>
  </si>
  <si>
    <r>
      <rPr>
        <sz val="11"/>
        <color indexed="8"/>
        <rFont val="宋体"/>
        <family val="3"/>
        <charset val="134"/>
      </rPr>
      <t>五年贷款年利率</t>
    </r>
    <r>
      <rPr>
        <sz val="11"/>
        <color indexed="8"/>
        <rFont val="Times New Roman"/>
        <family val="1"/>
      </rPr>
      <t>8%</t>
    </r>
    <phoneticPr fontId="1" type="noConversion"/>
  </si>
  <si>
    <r>
      <rPr>
        <sz val="11"/>
        <color indexed="8"/>
        <rFont val="宋体"/>
        <family val="3"/>
        <charset val="134"/>
      </rPr>
      <t>短期贷款年利率</t>
    </r>
    <r>
      <rPr>
        <sz val="11"/>
        <color indexed="8"/>
        <rFont val="Times New Roman"/>
        <family val="1"/>
      </rPr>
      <t>4.75%</t>
    </r>
    <phoneticPr fontId="1" type="noConversion"/>
  </si>
  <si>
    <r>
      <rPr>
        <b/>
        <sz val="11"/>
        <rFont val="宋体"/>
        <family val="3"/>
        <charset val="134"/>
      </rPr>
      <t>累计盈余资金</t>
    </r>
  </si>
  <si>
    <r>
      <rPr>
        <b/>
        <sz val="11"/>
        <rFont val="宋体"/>
        <family val="3"/>
        <charset val="134"/>
      </rPr>
      <t>净现金流量</t>
    </r>
    <r>
      <rPr>
        <b/>
        <sz val="11"/>
        <rFont val="Times New Roman"/>
        <family val="1"/>
      </rPr>
      <t>(1+2+3)</t>
    </r>
    <phoneticPr fontId="1" type="noConversion"/>
  </si>
  <si>
    <r>
      <rPr>
        <b/>
        <sz val="11"/>
        <rFont val="宋体"/>
        <family val="3"/>
        <charset val="134"/>
      </rPr>
      <t>筹资活动净现金流量</t>
    </r>
  </si>
  <si>
    <r>
      <rPr>
        <b/>
        <sz val="11"/>
        <rFont val="宋体"/>
        <family val="3"/>
        <charset val="134"/>
      </rPr>
      <t>投资活动净现金流量</t>
    </r>
  </si>
  <si>
    <r>
      <rPr>
        <b/>
        <sz val="11"/>
        <color indexed="8"/>
        <rFont val="宋体"/>
        <family val="3"/>
        <charset val="134"/>
      </rPr>
      <t>经营活动净现金流量</t>
    </r>
  </si>
  <si>
    <r>
      <rPr>
        <b/>
        <sz val="11"/>
        <color indexed="8"/>
        <rFont val="宋体"/>
        <family val="3"/>
        <charset val="134"/>
      </rPr>
      <t>资产</t>
    </r>
  </si>
  <si>
    <r>
      <rPr>
        <b/>
        <sz val="11"/>
        <color indexed="8"/>
        <rFont val="宋体"/>
        <family val="3"/>
        <charset val="134"/>
      </rPr>
      <t>负债及所有者权益</t>
    </r>
  </si>
  <si>
    <t>项目年平均利润率</t>
    <phoneticPr fontId="1" type="noConversion"/>
  </si>
  <si>
    <t>项目年平均利税率</t>
    <phoneticPr fontId="1" type="noConversion"/>
  </si>
  <si>
    <t>所得税：</t>
    <phoneticPr fontId="1" type="noConversion"/>
  </si>
  <si>
    <t>平均值</t>
    <phoneticPr fontId="1" type="noConversion"/>
  </si>
  <si>
    <t>辅助报表一 项目建设投资估算表</t>
    <phoneticPr fontId="1" type="noConversion"/>
  </si>
  <si>
    <t>辅助报表二  流动资金估算表</t>
    <phoneticPr fontId="1" type="noConversion"/>
  </si>
  <si>
    <t>辅助报表三  资金使用计划与资金筹措表</t>
    <phoneticPr fontId="1" type="noConversion"/>
  </si>
  <si>
    <t>辅助报表四  固定资产折旧估算表</t>
    <phoneticPr fontId="1" type="noConversion"/>
  </si>
  <si>
    <t>辅助报表五  无形资产摊销估算表</t>
    <phoneticPr fontId="1" type="noConversion"/>
  </si>
  <si>
    <t>辅助报表六  总成本费用估算表</t>
    <phoneticPr fontId="1" type="noConversion"/>
  </si>
  <si>
    <t>辅助报表七  营业收入、税金及附加估算表</t>
    <phoneticPr fontId="1" type="noConversion"/>
  </si>
  <si>
    <t>辅助报表八  借款还本付息计划表</t>
    <phoneticPr fontId="1" type="noConversion"/>
  </si>
  <si>
    <t>基本报表一  项目投资现金流量表</t>
    <phoneticPr fontId="1" type="noConversion"/>
  </si>
  <si>
    <t>基本报表二 项目资本金现金流量表</t>
    <phoneticPr fontId="1" type="noConversion"/>
  </si>
  <si>
    <t>基本报表三 利润与利润分配表</t>
    <phoneticPr fontId="1" type="noConversion"/>
  </si>
  <si>
    <t>基本报表四 财务计划现金流量表</t>
    <phoneticPr fontId="1" type="noConversion"/>
  </si>
  <si>
    <t>基本报表五  资产负债表</t>
    <phoneticPr fontId="1" type="noConversion"/>
  </si>
  <si>
    <t>单位：元</t>
    <phoneticPr fontId="1" type="noConversion"/>
  </si>
  <si>
    <t>4</t>
    <phoneticPr fontId="1" type="noConversion"/>
  </si>
  <si>
    <r>
      <t xml:space="preserve">    </t>
    </r>
    <r>
      <rPr>
        <sz val="11"/>
        <color indexed="8"/>
        <rFont val="宋体"/>
        <family val="3"/>
        <charset val="134"/>
      </rPr>
      <t>计算机与网络设备（0.45万元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宋体"/>
        <family val="3"/>
        <charset val="134"/>
      </rPr>
      <t>工位）</t>
    </r>
    <phoneticPr fontId="1" type="noConversion"/>
  </si>
  <si>
    <r>
      <t xml:space="preserve">    </t>
    </r>
    <r>
      <rPr>
        <sz val="11"/>
        <color indexed="8"/>
        <rFont val="宋体"/>
        <family val="3"/>
        <charset val="134"/>
      </rPr>
      <t>办公用具（</t>
    </r>
    <r>
      <rPr>
        <sz val="11"/>
        <color indexed="8"/>
        <rFont val="Times New Roman"/>
        <family val="1"/>
      </rPr>
      <t>250</t>
    </r>
    <r>
      <rPr>
        <sz val="11"/>
        <color indexed="8"/>
        <rFont val="宋体"/>
        <family val="3"/>
        <charset val="134"/>
      </rPr>
      <t>元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宋体"/>
        <family val="3"/>
        <charset val="134"/>
      </rPr>
      <t>工位）</t>
    </r>
    <phoneticPr fontId="1" type="noConversion"/>
  </si>
  <si>
    <t>第1年综合人力成本，单位/人年</t>
    <phoneticPr fontId="1" type="noConversion"/>
  </si>
  <si>
    <r>
      <t>第2-5年综合人力成本，单位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宋体"/>
        <family val="3"/>
        <charset val="134"/>
      </rPr>
      <t>人年</t>
    </r>
    <phoneticPr fontId="1" type="noConversion"/>
  </si>
  <si>
    <r>
      <rPr>
        <sz val="11"/>
        <color indexed="8"/>
        <rFont val="宋体"/>
        <family val="3"/>
        <charset val="134"/>
      </rPr>
      <t>人均底薪</t>
    </r>
    <r>
      <rPr>
        <sz val="11"/>
        <color indexed="8"/>
        <rFont val="Times New Roman"/>
        <family val="1"/>
      </rPr>
      <t>21895.22</t>
    </r>
    <r>
      <rPr>
        <sz val="11"/>
        <color indexed="8"/>
        <rFont val="宋体"/>
        <family val="3"/>
        <charset val="134"/>
      </rPr>
      <t>元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宋体"/>
        <family val="3"/>
        <charset val="134"/>
      </rPr>
      <t>年</t>
    </r>
    <phoneticPr fontId="1" type="noConversion"/>
  </si>
  <si>
    <t>筹资：资本金122264.83元，银行贷款60000元</t>
    <phoneticPr fontId="1" type="noConversion"/>
  </si>
  <si>
    <t>成本：设备及工器具的折旧年限为5年，残值率5%；软件运维费用21895.22一年；无形资产摊销期5年，无残值；运营期员工1人，薪资21895.22一年；</t>
    <phoneticPr fontId="1" type="noConversion"/>
  </si>
  <si>
    <t>收入：四年依次为100000,150000,170000,190000元</t>
    <phoneticPr fontId="1" type="noConversion"/>
  </si>
  <si>
    <r>
      <rPr>
        <sz val="11"/>
        <color rgb="FF000000"/>
        <rFont val="宋体"/>
        <family val="3"/>
        <charset val="134"/>
      </rPr>
      <t>投资：流动资金</t>
    </r>
    <r>
      <rPr>
        <sz val="11"/>
        <color rgb="FF000000"/>
        <rFont val="Times New Roman"/>
        <family val="1"/>
      </rPr>
      <t>30000</t>
    </r>
    <r>
      <rPr>
        <sz val="11"/>
        <color rgb="FF000000"/>
        <rFont val="宋体"/>
        <family val="3"/>
        <charset val="134"/>
      </rPr>
      <t>元，基本预备费</t>
    </r>
    <r>
      <rPr>
        <sz val="11"/>
        <color rgb="FF000000"/>
        <rFont val="Times New Roman"/>
        <family val="1"/>
      </rPr>
      <t>13842.26</t>
    </r>
    <r>
      <rPr>
        <sz val="11"/>
        <color rgb="FF000000"/>
        <rFont val="宋体"/>
        <family val="3"/>
        <charset val="134"/>
      </rPr>
      <t>元，软件开发与运维费</t>
    </r>
    <r>
      <rPr>
        <sz val="11"/>
        <color rgb="FF000000"/>
        <rFont val="Times New Roman"/>
        <family val="1"/>
      </rPr>
      <t>113422.57</t>
    </r>
    <r>
      <rPr>
        <sz val="11"/>
        <color rgb="FF000000"/>
        <rFont val="宋体"/>
        <family val="3"/>
        <charset val="134"/>
      </rPr>
      <t>元，设备及工器具购置费</t>
    </r>
    <r>
      <rPr>
        <sz val="11"/>
        <color rgb="FF000000"/>
        <rFont val="Times New Roman"/>
        <family val="1"/>
      </rPr>
      <t>20000</t>
    </r>
    <r>
      <rPr>
        <sz val="11"/>
        <color rgb="FF000000"/>
        <rFont val="宋体"/>
        <family val="3"/>
        <charset val="134"/>
      </rPr>
      <t>元，工程建设其他费用</t>
    </r>
    <r>
      <rPr>
        <sz val="11"/>
        <color rgb="FF000000"/>
        <rFont val="Times New Roman"/>
        <family val="1"/>
      </rPr>
      <t>5000</t>
    </r>
    <r>
      <rPr>
        <sz val="11"/>
        <color rgb="FF000000"/>
        <rFont val="宋体"/>
        <family val="3"/>
        <charset val="134"/>
      </rPr>
      <t>元</t>
    </r>
    <r>
      <rPr>
        <sz val="11"/>
        <color rgb="FF000000"/>
        <rFont val="微软雅黑"/>
        <family val="1"/>
        <charset val="134"/>
      </rPr>
      <t>。</t>
    </r>
    <phoneticPr fontId="1" type="noConversion"/>
  </si>
  <si>
    <t>元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</si>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</sst>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;&quot;¥&quot;\-#,##0.00"/>
    <numFmt numFmtId="8" formatCode="&quot;¥&quot;#,##0.00;[Red]&quot;¥&quot;\-#,##0.00"/>
    <numFmt numFmtId="176" formatCode="0.00_ "/>
    <numFmt numFmtId="177" formatCode="#,##0.00_ "/>
  </numFmts>
  <fonts count="2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FF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b/>
      <sz val="11"/>
      <color rgb="FFFFFFFF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6"/>
      <color rgb="FFFFFFFF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rgb="FF000000"/>
      <name val="宋体"/>
      <family val="1"/>
      <charset val="134"/>
    </font>
    <font>
      <sz val="11"/>
      <color indexed="8"/>
      <name val="Times New Roman"/>
      <family val="3"/>
      <charset val="134"/>
    </font>
    <font>
      <sz val="11"/>
      <color rgb="FF000000"/>
      <name val="Times New Roman"/>
      <family val="1"/>
    </font>
    <font>
      <sz val="11"/>
      <name val="Times New Roman"/>
      <family val="3"/>
      <charset val="134"/>
    </font>
    <font>
      <sz val="11"/>
      <name val="宋体"/>
      <family val="1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1"/>
      <charset val="134"/>
    </font>
    <font>
      <sz val="11"/>
      <color rgb="FF000000"/>
      <name val="Times New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AAAAAA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AAAAAA"/>
      </left>
      <right style="thin">
        <color rgb="FFAAAAAA"/>
      </right>
      <top style="thin">
        <color rgb="FFFFFFFF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/>
      <right style="thin">
        <color rgb="FF385623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2" fillId="2" borderId="3" xfId="0" applyNumberFormat="1" applyFont="1" applyFill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>
      <alignment vertical="center"/>
    </xf>
    <xf numFmtId="49" fontId="8" fillId="2" borderId="2" xfId="0" applyNumberFormat="1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left"/>
    </xf>
    <xf numFmtId="7" fontId="8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>
      <alignment vertical="center"/>
    </xf>
    <xf numFmtId="49" fontId="8" fillId="2" borderId="3" xfId="0" applyNumberFormat="1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left"/>
    </xf>
    <xf numFmtId="7" fontId="6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right"/>
    </xf>
    <xf numFmtId="0" fontId="6" fillId="0" borderId="0" xfId="0" applyNumberFormat="1" applyFont="1" applyAlignment="1"/>
    <xf numFmtId="0" fontId="9" fillId="2" borderId="3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left"/>
    </xf>
    <xf numFmtId="0" fontId="11" fillId="0" borderId="0" xfId="0" applyFont="1" applyAlignment="1">
      <alignment vertical="top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9" fontId="6" fillId="0" borderId="0" xfId="0" applyNumberFormat="1" applyFont="1">
      <alignment vertical="center"/>
    </xf>
    <xf numFmtId="49" fontId="13" fillId="2" borderId="3" xfId="0" applyNumberFormat="1" applyFont="1" applyFill="1" applyBorder="1" applyAlignment="1">
      <alignment horizontal="left"/>
    </xf>
    <xf numFmtId="0" fontId="15" fillId="2" borderId="3" xfId="0" applyNumberFormat="1" applyFont="1" applyFill="1" applyBorder="1" applyAlignment="1">
      <alignment horizontal="left"/>
    </xf>
    <xf numFmtId="49" fontId="15" fillId="2" borderId="3" xfId="0" applyNumberFormat="1" applyFont="1" applyFill="1" applyBorder="1" applyAlignment="1">
      <alignment horizontal="left"/>
    </xf>
    <xf numFmtId="177" fontId="6" fillId="2" borderId="2" xfId="0" applyNumberFormat="1" applyFont="1" applyFill="1" applyBorder="1" applyAlignment="1">
      <alignment horizontal="center"/>
    </xf>
    <xf numFmtId="9" fontId="6" fillId="2" borderId="2" xfId="0" applyNumberFormat="1" applyFont="1" applyFill="1" applyBorder="1" applyAlignment="1">
      <alignment horizontal="center"/>
    </xf>
    <xf numFmtId="8" fontId="9" fillId="2" borderId="3" xfId="0" applyNumberFormat="1" applyFont="1" applyFill="1" applyBorder="1" applyAlignment="1">
      <alignment horizontal="center"/>
    </xf>
    <xf numFmtId="177" fontId="6" fillId="0" borderId="0" xfId="0" applyNumberFormat="1" applyFont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/>
    </xf>
    <xf numFmtId="49" fontId="17" fillId="2" borderId="3" xfId="0" applyNumberFormat="1" applyFont="1" applyFill="1" applyBorder="1" applyAlignment="1">
      <alignment horizontal="center"/>
    </xf>
    <xf numFmtId="49" fontId="17" fillId="2" borderId="3" xfId="0" applyNumberFormat="1" applyFont="1" applyFill="1" applyBorder="1" applyAlignment="1">
      <alignment horizontal="left"/>
    </xf>
    <xf numFmtId="0" fontId="17" fillId="2" borderId="3" xfId="0" applyNumberFormat="1" applyFont="1" applyFill="1" applyBorder="1" applyAlignment="1">
      <alignment horizontal="center"/>
    </xf>
    <xf numFmtId="0" fontId="17" fillId="2" borderId="3" xfId="0" applyNumberFormat="1" applyFont="1" applyFill="1" applyBorder="1" applyAlignment="1">
      <alignment horizontal="left"/>
    </xf>
    <xf numFmtId="0" fontId="19" fillId="2" borderId="3" xfId="0" applyNumberFormat="1" applyFont="1" applyFill="1" applyBorder="1" applyAlignment="1">
      <alignment horizontal="left"/>
    </xf>
    <xf numFmtId="49" fontId="16" fillId="2" borderId="3" xfId="0" applyNumberFormat="1" applyFont="1" applyFill="1" applyBorder="1" applyAlignment="1">
      <alignment horizontal="left"/>
    </xf>
    <xf numFmtId="49" fontId="12" fillId="2" borderId="3" xfId="0" applyNumberFormat="1" applyFont="1" applyFill="1" applyBorder="1" applyAlignment="1">
      <alignment horizontal="right"/>
    </xf>
    <xf numFmtId="10" fontId="6" fillId="2" borderId="2" xfId="0" applyNumberFormat="1" applyFont="1" applyFill="1" applyBorder="1" applyAlignment="1">
      <alignment horizontal="center"/>
    </xf>
    <xf numFmtId="10" fontId="6" fillId="0" borderId="0" xfId="0" applyNumberFormat="1" applyFont="1">
      <alignment vertical="center"/>
    </xf>
    <xf numFmtId="10" fontId="6" fillId="2" borderId="3" xfId="0" applyNumberFormat="1" applyFont="1" applyFill="1" applyBorder="1" applyAlignment="1">
      <alignment horizontal="center"/>
    </xf>
    <xf numFmtId="0" fontId="20" fillId="0" borderId="0" xfId="0" applyFont="1" applyAlignment="1">
      <alignment vertical="top"/>
    </xf>
    <xf numFmtId="49" fontId="7" fillId="4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7" fontId="2" fillId="2" borderId="3" xfId="0" applyNumberFormat="1" applyFont="1" applyFill="1" applyBorder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showGridLines="0" tabSelected="1" topLeftCell="A6" workbookViewId="0">
      <selection activeCell="B19" sqref="B19"/>
    </sheetView>
  </sheetViews>
  <sheetFormatPr defaultRowHeight="15" customHeight="1" x14ac:dyDescent="0.25"/>
  <cols>
    <col min="1" max="1" width="30.33203125" style="3" customWidth="1"/>
    <col min="2" max="2" width="56.88671875" style="3" customWidth="1"/>
    <col min="3" max="3" width="25.6640625" style="3" customWidth="1"/>
    <col min="4" max="4" width="22.21875" style="3" customWidth="1"/>
    <col min="5" max="7" width="15.6640625" style="3" customWidth="1"/>
    <col min="8" max="8" width="9.21875" style="3" bestFit="1" customWidth="1"/>
    <col min="9" max="16384" width="8.88671875" style="3"/>
  </cols>
  <sheetData>
    <row r="1" spans="1:12" s="24" customFormat="1" ht="19.95" customHeight="1" x14ac:dyDescent="0.3">
      <c r="A1" s="56" t="s">
        <v>287</v>
      </c>
      <c r="B1" s="56"/>
      <c r="C1" s="56"/>
      <c r="D1" s="56"/>
      <c r="E1" s="56"/>
      <c r="F1" s="56"/>
      <c r="G1" s="57"/>
      <c r="H1" s="23" t="s">
        <v>59</v>
      </c>
      <c r="I1" s="23"/>
      <c r="J1" s="23"/>
      <c r="K1" s="23"/>
    </row>
    <row r="2" spans="1:12" ht="15" customHeight="1" x14ac:dyDescent="0.25">
      <c r="A2" s="46" t="s">
        <v>60</v>
      </c>
      <c r="B2" s="46" t="s">
        <v>61</v>
      </c>
      <c r="C2" s="46" t="s">
        <v>62</v>
      </c>
      <c r="D2" s="46">
        <v>2</v>
      </c>
      <c r="E2" s="46">
        <v>3</v>
      </c>
      <c r="F2" s="46">
        <v>4</v>
      </c>
      <c r="G2" s="46">
        <v>5</v>
      </c>
      <c r="H2" s="50" t="s">
        <v>63</v>
      </c>
      <c r="I2" s="50"/>
      <c r="J2" s="50"/>
      <c r="K2" s="50"/>
      <c r="L2" s="50"/>
    </row>
    <row r="3" spans="1:12" s="8" customFormat="1" ht="15" customHeight="1" x14ac:dyDescent="0.25">
      <c r="A3" s="4" t="s">
        <v>0</v>
      </c>
      <c r="B3" s="5" t="s">
        <v>64</v>
      </c>
      <c r="C3" s="6">
        <f>C4+C7+C8+C11</f>
        <v>152264.82700000002</v>
      </c>
      <c r="D3" s="6">
        <f t="shared" ref="D3:G3" si="0">D4+D7+D8+D11</f>
        <v>21895.22</v>
      </c>
      <c r="E3" s="6">
        <f t="shared" si="0"/>
        <v>21895.22</v>
      </c>
      <c r="F3" s="6">
        <f t="shared" si="0"/>
        <v>21895.22</v>
      </c>
      <c r="G3" s="6">
        <f t="shared" si="0"/>
        <v>21895.22</v>
      </c>
      <c r="H3" s="50"/>
      <c r="I3" s="50"/>
      <c r="J3" s="50"/>
      <c r="K3" s="50"/>
      <c r="L3" s="50"/>
    </row>
    <row r="4" spans="1:12" s="8" customFormat="1" ht="15" customHeight="1" x14ac:dyDescent="0.25">
      <c r="A4" s="9" t="s">
        <v>1</v>
      </c>
      <c r="B4" s="10" t="s">
        <v>65</v>
      </c>
      <c r="C4" s="6">
        <f>SUM(C5:C6)</f>
        <v>113422.57</v>
      </c>
      <c r="D4" s="6">
        <f t="shared" ref="D4:G4" si="1">SUM(D5:D6)</f>
        <v>21895.22</v>
      </c>
      <c r="E4" s="6">
        <f t="shared" si="1"/>
        <v>21895.22</v>
      </c>
      <c r="F4" s="6">
        <f t="shared" si="1"/>
        <v>21895.22</v>
      </c>
      <c r="G4" s="6">
        <f t="shared" si="1"/>
        <v>21895.22</v>
      </c>
      <c r="H4" s="50"/>
      <c r="I4" s="50"/>
      <c r="J4" s="50"/>
      <c r="K4" s="50"/>
      <c r="L4" s="50"/>
    </row>
    <row r="5" spans="1:12" ht="15" customHeight="1" x14ac:dyDescent="0.25">
      <c r="A5" s="11" t="s">
        <v>2</v>
      </c>
      <c r="B5" s="12" t="s">
        <v>66</v>
      </c>
      <c r="C5" s="13">
        <f>138422.57-C7-C8</f>
        <v>113422.57</v>
      </c>
      <c r="D5" s="13">
        <v>0</v>
      </c>
      <c r="E5" s="13">
        <v>0</v>
      </c>
      <c r="F5" s="13">
        <v>0</v>
      </c>
      <c r="G5" s="13">
        <v>0</v>
      </c>
      <c r="H5" s="51" t="s">
        <v>69</v>
      </c>
      <c r="I5" s="52"/>
      <c r="J5" s="52"/>
      <c r="K5" s="52"/>
      <c r="L5" s="52"/>
    </row>
    <row r="6" spans="1:12" ht="15" customHeight="1" x14ac:dyDescent="0.25">
      <c r="A6" s="11" t="s">
        <v>3</v>
      </c>
      <c r="B6" s="12" t="s">
        <v>67</v>
      </c>
      <c r="C6" s="13">
        <v>0</v>
      </c>
      <c r="D6" s="13">
        <v>21895.22</v>
      </c>
      <c r="E6" s="13">
        <v>21895.22</v>
      </c>
      <c r="F6" s="13">
        <v>21895.22</v>
      </c>
      <c r="G6" s="13">
        <v>21895.22</v>
      </c>
      <c r="H6" s="51"/>
      <c r="I6" s="52"/>
      <c r="J6" s="52"/>
      <c r="K6" s="52"/>
      <c r="L6" s="52"/>
    </row>
    <row r="7" spans="1:12" s="8" customFormat="1" ht="15" customHeight="1" x14ac:dyDescent="0.25">
      <c r="A7" s="9" t="s">
        <v>4</v>
      </c>
      <c r="B7" s="10" t="s">
        <v>68</v>
      </c>
      <c r="C7" s="6">
        <f>C17</f>
        <v>20000</v>
      </c>
      <c r="D7" s="6">
        <f t="shared" ref="D7:G7" si="2">D17</f>
        <v>0</v>
      </c>
      <c r="E7" s="6">
        <f t="shared" si="2"/>
        <v>0</v>
      </c>
      <c r="F7" s="6">
        <f t="shared" si="2"/>
        <v>0</v>
      </c>
      <c r="G7" s="6">
        <f t="shared" si="2"/>
        <v>0</v>
      </c>
      <c r="H7" s="51"/>
      <c r="I7" s="52"/>
      <c r="J7" s="52"/>
      <c r="K7" s="52"/>
      <c r="L7" s="52"/>
    </row>
    <row r="8" spans="1:12" s="8" customFormat="1" ht="15" customHeight="1" x14ac:dyDescent="0.25">
      <c r="A8" s="9" t="s">
        <v>5</v>
      </c>
      <c r="B8" s="10" t="s">
        <v>70</v>
      </c>
      <c r="C8" s="6">
        <f>SUM(C9:C10)</f>
        <v>5000</v>
      </c>
      <c r="D8" s="6">
        <f>SUM(D9:D10)</f>
        <v>0</v>
      </c>
      <c r="E8" s="6">
        <f>SUM(E9:E10)</f>
        <v>0</v>
      </c>
      <c r="F8" s="6">
        <f t="shared" ref="F8:G8" si="3">SUM(F9:F10)</f>
        <v>0</v>
      </c>
      <c r="G8" s="6">
        <f t="shared" si="3"/>
        <v>0</v>
      </c>
      <c r="H8" s="51"/>
      <c r="I8" s="52"/>
      <c r="J8" s="52"/>
      <c r="K8" s="52"/>
      <c r="L8" s="52"/>
    </row>
    <row r="9" spans="1:12" ht="15" customHeight="1" x14ac:dyDescent="0.25">
      <c r="A9" s="11" t="s">
        <v>6</v>
      </c>
      <c r="B9" s="12" t="s">
        <v>71</v>
      </c>
      <c r="C9" s="13">
        <v>3000</v>
      </c>
      <c r="D9" s="13">
        <v>0</v>
      </c>
      <c r="E9" s="13">
        <v>0</v>
      </c>
      <c r="F9" s="13">
        <v>0</v>
      </c>
      <c r="G9" s="13">
        <v>0</v>
      </c>
      <c r="H9" s="45" t="s">
        <v>307</v>
      </c>
      <c r="I9" s="2"/>
      <c r="J9" s="2"/>
      <c r="K9" s="2"/>
      <c r="L9" s="2"/>
    </row>
    <row r="10" spans="1:12" ht="15" customHeight="1" x14ac:dyDescent="0.25">
      <c r="A10" s="11" t="s">
        <v>7</v>
      </c>
      <c r="B10" s="12" t="s">
        <v>72</v>
      </c>
      <c r="C10" s="13">
        <v>2000</v>
      </c>
      <c r="D10" s="13">
        <v>0</v>
      </c>
      <c r="E10" s="13">
        <v>0</v>
      </c>
      <c r="F10" s="13">
        <v>0</v>
      </c>
      <c r="G10" s="13">
        <v>0</v>
      </c>
      <c r="H10" s="2"/>
      <c r="I10" s="2"/>
      <c r="J10" s="2"/>
      <c r="K10" s="2"/>
    </row>
    <row r="11" spans="1:12" s="8" customFormat="1" ht="15" customHeight="1" x14ac:dyDescent="0.25">
      <c r="A11" s="9" t="s">
        <v>8</v>
      </c>
      <c r="B11" s="10" t="s">
        <v>73</v>
      </c>
      <c r="C11" s="6">
        <f>(C4+C7+C8)*0.1</f>
        <v>13842.257000000001</v>
      </c>
      <c r="D11" s="6">
        <v>0</v>
      </c>
      <c r="E11" s="6">
        <v>0</v>
      </c>
      <c r="F11" s="6">
        <v>0</v>
      </c>
      <c r="G11" s="6">
        <v>0</v>
      </c>
      <c r="H11" s="7"/>
      <c r="I11" s="7"/>
      <c r="J11" s="7"/>
      <c r="K11" s="7"/>
    </row>
    <row r="12" spans="1:12" s="8" customFormat="1" ht="15" customHeight="1" x14ac:dyDescent="0.25">
      <c r="A12" s="4" t="s">
        <v>9</v>
      </c>
      <c r="B12" s="5" t="s">
        <v>74</v>
      </c>
      <c r="C12" s="6">
        <f>C3</f>
        <v>152264.82700000002</v>
      </c>
      <c r="D12" s="6">
        <f t="shared" ref="D12:G12" si="4">D3</f>
        <v>21895.22</v>
      </c>
      <c r="E12" s="6">
        <f t="shared" si="4"/>
        <v>21895.22</v>
      </c>
      <c r="F12" s="6">
        <f t="shared" si="4"/>
        <v>21895.22</v>
      </c>
      <c r="G12" s="6">
        <f t="shared" si="4"/>
        <v>21895.22</v>
      </c>
      <c r="H12" s="53" t="s">
        <v>308</v>
      </c>
      <c r="I12" s="54"/>
      <c r="J12" s="54"/>
      <c r="K12" s="54"/>
      <c r="L12" s="54"/>
    </row>
    <row r="13" spans="1:12" ht="15" customHeight="1" x14ac:dyDescent="0.25">
      <c r="A13" s="14"/>
      <c r="B13" s="14"/>
      <c r="C13" s="14"/>
      <c r="D13" s="14"/>
      <c r="E13" s="14"/>
      <c r="F13" s="14"/>
      <c r="G13" s="14"/>
      <c r="H13" s="55"/>
      <c r="I13" s="54"/>
      <c r="J13" s="54"/>
      <c r="K13" s="54"/>
      <c r="L13" s="54"/>
    </row>
    <row r="14" spans="1:12" ht="15" customHeight="1" x14ac:dyDescent="0.25">
      <c r="A14" s="15" t="s">
        <v>75</v>
      </c>
      <c r="B14" s="16" t="s">
        <v>76</v>
      </c>
      <c r="C14" s="14" t="s">
        <v>301</v>
      </c>
      <c r="D14" s="14">
        <v>1</v>
      </c>
      <c r="E14" s="14">
        <v>1</v>
      </c>
      <c r="F14" s="14">
        <v>1</v>
      </c>
      <c r="G14" s="14">
        <v>1</v>
      </c>
      <c r="H14" s="55"/>
      <c r="I14" s="54"/>
      <c r="J14" s="54"/>
      <c r="K14" s="54"/>
      <c r="L14" s="54"/>
    </row>
    <row r="15" spans="1:12" ht="15" customHeight="1" x14ac:dyDescent="0.25">
      <c r="A15" s="48" t="s">
        <v>304</v>
      </c>
      <c r="B15" s="49">
        <f>C5/C14</f>
        <v>28355.642500000002</v>
      </c>
      <c r="C15" s="14"/>
      <c r="D15" s="14"/>
      <c r="E15" s="14"/>
      <c r="F15" s="14"/>
      <c r="G15" s="14"/>
      <c r="H15" s="55"/>
      <c r="I15" s="54"/>
      <c r="J15" s="54"/>
      <c r="K15" s="54"/>
      <c r="L15" s="54"/>
    </row>
    <row r="16" spans="1:12" ht="15" customHeight="1" x14ac:dyDescent="0.25">
      <c r="A16" s="47" t="s">
        <v>305</v>
      </c>
      <c r="B16" s="49">
        <f>D6/D14</f>
        <v>21895.22</v>
      </c>
      <c r="C16" s="47" t="s">
        <v>300</v>
      </c>
      <c r="D16" s="14"/>
      <c r="E16" s="14"/>
      <c r="F16" s="14"/>
      <c r="G16" s="14"/>
      <c r="I16" s="2"/>
    </row>
    <row r="17" spans="1:12" ht="15" customHeight="1" x14ac:dyDescent="0.25">
      <c r="A17" s="14"/>
      <c r="B17" s="12" t="s">
        <v>77</v>
      </c>
      <c r="C17" s="13">
        <f>SUM(C18:C20)</f>
        <v>20000</v>
      </c>
      <c r="D17" s="13"/>
      <c r="E17" s="13"/>
      <c r="F17" s="13"/>
      <c r="G17" s="13"/>
      <c r="H17" s="45" t="s">
        <v>309</v>
      </c>
      <c r="I17" s="2"/>
    </row>
    <row r="18" spans="1:12" ht="15" customHeight="1" x14ac:dyDescent="0.25">
      <c r="A18" s="14"/>
      <c r="B18" s="12" t="s">
        <v>78</v>
      </c>
      <c r="C18" s="13">
        <v>1000</v>
      </c>
      <c r="D18" s="13"/>
      <c r="E18" s="13"/>
      <c r="F18" s="13"/>
      <c r="G18" s="13"/>
      <c r="H18" s="2"/>
      <c r="I18" s="2"/>
    </row>
    <row r="19" spans="1:12" ht="15" customHeight="1" x14ac:dyDescent="0.25">
      <c r="A19" s="14"/>
      <c r="B19" s="12" t="s">
        <v>302</v>
      </c>
      <c r="C19" s="13">
        <v>18000</v>
      </c>
      <c r="D19" s="13"/>
      <c r="E19" s="13"/>
      <c r="F19" s="13"/>
      <c r="G19" s="13"/>
      <c r="H19" s="2"/>
      <c r="I19" s="2"/>
    </row>
    <row r="20" spans="1:12" ht="15" customHeight="1" x14ac:dyDescent="0.25">
      <c r="A20" s="14"/>
      <c r="B20" s="12" t="s">
        <v>303</v>
      </c>
      <c r="C20" s="13">
        <v>1000</v>
      </c>
      <c r="D20" s="13"/>
      <c r="E20" s="13"/>
      <c r="F20" s="13"/>
      <c r="G20" s="13"/>
      <c r="H20" s="55" t="s">
        <v>310</v>
      </c>
      <c r="I20" s="52"/>
      <c r="J20" s="52"/>
      <c r="K20" s="52"/>
      <c r="L20" s="52"/>
    </row>
    <row r="21" spans="1:12" ht="15" customHeight="1" x14ac:dyDescent="0.25">
      <c r="A21" s="14"/>
      <c r="B21" s="12"/>
      <c r="C21" s="13"/>
      <c r="D21" s="13"/>
      <c r="E21" s="13"/>
      <c r="F21" s="13"/>
      <c r="G21" s="13"/>
      <c r="H21" s="51"/>
      <c r="I21" s="52"/>
      <c r="J21" s="52"/>
      <c r="K21" s="52"/>
      <c r="L21" s="52"/>
    </row>
    <row r="22" spans="1:12" ht="15" customHeight="1" x14ac:dyDescent="0.25">
      <c r="A22" s="17" t="s">
        <v>75</v>
      </c>
      <c r="B22" s="12" t="s">
        <v>79</v>
      </c>
      <c r="C22" s="14"/>
      <c r="D22" s="14"/>
      <c r="E22" s="14"/>
      <c r="F22" s="14"/>
      <c r="G22" s="14"/>
      <c r="H22" s="51"/>
      <c r="I22" s="52"/>
      <c r="J22" s="52"/>
      <c r="K22" s="52"/>
      <c r="L22" s="52"/>
    </row>
    <row r="23" spans="1:12" s="24" customFormat="1" ht="19.95" customHeight="1" x14ac:dyDescent="0.3">
      <c r="A23" s="56" t="s">
        <v>288</v>
      </c>
      <c r="B23" s="56"/>
      <c r="C23" s="56"/>
      <c r="D23" s="56"/>
      <c r="E23" s="56"/>
      <c r="F23" s="56"/>
      <c r="G23" s="57"/>
    </row>
    <row r="24" spans="1:12" ht="15" customHeight="1" x14ac:dyDescent="0.25">
      <c r="A24" s="46" t="s">
        <v>60</v>
      </c>
      <c r="B24" s="46" t="s">
        <v>61</v>
      </c>
      <c r="C24" s="46" t="s">
        <v>62</v>
      </c>
      <c r="D24" s="46">
        <v>2</v>
      </c>
      <c r="E24" s="46">
        <v>3</v>
      </c>
      <c r="F24" s="46">
        <v>4</v>
      </c>
      <c r="G24" s="46">
        <v>5</v>
      </c>
    </row>
    <row r="25" spans="1:12" s="8" customFormat="1" ht="15" customHeight="1" x14ac:dyDescent="0.25">
      <c r="A25" s="4" t="s">
        <v>10</v>
      </c>
      <c r="B25" s="10" t="s">
        <v>80</v>
      </c>
      <c r="C25" s="6">
        <f>C26+C27</f>
        <v>30000</v>
      </c>
      <c r="D25" s="6">
        <f t="shared" ref="D25:G25" si="5">D26+D27</f>
        <v>30000</v>
      </c>
      <c r="E25" s="6">
        <f t="shared" si="5"/>
        <v>30000</v>
      </c>
      <c r="F25" s="6">
        <f t="shared" si="5"/>
        <v>30000</v>
      </c>
      <c r="G25" s="6">
        <f t="shared" si="5"/>
        <v>30000</v>
      </c>
    </row>
    <row r="26" spans="1:12" s="18" customFormat="1" ht="16.05" customHeight="1" x14ac:dyDescent="0.25">
      <c r="A26" s="11" t="s">
        <v>1</v>
      </c>
      <c r="B26" s="12" t="s">
        <v>81</v>
      </c>
      <c r="C26" s="13">
        <v>30000</v>
      </c>
      <c r="D26" s="13">
        <v>30000</v>
      </c>
      <c r="E26" s="13">
        <v>30000</v>
      </c>
      <c r="F26" s="13">
        <v>30000</v>
      </c>
      <c r="G26" s="13">
        <v>30000</v>
      </c>
    </row>
    <row r="27" spans="1:12" ht="16.05" customHeight="1" x14ac:dyDescent="0.25">
      <c r="A27" s="11" t="s">
        <v>4</v>
      </c>
      <c r="B27" s="12" t="s">
        <v>82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</row>
    <row r="28" spans="1:12" s="8" customFormat="1" ht="18" customHeight="1" x14ac:dyDescent="0.25">
      <c r="A28" s="9" t="s">
        <v>9</v>
      </c>
      <c r="B28" s="10" t="s">
        <v>83</v>
      </c>
      <c r="C28" s="6">
        <f>C29</f>
        <v>0</v>
      </c>
      <c r="D28" s="6">
        <f t="shared" ref="D28:G28" si="6">D29</f>
        <v>0</v>
      </c>
      <c r="E28" s="6">
        <f t="shared" si="6"/>
        <v>0</v>
      </c>
      <c r="F28" s="6">
        <f t="shared" si="6"/>
        <v>0</v>
      </c>
      <c r="G28" s="6">
        <f t="shared" si="6"/>
        <v>0</v>
      </c>
    </row>
    <row r="29" spans="1:12" ht="15" customHeight="1" x14ac:dyDescent="0.25">
      <c r="A29" s="11" t="s">
        <v>11</v>
      </c>
      <c r="B29" s="12" t="s">
        <v>84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</row>
    <row r="30" spans="1:12" s="8" customFormat="1" ht="15" customHeight="1" x14ac:dyDescent="0.25">
      <c r="A30" s="9" t="s">
        <v>12</v>
      </c>
      <c r="B30" s="10" t="s">
        <v>85</v>
      </c>
      <c r="C30" s="6">
        <f>C25-C28</f>
        <v>30000</v>
      </c>
      <c r="D30" s="6">
        <f t="shared" ref="D30:G30" si="7">D25-D28</f>
        <v>30000</v>
      </c>
      <c r="E30" s="6">
        <f t="shared" si="7"/>
        <v>30000</v>
      </c>
      <c r="F30" s="6">
        <f t="shared" si="7"/>
        <v>30000</v>
      </c>
      <c r="G30" s="6">
        <f t="shared" si="7"/>
        <v>30000</v>
      </c>
    </row>
    <row r="31" spans="1:12" ht="15" customHeight="1" x14ac:dyDescent="0.25">
      <c r="A31" s="11" t="s">
        <v>13</v>
      </c>
      <c r="B31" s="12" t="s">
        <v>86</v>
      </c>
      <c r="C31" s="13">
        <f>C26</f>
        <v>30000</v>
      </c>
      <c r="D31" s="13">
        <v>0</v>
      </c>
      <c r="E31" s="13">
        <v>0</v>
      </c>
      <c r="F31" s="13">
        <v>0</v>
      </c>
      <c r="G31" s="13">
        <v>0</v>
      </c>
    </row>
    <row r="32" spans="1:12" ht="15" customHeight="1" x14ac:dyDescent="0.25">
      <c r="A32" s="11"/>
      <c r="B32" s="12"/>
      <c r="C32" s="13"/>
      <c r="D32" s="13"/>
      <c r="E32" s="13"/>
      <c r="F32" s="13"/>
      <c r="G32" s="13"/>
    </row>
    <row r="33" spans="1:7" ht="15" customHeight="1" x14ac:dyDescent="0.25">
      <c r="A33" s="18"/>
      <c r="B33" s="12" t="s">
        <v>87</v>
      </c>
      <c r="C33" s="13"/>
      <c r="D33" s="13"/>
      <c r="E33" s="13"/>
      <c r="F33" s="13"/>
      <c r="G33" s="13"/>
    </row>
    <row r="34" spans="1:7" ht="15" customHeight="1" x14ac:dyDescent="0.25">
      <c r="A34" s="11"/>
      <c r="B34" s="12"/>
      <c r="C34" s="13"/>
      <c r="D34" s="13"/>
      <c r="E34" s="13"/>
      <c r="F34" s="13"/>
      <c r="G34" s="13"/>
    </row>
    <row r="35" spans="1:7" s="24" customFormat="1" ht="19.95" customHeight="1" x14ac:dyDescent="0.3">
      <c r="A35" s="56" t="s">
        <v>289</v>
      </c>
      <c r="B35" s="56"/>
      <c r="C35" s="56"/>
      <c r="D35" s="56"/>
      <c r="E35" s="56"/>
      <c r="F35" s="56"/>
      <c r="G35" s="57"/>
    </row>
    <row r="36" spans="1:7" ht="15" customHeight="1" x14ac:dyDescent="0.25">
      <c r="A36" s="46" t="s">
        <v>60</v>
      </c>
      <c r="B36" s="46" t="s">
        <v>61</v>
      </c>
      <c r="C36" s="46" t="s">
        <v>62</v>
      </c>
      <c r="D36" s="46">
        <v>2</v>
      </c>
      <c r="E36" s="46">
        <v>3</v>
      </c>
      <c r="F36" s="46">
        <v>4</v>
      </c>
      <c r="G36" s="46">
        <v>5</v>
      </c>
    </row>
    <row r="37" spans="1:7" s="8" customFormat="1" ht="15" customHeight="1" x14ac:dyDescent="0.25">
      <c r="A37" s="4" t="s">
        <v>0</v>
      </c>
      <c r="B37" s="5" t="s">
        <v>266</v>
      </c>
      <c r="C37" s="6">
        <f>C38+C39</f>
        <v>182264.82700000002</v>
      </c>
      <c r="D37" s="6">
        <f t="shared" ref="D37:F37" si="8">D38+D39</f>
        <v>21895.22</v>
      </c>
      <c r="E37" s="6">
        <f t="shared" si="8"/>
        <v>21895.22</v>
      </c>
      <c r="F37" s="6">
        <f t="shared" si="8"/>
        <v>21895.22</v>
      </c>
      <c r="G37" s="6">
        <f>G38+G39</f>
        <v>21895.22</v>
      </c>
    </row>
    <row r="38" spans="1:7" ht="15" customHeight="1" x14ac:dyDescent="0.25">
      <c r="A38" s="11" t="s">
        <v>1</v>
      </c>
      <c r="B38" s="12" t="s">
        <v>88</v>
      </c>
      <c r="C38" s="13">
        <f>C3</f>
        <v>152264.82700000002</v>
      </c>
      <c r="D38" s="13">
        <f t="shared" ref="D38:G38" si="9">D3</f>
        <v>21895.22</v>
      </c>
      <c r="E38" s="13">
        <f t="shared" si="9"/>
        <v>21895.22</v>
      </c>
      <c r="F38" s="13">
        <f t="shared" si="9"/>
        <v>21895.22</v>
      </c>
      <c r="G38" s="13">
        <f t="shared" si="9"/>
        <v>21895.22</v>
      </c>
    </row>
    <row r="39" spans="1:7" ht="15" customHeight="1" x14ac:dyDescent="0.25">
      <c r="A39" s="11" t="s">
        <v>4</v>
      </c>
      <c r="B39" s="12" t="s">
        <v>89</v>
      </c>
      <c r="C39" s="13">
        <f>C30</f>
        <v>30000</v>
      </c>
      <c r="D39" s="13">
        <v>0</v>
      </c>
      <c r="E39" s="13">
        <v>0</v>
      </c>
      <c r="F39" s="13">
        <v>0</v>
      </c>
      <c r="G39" s="13">
        <v>0</v>
      </c>
    </row>
    <row r="40" spans="1:7" s="8" customFormat="1" ht="15" customHeight="1" x14ac:dyDescent="0.25">
      <c r="A40" s="9" t="s">
        <v>9</v>
      </c>
      <c r="B40" s="10" t="s">
        <v>267</v>
      </c>
      <c r="C40" s="6">
        <f>C41+C43</f>
        <v>182264.83000000002</v>
      </c>
      <c r="D40" s="6">
        <f t="shared" ref="D40:G40" si="10">D41+D43+D45</f>
        <v>21895.22</v>
      </c>
      <c r="E40" s="6">
        <f t="shared" si="10"/>
        <v>21895.22</v>
      </c>
      <c r="F40" s="6">
        <f t="shared" si="10"/>
        <v>21895.22</v>
      </c>
      <c r="G40" s="6">
        <f t="shared" si="10"/>
        <v>21895.22</v>
      </c>
    </row>
    <row r="41" spans="1:7" ht="15" customHeight="1" x14ac:dyDescent="0.25">
      <c r="A41" s="11" t="s">
        <v>11</v>
      </c>
      <c r="B41" s="12" t="s">
        <v>90</v>
      </c>
      <c r="C41" s="13">
        <f>C42</f>
        <v>122264.83</v>
      </c>
      <c r="D41" s="13">
        <v>21895.22</v>
      </c>
      <c r="E41" s="13">
        <v>21895.22</v>
      </c>
      <c r="F41" s="13">
        <v>21895.22</v>
      </c>
      <c r="G41" s="13">
        <v>21895.22</v>
      </c>
    </row>
    <row r="42" spans="1:7" ht="15" customHeight="1" x14ac:dyDescent="0.25">
      <c r="A42" s="11" t="s">
        <v>14</v>
      </c>
      <c r="B42" s="12" t="s">
        <v>91</v>
      </c>
      <c r="C42" s="13">
        <f>122264.83</f>
        <v>122264.83</v>
      </c>
      <c r="D42" s="13">
        <f>D41+C42</f>
        <v>144160.04999999999</v>
      </c>
      <c r="E42" s="13">
        <f t="shared" ref="E42:G42" si="11">E41+D42</f>
        <v>166055.26999999999</v>
      </c>
      <c r="F42" s="13">
        <f t="shared" si="11"/>
        <v>187950.49</v>
      </c>
      <c r="G42" s="13">
        <f t="shared" si="11"/>
        <v>209845.71</v>
      </c>
    </row>
    <row r="43" spans="1:7" ht="15" customHeight="1" x14ac:dyDescent="0.25">
      <c r="A43" s="11" t="s">
        <v>15</v>
      </c>
      <c r="B43" s="12" t="s">
        <v>92</v>
      </c>
      <c r="C43" s="13">
        <v>60000</v>
      </c>
      <c r="D43" s="13">
        <v>0</v>
      </c>
      <c r="E43" s="13">
        <v>0</v>
      </c>
      <c r="F43" s="13">
        <v>0</v>
      </c>
      <c r="G43" s="13">
        <f>G44</f>
        <v>0</v>
      </c>
    </row>
    <row r="44" spans="1:7" ht="15" customHeight="1" x14ac:dyDescent="0.25">
      <c r="A44" s="11" t="s">
        <v>16</v>
      </c>
      <c r="B44" s="12" t="s">
        <v>93</v>
      </c>
      <c r="C44" s="13">
        <f>$C43</f>
        <v>60000</v>
      </c>
      <c r="D44" s="13">
        <f t="shared" ref="D44:F44" si="12">$C43</f>
        <v>60000</v>
      </c>
      <c r="E44" s="13">
        <f t="shared" si="12"/>
        <v>60000</v>
      </c>
      <c r="F44" s="13">
        <f t="shared" si="12"/>
        <v>60000</v>
      </c>
      <c r="G44" s="13">
        <v>0</v>
      </c>
    </row>
    <row r="45" spans="1:7" ht="18" customHeight="1" x14ac:dyDescent="0.25">
      <c r="A45" s="11" t="s">
        <v>17</v>
      </c>
      <c r="B45" s="12" t="s">
        <v>94</v>
      </c>
      <c r="C45" s="13">
        <f>C46</f>
        <v>3000</v>
      </c>
      <c r="D45" s="13">
        <f t="shared" ref="D45:G45" si="13">D46</f>
        <v>0</v>
      </c>
      <c r="E45" s="13">
        <f t="shared" si="13"/>
        <v>0</v>
      </c>
      <c r="F45" s="13">
        <f t="shared" si="13"/>
        <v>0</v>
      </c>
      <c r="G45" s="13">
        <f t="shared" si="13"/>
        <v>0</v>
      </c>
    </row>
    <row r="46" spans="1:7" ht="15" customHeight="1" x14ac:dyDescent="0.25">
      <c r="A46" s="11" t="s">
        <v>18</v>
      </c>
      <c r="B46" s="12" t="s">
        <v>95</v>
      </c>
      <c r="C46" s="13">
        <v>3000</v>
      </c>
      <c r="D46" s="13">
        <v>0</v>
      </c>
      <c r="E46" s="13">
        <v>0</v>
      </c>
      <c r="F46" s="13">
        <v>0</v>
      </c>
      <c r="G46" s="13">
        <v>0</v>
      </c>
    </row>
    <row r="47" spans="1:7" ht="15" customHeight="1" x14ac:dyDescent="0.25">
      <c r="A47" s="19"/>
      <c r="B47" s="20"/>
      <c r="C47" s="13"/>
      <c r="D47" s="13"/>
      <c r="E47" s="13"/>
      <c r="F47" s="13"/>
      <c r="G47" s="13"/>
    </row>
    <row r="48" spans="1:7" ht="15" customHeight="1" x14ac:dyDescent="0.25">
      <c r="A48" s="21"/>
      <c r="B48" s="22" t="s">
        <v>96</v>
      </c>
      <c r="C48" s="13"/>
      <c r="D48" s="13"/>
      <c r="E48" s="13"/>
      <c r="F48" s="13"/>
      <c r="G48" s="13"/>
    </row>
    <row r="49" spans="1:8" ht="15" customHeight="1" x14ac:dyDescent="0.25">
      <c r="A49" s="19"/>
      <c r="B49" s="20" t="s">
        <v>97</v>
      </c>
      <c r="C49" s="13"/>
      <c r="D49" s="13"/>
      <c r="E49" s="13"/>
      <c r="F49" s="13"/>
      <c r="G49" s="13"/>
    </row>
    <row r="50" spans="1:8" ht="15" customHeight="1" x14ac:dyDescent="0.25">
      <c r="A50" s="21"/>
      <c r="B50" s="22" t="s">
        <v>98</v>
      </c>
      <c r="C50" s="13"/>
      <c r="D50" s="13"/>
      <c r="E50" s="13"/>
      <c r="F50" s="13"/>
      <c r="G50" s="13"/>
    </row>
    <row r="51" spans="1:8" ht="15" customHeight="1" x14ac:dyDescent="0.25">
      <c r="A51" s="21"/>
      <c r="B51" s="22"/>
      <c r="C51" s="13"/>
      <c r="D51" s="13"/>
      <c r="E51" s="13"/>
      <c r="F51" s="13"/>
      <c r="G51" s="13"/>
    </row>
    <row r="52" spans="1:8" s="24" customFormat="1" ht="19.95" customHeight="1" x14ac:dyDescent="0.3">
      <c r="A52" s="56" t="s">
        <v>290</v>
      </c>
      <c r="B52" s="56"/>
      <c r="C52" s="56"/>
      <c r="D52" s="56"/>
      <c r="E52" s="56"/>
      <c r="F52" s="56"/>
      <c r="G52" s="57"/>
    </row>
    <row r="53" spans="1:8" ht="15" customHeight="1" x14ac:dyDescent="0.25">
      <c r="A53" s="46" t="s">
        <v>60</v>
      </c>
      <c r="B53" s="46" t="s">
        <v>61</v>
      </c>
      <c r="C53" s="46" t="s">
        <v>62</v>
      </c>
      <c r="D53" s="46">
        <v>2</v>
      </c>
      <c r="E53" s="46">
        <v>3</v>
      </c>
      <c r="F53" s="46">
        <v>4</v>
      </c>
      <c r="G53" s="46">
        <v>5</v>
      </c>
      <c r="H53" s="25" t="s">
        <v>268</v>
      </c>
    </row>
    <row r="54" spans="1:8" ht="15" customHeight="1" x14ac:dyDescent="0.25">
      <c r="A54" s="14" t="s">
        <v>0</v>
      </c>
      <c r="B54" s="16" t="s">
        <v>99</v>
      </c>
      <c r="C54" s="13"/>
      <c r="D54" s="13"/>
      <c r="E54" s="13"/>
      <c r="F54" s="13"/>
      <c r="G54" s="13"/>
      <c r="H54" s="26">
        <v>0.19</v>
      </c>
    </row>
    <row r="55" spans="1:8" ht="15" customHeight="1" x14ac:dyDescent="0.25">
      <c r="A55" s="11" t="s">
        <v>1</v>
      </c>
      <c r="B55" s="12" t="s">
        <v>100</v>
      </c>
      <c r="C55" s="13">
        <f>C7</f>
        <v>20000</v>
      </c>
      <c r="D55" s="13">
        <v>0</v>
      </c>
      <c r="E55" s="13">
        <v>0</v>
      </c>
      <c r="F55" s="13">
        <v>0</v>
      </c>
      <c r="G55" s="13">
        <v>0</v>
      </c>
    </row>
    <row r="56" spans="1:8" ht="15" customHeight="1" x14ac:dyDescent="0.25">
      <c r="A56" s="11" t="s">
        <v>4</v>
      </c>
      <c r="B56" s="12" t="s">
        <v>101</v>
      </c>
      <c r="C56" s="13">
        <v>0</v>
      </c>
      <c r="D56" s="13">
        <f>$C55*0.19</f>
        <v>3800</v>
      </c>
      <c r="E56" s="13">
        <f t="shared" ref="E56:G56" si="14">$C55*0.19</f>
        <v>3800</v>
      </c>
      <c r="F56" s="13">
        <f t="shared" si="14"/>
        <v>3800</v>
      </c>
      <c r="G56" s="13">
        <f t="shared" si="14"/>
        <v>3800</v>
      </c>
    </row>
    <row r="57" spans="1:8" ht="15" customHeight="1" x14ac:dyDescent="0.25">
      <c r="A57" s="11" t="s">
        <v>5</v>
      </c>
      <c r="B57" s="12" t="s">
        <v>102</v>
      </c>
      <c r="C57" s="13">
        <f>C55</f>
        <v>20000</v>
      </c>
      <c r="D57" s="13">
        <f>C57-D56</f>
        <v>16200</v>
      </c>
      <c r="E57" s="13">
        <f t="shared" ref="E57:G57" si="15">D57-E56</f>
        <v>12400</v>
      </c>
      <c r="F57" s="13">
        <f t="shared" si="15"/>
        <v>8600</v>
      </c>
      <c r="G57" s="13">
        <f t="shared" si="15"/>
        <v>4800</v>
      </c>
    </row>
    <row r="58" spans="1:8" ht="15" customHeight="1" x14ac:dyDescent="0.25">
      <c r="A58" s="11" t="s">
        <v>9</v>
      </c>
      <c r="B58" s="12" t="s">
        <v>103</v>
      </c>
      <c r="C58" s="13">
        <v>0</v>
      </c>
      <c r="D58" s="13">
        <f>D56</f>
        <v>3800</v>
      </c>
      <c r="E58" s="13">
        <f t="shared" ref="E58:G58" si="16">E56</f>
        <v>3800</v>
      </c>
      <c r="F58" s="13">
        <f t="shared" si="16"/>
        <v>3800</v>
      </c>
      <c r="G58" s="13">
        <f t="shared" si="16"/>
        <v>3800</v>
      </c>
    </row>
    <row r="59" spans="1:8" ht="15" customHeight="1" x14ac:dyDescent="0.25">
      <c r="A59" s="11" t="s">
        <v>12</v>
      </c>
      <c r="B59" s="12" t="s">
        <v>104</v>
      </c>
      <c r="C59" s="13">
        <f>C57</f>
        <v>20000</v>
      </c>
      <c r="D59" s="13">
        <f t="shared" ref="D59:G59" si="17">D57</f>
        <v>16200</v>
      </c>
      <c r="E59" s="13">
        <f t="shared" si="17"/>
        <v>12400</v>
      </c>
      <c r="F59" s="13">
        <f t="shared" si="17"/>
        <v>8600</v>
      </c>
      <c r="G59" s="13">
        <f t="shared" si="17"/>
        <v>4800</v>
      </c>
    </row>
    <row r="60" spans="1:8" ht="18" customHeight="1" x14ac:dyDescent="0.25">
      <c r="A60" s="11"/>
      <c r="B60" s="12"/>
      <c r="C60" s="13"/>
      <c r="D60" s="13"/>
      <c r="E60" s="13"/>
      <c r="F60" s="13"/>
      <c r="G60" s="13"/>
    </row>
    <row r="61" spans="1:8" ht="15" customHeight="1" x14ac:dyDescent="0.25">
      <c r="A61" s="11"/>
      <c r="B61" s="27" t="s">
        <v>269</v>
      </c>
      <c r="C61" s="13"/>
      <c r="D61" s="13"/>
      <c r="E61" s="13"/>
      <c r="F61" s="13"/>
      <c r="G61" s="13"/>
    </row>
    <row r="62" spans="1:8" ht="15" customHeight="1" x14ac:dyDescent="0.25">
      <c r="A62" s="11"/>
      <c r="B62" s="12" t="s">
        <v>105</v>
      </c>
      <c r="C62" s="13"/>
      <c r="D62" s="13"/>
      <c r="E62" s="13"/>
      <c r="F62" s="13"/>
      <c r="G62" s="13"/>
    </row>
    <row r="63" spans="1:8" ht="15" customHeight="1" x14ac:dyDescent="0.25">
      <c r="A63" s="19"/>
      <c r="B63" s="20"/>
      <c r="C63" s="13"/>
      <c r="D63" s="13"/>
      <c r="E63" s="13"/>
      <c r="F63" s="13"/>
      <c r="G63" s="13"/>
    </row>
    <row r="64" spans="1:8" s="24" customFormat="1" ht="19.95" customHeight="1" x14ac:dyDescent="0.3">
      <c r="A64" s="56" t="s">
        <v>291</v>
      </c>
      <c r="B64" s="56"/>
      <c r="C64" s="56"/>
      <c r="D64" s="56"/>
      <c r="E64" s="56"/>
      <c r="F64" s="56"/>
      <c r="G64" s="57"/>
    </row>
    <row r="65" spans="1:8" ht="15" customHeight="1" x14ac:dyDescent="0.25">
      <c r="A65" s="46" t="s">
        <v>60</v>
      </c>
      <c r="B65" s="46" t="s">
        <v>61</v>
      </c>
      <c r="C65" s="46" t="s">
        <v>62</v>
      </c>
      <c r="D65" s="46">
        <v>2</v>
      </c>
      <c r="E65" s="46">
        <v>3</v>
      </c>
      <c r="F65" s="46">
        <v>4</v>
      </c>
      <c r="G65" s="46">
        <v>5</v>
      </c>
      <c r="H65" s="25" t="s">
        <v>270</v>
      </c>
    </row>
    <row r="66" spans="1:8" ht="15" customHeight="1" x14ac:dyDescent="0.25">
      <c r="A66" s="14" t="s">
        <v>10</v>
      </c>
      <c r="B66" s="16" t="s">
        <v>66</v>
      </c>
      <c r="C66" s="13"/>
      <c r="D66" s="13"/>
      <c r="E66" s="13"/>
      <c r="F66" s="13"/>
      <c r="G66" s="13"/>
      <c r="H66" s="26">
        <v>0.2</v>
      </c>
    </row>
    <row r="67" spans="1:8" ht="15" customHeight="1" x14ac:dyDescent="0.25">
      <c r="A67" s="11" t="s">
        <v>1</v>
      </c>
      <c r="B67" s="12" t="s">
        <v>106</v>
      </c>
      <c r="C67" s="13">
        <f>C4</f>
        <v>113422.57</v>
      </c>
      <c r="D67" s="13">
        <v>0</v>
      </c>
      <c r="E67" s="13">
        <v>0</v>
      </c>
      <c r="F67" s="13">
        <v>0</v>
      </c>
      <c r="G67" s="13">
        <v>0</v>
      </c>
    </row>
    <row r="68" spans="1:8" ht="15" customHeight="1" x14ac:dyDescent="0.25">
      <c r="A68" s="11" t="s">
        <v>4</v>
      </c>
      <c r="B68" s="12" t="s">
        <v>107</v>
      </c>
      <c r="C68" s="13">
        <v>0</v>
      </c>
      <c r="D68" s="13">
        <f>$C67*0.2</f>
        <v>22684.514000000003</v>
      </c>
      <c r="E68" s="13">
        <f t="shared" ref="E68:G68" si="18">$C67*0.2</f>
        <v>22684.514000000003</v>
      </c>
      <c r="F68" s="13">
        <f t="shared" si="18"/>
        <v>22684.514000000003</v>
      </c>
      <c r="G68" s="13">
        <f t="shared" si="18"/>
        <v>22684.514000000003</v>
      </c>
    </row>
    <row r="69" spans="1:8" ht="15" customHeight="1" x14ac:dyDescent="0.25">
      <c r="A69" s="11" t="s">
        <v>5</v>
      </c>
      <c r="B69" s="12" t="s">
        <v>108</v>
      </c>
      <c r="C69" s="13">
        <f>C67</f>
        <v>113422.57</v>
      </c>
      <c r="D69" s="13">
        <f>C69-D68</f>
        <v>90738.056000000011</v>
      </c>
      <c r="E69" s="13">
        <f t="shared" ref="E69:G69" si="19">D69-E68</f>
        <v>68053.542000000016</v>
      </c>
      <c r="F69" s="13">
        <f t="shared" si="19"/>
        <v>45369.028000000013</v>
      </c>
      <c r="G69" s="13">
        <f t="shared" si="19"/>
        <v>22684.51400000001</v>
      </c>
    </row>
    <row r="70" spans="1:8" ht="15" customHeight="1" x14ac:dyDescent="0.25">
      <c r="A70" s="11" t="s">
        <v>9</v>
      </c>
      <c r="B70" s="12" t="s">
        <v>67</v>
      </c>
      <c r="C70" s="13"/>
      <c r="D70" s="13"/>
      <c r="E70" s="13"/>
      <c r="F70" s="13"/>
      <c r="G70" s="13"/>
      <c r="H70" s="26">
        <v>0.2</v>
      </c>
    </row>
    <row r="71" spans="1:8" ht="15" customHeight="1" x14ac:dyDescent="0.25">
      <c r="A71" s="11" t="s">
        <v>11</v>
      </c>
      <c r="B71" s="12" t="s">
        <v>106</v>
      </c>
      <c r="C71" s="13">
        <v>0</v>
      </c>
      <c r="D71" s="13">
        <f>D4</f>
        <v>21895.22</v>
      </c>
      <c r="E71" s="13">
        <f t="shared" ref="E71:G71" si="20">E4</f>
        <v>21895.22</v>
      </c>
      <c r="F71" s="13">
        <f t="shared" si="20"/>
        <v>21895.22</v>
      </c>
      <c r="G71" s="13">
        <f t="shared" si="20"/>
        <v>21895.22</v>
      </c>
    </row>
    <row r="72" spans="1:8" ht="15" customHeight="1" x14ac:dyDescent="0.25">
      <c r="A72" s="11" t="s">
        <v>15</v>
      </c>
      <c r="B72" s="12" t="s">
        <v>107</v>
      </c>
      <c r="C72" s="13">
        <v>0</v>
      </c>
      <c r="D72" s="13">
        <f>D71*0.2</f>
        <v>4379.0440000000008</v>
      </c>
      <c r="E72" s="13">
        <f>(D71+E71)*0.2</f>
        <v>8758.0880000000016</v>
      </c>
      <c r="F72" s="13">
        <f>SUM(D71:F71)*0.2</f>
        <v>13137.132000000001</v>
      </c>
      <c r="G72" s="13">
        <f>SUM(D71:G71)*0.2</f>
        <v>17516.176000000003</v>
      </c>
    </row>
    <row r="73" spans="1:8" ht="15" customHeight="1" x14ac:dyDescent="0.25">
      <c r="A73" s="11" t="s">
        <v>17</v>
      </c>
      <c r="B73" s="12" t="s">
        <v>108</v>
      </c>
      <c r="C73" s="13">
        <v>0</v>
      </c>
      <c r="D73" s="13">
        <f>D71-D72</f>
        <v>17516.175999999999</v>
      </c>
      <c r="E73" s="13">
        <f>(D73+E71-E72)</f>
        <v>30653.307999999997</v>
      </c>
      <c r="F73" s="13">
        <f>(E73+F71-F72)</f>
        <v>39411.395999999993</v>
      </c>
      <c r="G73" s="13">
        <f>(F73+G71-G72)</f>
        <v>43790.439999999988</v>
      </c>
    </row>
    <row r="74" spans="1:8" ht="15" customHeight="1" x14ac:dyDescent="0.25">
      <c r="A74" s="11" t="s">
        <v>12</v>
      </c>
      <c r="B74" s="12" t="s">
        <v>109</v>
      </c>
      <c r="C74" s="13"/>
      <c r="D74" s="13"/>
      <c r="E74" s="13"/>
      <c r="F74" s="13"/>
      <c r="G74" s="13"/>
      <c r="H74" s="26">
        <v>0.2</v>
      </c>
    </row>
    <row r="75" spans="1:8" ht="15" customHeight="1" x14ac:dyDescent="0.25">
      <c r="A75" s="11" t="s">
        <v>19</v>
      </c>
      <c r="B75" s="12" t="s">
        <v>110</v>
      </c>
      <c r="C75" s="13">
        <f>C8</f>
        <v>5000</v>
      </c>
      <c r="D75" s="13">
        <v>0</v>
      </c>
      <c r="E75" s="13">
        <v>0</v>
      </c>
      <c r="F75" s="13">
        <v>0</v>
      </c>
      <c r="G75" s="13">
        <v>0</v>
      </c>
    </row>
    <row r="76" spans="1:8" ht="18" customHeight="1" x14ac:dyDescent="0.25">
      <c r="A76" s="19">
        <v>3.2</v>
      </c>
      <c r="B76" s="20" t="s">
        <v>111</v>
      </c>
      <c r="C76" s="13">
        <v>0</v>
      </c>
      <c r="D76" s="13">
        <f>$C75*0.2</f>
        <v>1000</v>
      </c>
      <c r="E76" s="13">
        <f t="shared" ref="E76:G76" si="21">$C75*0.2</f>
        <v>1000</v>
      </c>
      <c r="F76" s="13">
        <f t="shared" si="21"/>
        <v>1000</v>
      </c>
      <c r="G76" s="13">
        <f t="shared" si="21"/>
        <v>1000</v>
      </c>
    </row>
    <row r="77" spans="1:8" ht="15" customHeight="1" x14ac:dyDescent="0.25">
      <c r="A77" s="19">
        <v>3.3</v>
      </c>
      <c r="B77" s="20" t="s">
        <v>112</v>
      </c>
      <c r="C77" s="13">
        <f>C75</f>
        <v>5000</v>
      </c>
      <c r="D77" s="13">
        <f>C77-D76</f>
        <v>4000</v>
      </c>
      <c r="E77" s="13">
        <f t="shared" ref="E77:G77" si="22">D77-E76</f>
        <v>3000</v>
      </c>
      <c r="F77" s="13">
        <f t="shared" si="22"/>
        <v>2000</v>
      </c>
      <c r="G77" s="13">
        <f t="shared" si="22"/>
        <v>1000</v>
      </c>
    </row>
    <row r="78" spans="1:8" ht="15" customHeight="1" x14ac:dyDescent="0.25">
      <c r="A78" s="21" t="s">
        <v>13</v>
      </c>
      <c r="B78" s="22" t="s">
        <v>113</v>
      </c>
      <c r="C78" s="13">
        <f>C76+C72+C68</f>
        <v>0</v>
      </c>
      <c r="D78" s="13">
        <f t="shared" ref="D78:G78" si="23">D76+D72+D68</f>
        <v>28063.558000000005</v>
      </c>
      <c r="E78" s="13">
        <f t="shared" si="23"/>
        <v>32442.602000000006</v>
      </c>
      <c r="F78" s="13">
        <f t="shared" si="23"/>
        <v>36821.646000000008</v>
      </c>
      <c r="G78" s="13">
        <f t="shared" si="23"/>
        <v>41200.69</v>
      </c>
    </row>
    <row r="79" spans="1:8" ht="15" customHeight="1" x14ac:dyDescent="0.25">
      <c r="A79" s="21" t="s">
        <v>20</v>
      </c>
      <c r="B79" s="22" t="s">
        <v>114</v>
      </c>
      <c r="C79" s="13">
        <f>C77+C73+C69</f>
        <v>118422.57</v>
      </c>
      <c r="D79" s="13">
        <f t="shared" ref="D79:G79" si="24">D77+D73+D69</f>
        <v>112254.23200000002</v>
      </c>
      <c r="E79" s="13">
        <f t="shared" si="24"/>
        <v>101706.85</v>
      </c>
      <c r="F79" s="13">
        <f t="shared" si="24"/>
        <v>86780.423999999999</v>
      </c>
      <c r="G79" s="13">
        <f t="shared" si="24"/>
        <v>67474.953999999998</v>
      </c>
    </row>
    <row r="80" spans="1:8" ht="15" customHeight="1" x14ac:dyDescent="0.25">
      <c r="A80" s="19"/>
      <c r="B80" s="20"/>
      <c r="C80" s="13"/>
      <c r="D80" s="13"/>
      <c r="E80" s="13"/>
      <c r="F80" s="13"/>
      <c r="G80" s="13"/>
    </row>
    <row r="81" spans="1:7" ht="15" customHeight="1" x14ac:dyDescent="0.25">
      <c r="A81" s="21"/>
      <c r="B81" s="22" t="s">
        <v>115</v>
      </c>
      <c r="C81" s="13"/>
      <c r="D81" s="13"/>
      <c r="E81" s="13"/>
      <c r="F81" s="13"/>
      <c r="G81" s="13"/>
    </row>
    <row r="82" spans="1:7" ht="15" customHeight="1" x14ac:dyDescent="0.25">
      <c r="A82" s="21"/>
      <c r="B82" s="22"/>
      <c r="C82" s="13"/>
      <c r="D82" s="13"/>
      <c r="E82" s="13"/>
      <c r="F82" s="13"/>
      <c r="G82" s="13"/>
    </row>
    <row r="83" spans="1:7" s="24" customFormat="1" ht="19.95" customHeight="1" x14ac:dyDescent="0.3">
      <c r="A83" s="56" t="s">
        <v>292</v>
      </c>
      <c r="B83" s="56"/>
      <c r="C83" s="56"/>
      <c r="D83" s="56"/>
      <c r="E83" s="56"/>
      <c r="F83" s="56"/>
      <c r="G83" s="57"/>
    </row>
    <row r="84" spans="1:7" ht="15" customHeight="1" x14ac:dyDescent="0.25">
      <c r="A84" s="46" t="s">
        <v>60</v>
      </c>
      <c r="B84" s="46" t="s">
        <v>61</v>
      </c>
      <c r="C84" s="46" t="s">
        <v>62</v>
      </c>
      <c r="D84" s="46">
        <v>2</v>
      </c>
      <c r="E84" s="46">
        <v>3</v>
      </c>
      <c r="F84" s="46">
        <v>4</v>
      </c>
      <c r="G84" s="46">
        <v>5</v>
      </c>
    </row>
    <row r="85" spans="1:7" ht="15" customHeight="1" x14ac:dyDescent="0.25">
      <c r="A85" s="14" t="s">
        <v>0</v>
      </c>
      <c r="B85" s="16" t="s">
        <v>116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</row>
    <row r="86" spans="1:7" ht="15" customHeight="1" x14ac:dyDescent="0.25">
      <c r="A86" s="11" t="s">
        <v>9</v>
      </c>
      <c r="B86" s="12" t="s">
        <v>117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</row>
    <row r="87" spans="1:7" ht="15" customHeight="1" x14ac:dyDescent="0.25">
      <c r="A87" s="11" t="s">
        <v>12</v>
      </c>
      <c r="B87" s="12" t="s">
        <v>118</v>
      </c>
      <c r="C87" s="13">
        <f>C100</f>
        <v>0</v>
      </c>
      <c r="D87" s="13">
        <f t="shared" ref="D87:G87" si="25">D100</f>
        <v>31857.545100000003</v>
      </c>
      <c r="E87" s="13">
        <f t="shared" si="25"/>
        <v>31857.545100000003</v>
      </c>
      <c r="F87" s="13">
        <f t="shared" si="25"/>
        <v>31857.545100000003</v>
      </c>
      <c r="G87" s="13">
        <f t="shared" si="25"/>
        <v>31857.545100000003</v>
      </c>
    </row>
    <row r="88" spans="1:7" ht="15" customHeight="1" x14ac:dyDescent="0.25">
      <c r="A88" s="11" t="s">
        <v>13</v>
      </c>
      <c r="B88" s="12" t="s">
        <v>119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</row>
    <row r="89" spans="1:7" ht="15" customHeight="1" x14ac:dyDescent="0.25">
      <c r="A89" s="11" t="s">
        <v>20</v>
      </c>
      <c r="B89" s="12" t="s">
        <v>120</v>
      </c>
      <c r="C89" s="13">
        <f>C104</f>
        <v>0</v>
      </c>
      <c r="D89" s="13">
        <f t="shared" ref="D89:G89" si="26">D104</f>
        <v>25000</v>
      </c>
      <c r="E89" s="13">
        <f t="shared" si="26"/>
        <v>37500</v>
      </c>
      <c r="F89" s="13">
        <f t="shared" si="26"/>
        <v>42500</v>
      </c>
      <c r="G89" s="13">
        <f t="shared" si="26"/>
        <v>47500</v>
      </c>
    </row>
    <row r="90" spans="1:7" ht="15" customHeight="1" x14ac:dyDescent="0.25">
      <c r="A90" s="11" t="s">
        <v>21</v>
      </c>
      <c r="B90" s="12" t="s">
        <v>121</v>
      </c>
      <c r="C90" s="13">
        <f>SUM(C85:C89)</f>
        <v>0</v>
      </c>
      <c r="D90" s="13">
        <f t="shared" ref="D90:G90" si="27">SUM(D85:D89)</f>
        <v>56857.545100000003</v>
      </c>
      <c r="E90" s="13">
        <f t="shared" si="27"/>
        <v>69357.545100000003</v>
      </c>
      <c r="F90" s="13">
        <f t="shared" si="27"/>
        <v>74357.545100000003</v>
      </c>
      <c r="G90" s="13">
        <f t="shared" si="27"/>
        <v>79357.545100000003</v>
      </c>
    </row>
    <row r="91" spans="1:7" ht="15" customHeight="1" x14ac:dyDescent="0.25">
      <c r="A91" s="11" t="s">
        <v>22</v>
      </c>
      <c r="B91" s="12" t="s">
        <v>122</v>
      </c>
      <c r="C91" s="13">
        <f>C58</f>
        <v>0</v>
      </c>
      <c r="D91" s="13">
        <f t="shared" ref="D91:G91" si="28">D58</f>
        <v>3800</v>
      </c>
      <c r="E91" s="13">
        <f t="shared" si="28"/>
        <v>3800</v>
      </c>
      <c r="F91" s="13">
        <f t="shared" si="28"/>
        <v>3800</v>
      </c>
      <c r="G91" s="13">
        <f t="shared" si="28"/>
        <v>3800</v>
      </c>
    </row>
    <row r="92" spans="1:7" ht="15" customHeight="1" x14ac:dyDescent="0.25">
      <c r="A92" s="11" t="s">
        <v>24</v>
      </c>
      <c r="B92" s="12" t="s">
        <v>123</v>
      </c>
      <c r="C92" s="13">
        <f>C78</f>
        <v>0</v>
      </c>
      <c r="D92" s="13">
        <f t="shared" ref="D92:G92" si="29">D78</f>
        <v>28063.558000000005</v>
      </c>
      <c r="E92" s="13">
        <f t="shared" si="29"/>
        <v>32442.602000000006</v>
      </c>
      <c r="F92" s="13">
        <f t="shared" si="29"/>
        <v>36821.646000000008</v>
      </c>
      <c r="G92" s="13">
        <f t="shared" si="29"/>
        <v>41200.69</v>
      </c>
    </row>
    <row r="93" spans="1:7" ht="15" customHeight="1" x14ac:dyDescent="0.25">
      <c r="A93" s="11" t="s">
        <v>23</v>
      </c>
      <c r="B93" s="12" t="s">
        <v>124</v>
      </c>
      <c r="C93" s="13">
        <f>C135+C138</f>
        <v>2471.25</v>
      </c>
      <c r="D93" s="13">
        <f t="shared" ref="D93:G93" si="30">D135+D138</f>
        <v>4942.5</v>
      </c>
      <c r="E93" s="13">
        <f t="shared" si="30"/>
        <v>4800</v>
      </c>
      <c r="F93" s="13">
        <f t="shared" si="30"/>
        <v>4800</v>
      </c>
      <c r="G93" s="13">
        <f t="shared" si="30"/>
        <v>4800</v>
      </c>
    </row>
    <row r="94" spans="1:7" ht="15" customHeight="1" x14ac:dyDescent="0.25">
      <c r="A94" s="11" t="s">
        <v>25</v>
      </c>
      <c r="B94" s="12" t="s">
        <v>125</v>
      </c>
      <c r="C94" s="13">
        <f>SUM(C90:C93)</f>
        <v>2471.25</v>
      </c>
      <c r="D94" s="13">
        <f t="shared" ref="D94:G94" si="31">SUM(D90:D93)</f>
        <v>93663.603100000008</v>
      </c>
      <c r="E94" s="13">
        <f t="shared" si="31"/>
        <v>110400.1471</v>
      </c>
      <c r="F94" s="13">
        <f t="shared" si="31"/>
        <v>119779.19110000001</v>
      </c>
      <c r="G94" s="13">
        <f t="shared" si="31"/>
        <v>129158.23510000001</v>
      </c>
    </row>
    <row r="95" spans="1:7" ht="15" customHeight="1" x14ac:dyDescent="0.25">
      <c r="A95" s="19"/>
      <c r="B95" s="13"/>
      <c r="C95" s="13"/>
      <c r="D95" s="13"/>
      <c r="E95" s="13"/>
      <c r="F95" s="13"/>
      <c r="G95" s="13"/>
    </row>
    <row r="96" spans="1:7" ht="15" customHeight="1" x14ac:dyDescent="0.25">
      <c r="A96" s="46"/>
      <c r="B96" s="46" t="s">
        <v>126</v>
      </c>
      <c r="C96" s="46" t="s">
        <v>62</v>
      </c>
      <c r="D96" s="46">
        <v>2</v>
      </c>
      <c r="E96" s="46">
        <v>3</v>
      </c>
      <c r="F96" s="46">
        <v>4</v>
      </c>
      <c r="G96" s="46">
        <v>5</v>
      </c>
    </row>
    <row r="97" spans="1:7" ht="15" customHeight="1" x14ac:dyDescent="0.25">
      <c r="A97" s="14"/>
      <c r="B97" s="16" t="s">
        <v>127</v>
      </c>
      <c r="C97" s="14">
        <v>0</v>
      </c>
      <c r="D97" s="14" t="s">
        <v>0</v>
      </c>
      <c r="E97" s="14" t="s">
        <v>0</v>
      </c>
      <c r="F97" s="14" t="s">
        <v>0</v>
      </c>
      <c r="G97" s="14" t="s">
        <v>0</v>
      </c>
    </row>
    <row r="98" spans="1:7" ht="15" customHeight="1" x14ac:dyDescent="0.25">
      <c r="A98" s="11"/>
      <c r="B98" s="27" t="s">
        <v>306</v>
      </c>
      <c r="C98" s="13">
        <v>0</v>
      </c>
      <c r="D98" s="13">
        <f>D4</f>
        <v>21895.22</v>
      </c>
      <c r="E98" s="13">
        <f t="shared" ref="E98:G98" si="32">E4</f>
        <v>21895.22</v>
      </c>
      <c r="F98" s="13">
        <f t="shared" si="32"/>
        <v>21895.22</v>
      </c>
      <c r="G98" s="13">
        <f t="shared" si="32"/>
        <v>21895.22</v>
      </c>
    </row>
    <row r="99" spans="1:7" ht="15" customHeight="1" x14ac:dyDescent="0.25">
      <c r="A99" s="11"/>
      <c r="B99" s="12" t="s">
        <v>128</v>
      </c>
      <c r="C99" s="13">
        <v>0</v>
      </c>
      <c r="D99" s="13">
        <f>D98*0.455</f>
        <v>9962.3251</v>
      </c>
      <c r="E99" s="13">
        <f t="shared" ref="E99:G99" si="33">E98*0.455</f>
        <v>9962.3251</v>
      </c>
      <c r="F99" s="13">
        <f t="shared" si="33"/>
        <v>9962.3251</v>
      </c>
      <c r="G99" s="13">
        <f t="shared" si="33"/>
        <v>9962.3251</v>
      </c>
    </row>
    <row r="100" spans="1:7" ht="15" customHeight="1" x14ac:dyDescent="0.25">
      <c r="A100" s="11"/>
      <c r="B100" s="12" t="s">
        <v>129</v>
      </c>
      <c r="C100" s="13">
        <v>0</v>
      </c>
      <c r="D100" s="13">
        <f>D98+D99</f>
        <v>31857.545100000003</v>
      </c>
      <c r="E100" s="13">
        <f t="shared" ref="E100:G100" si="34">E98+E99</f>
        <v>31857.545100000003</v>
      </c>
      <c r="F100" s="13">
        <f t="shared" si="34"/>
        <v>31857.545100000003</v>
      </c>
      <c r="G100" s="13">
        <f t="shared" si="34"/>
        <v>31857.545100000003</v>
      </c>
    </row>
    <row r="101" spans="1:7" ht="15" customHeight="1" x14ac:dyDescent="0.25">
      <c r="A101" s="11"/>
      <c r="B101" s="12"/>
      <c r="C101" s="13"/>
      <c r="D101" s="13"/>
      <c r="E101" s="13"/>
      <c r="F101" s="13"/>
      <c r="G101" s="13"/>
    </row>
    <row r="102" spans="1:7" ht="15" customHeight="1" x14ac:dyDescent="0.25">
      <c r="A102" s="46"/>
      <c r="B102" s="46" t="s">
        <v>130</v>
      </c>
      <c r="C102" s="46" t="s">
        <v>62</v>
      </c>
      <c r="D102" s="46">
        <v>2</v>
      </c>
      <c r="E102" s="46">
        <v>3</v>
      </c>
      <c r="F102" s="46">
        <v>4</v>
      </c>
      <c r="G102" s="46">
        <v>5</v>
      </c>
    </row>
    <row r="103" spans="1:7" ht="15" customHeight="1" x14ac:dyDescent="0.25">
      <c r="A103" s="11"/>
      <c r="B103" s="12" t="s">
        <v>131</v>
      </c>
      <c r="C103" s="13">
        <f>C111</f>
        <v>0</v>
      </c>
      <c r="D103" s="13">
        <f t="shared" ref="D103:G103" si="35">D111</f>
        <v>100000</v>
      </c>
      <c r="E103" s="13">
        <f t="shared" si="35"/>
        <v>150000</v>
      </c>
      <c r="F103" s="13">
        <f t="shared" si="35"/>
        <v>170000</v>
      </c>
      <c r="G103" s="13">
        <f t="shared" si="35"/>
        <v>190000</v>
      </c>
    </row>
    <row r="104" spans="1:7" ht="15" customHeight="1" x14ac:dyDescent="0.25">
      <c r="A104" s="11"/>
      <c r="B104" s="12" t="s">
        <v>132</v>
      </c>
      <c r="C104" s="13">
        <f>C103*0.25</f>
        <v>0</v>
      </c>
      <c r="D104" s="13">
        <f t="shared" ref="D104:G104" si="36">D103*0.25</f>
        <v>25000</v>
      </c>
      <c r="E104" s="13">
        <f t="shared" si="36"/>
        <v>37500</v>
      </c>
      <c r="F104" s="13">
        <f t="shared" si="36"/>
        <v>42500</v>
      </c>
      <c r="G104" s="13">
        <f t="shared" si="36"/>
        <v>47500</v>
      </c>
    </row>
    <row r="105" spans="1:7" ht="15" customHeight="1" x14ac:dyDescent="0.25">
      <c r="A105" s="11"/>
      <c r="B105" s="12"/>
      <c r="C105" s="13"/>
      <c r="D105" s="13"/>
      <c r="E105" s="13"/>
      <c r="F105" s="13"/>
      <c r="G105" s="13"/>
    </row>
    <row r="106" spans="1:7" ht="15" customHeight="1" x14ac:dyDescent="0.25">
      <c r="A106" s="46"/>
      <c r="B106" s="46" t="s">
        <v>133</v>
      </c>
      <c r="C106" s="46" t="s">
        <v>62</v>
      </c>
      <c r="D106" s="46">
        <v>2</v>
      </c>
      <c r="E106" s="46">
        <v>3</v>
      </c>
      <c r="F106" s="46">
        <v>4</v>
      </c>
      <c r="G106" s="46">
        <v>5</v>
      </c>
    </row>
    <row r="107" spans="1:7" ht="15" customHeight="1" x14ac:dyDescent="0.25">
      <c r="A107" s="14"/>
      <c r="B107" s="16" t="s">
        <v>134</v>
      </c>
      <c r="C107" s="13">
        <v>700</v>
      </c>
      <c r="D107" s="13">
        <v>800</v>
      </c>
      <c r="E107" s="13">
        <v>900</v>
      </c>
      <c r="F107" s="13">
        <v>1000</v>
      </c>
      <c r="G107" s="13">
        <v>1100</v>
      </c>
    </row>
    <row r="108" spans="1:7" ht="15" customHeight="1" x14ac:dyDescent="0.25">
      <c r="A108" s="11"/>
      <c r="B108" s="12"/>
      <c r="C108" s="13"/>
      <c r="D108" s="13"/>
      <c r="E108" s="13"/>
      <c r="F108" s="13"/>
      <c r="G108" s="13"/>
    </row>
    <row r="109" spans="1:7" s="24" customFormat="1" ht="19.95" customHeight="1" x14ac:dyDescent="0.3">
      <c r="A109" s="56" t="s">
        <v>293</v>
      </c>
      <c r="B109" s="56"/>
      <c r="C109" s="56"/>
      <c r="D109" s="56"/>
      <c r="E109" s="56"/>
      <c r="F109" s="56"/>
      <c r="G109" s="57"/>
    </row>
    <row r="110" spans="1:7" ht="15" customHeight="1" x14ac:dyDescent="0.25">
      <c r="A110" s="46" t="s">
        <v>60</v>
      </c>
      <c r="B110" s="46" t="s">
        <v>61</v>
      </c>
      <c r="C110" s="46" t="s">
        <v>62</v>
      </c>
      <c r="D110" s="46">
        <v>2</v>
      </c>
      <c r="E110" s="46">
        <v>3</v>
      </c>
      <c r="F110" s="46">
        <v>4</v>
      </c>
      <c r="G110" s="46">
        <v>5</v>
      </c>
    </row>
    <row r="111" spans="1:7" ht="15" customHeight="1" x14ac:dyDescent="0.25">
      <c r="A111" s="14" t="s">
        <v>0</v>
      </c>
      <c r="B111" s="16" t="s">
        <v>135</v>
      </c>
      <c r="C111" s="13">
        <v>0</v>
      </c>
      <c r="D111" s="13">
        <v>100000</v>
      </c>
      <c r="E111" s="13">
        <v>150000</v>
      </c>
      <c r="F111" s="13">
        <v>170000</v>
      </c>
      <c r="G111" s="13">
        <v>190000</v>
      </c>
    </row>
    <row r="112" spans="1:7" ht="15" customHeight="1" x14ac:dyDescent="0.25">
      <c r="A112" s="11" t="s">
        <v>9</v>
      </c>
      <c r="B112" s="12" t="s">
        <v>136</v>
      </c>
      <c r="C112" s="13">
        <f>C113+C116+C117+C118</f>
        <v>0</v>
      </c>
      <c r="D112" s="13">
        <f t="shared" ref="D112:G112" si="37">D113+D116+D117+D118</f>
        <v>6600</v>
      </c>
      <c r="E112" s="13">
        <f t="shared" si="37"/>
        <v>9900</v>
      </c>
      <c r="F112" s="13">
        <f t="shared" si="37"/>
        <v>11220</v>
      </c>
      <c r="G112" s="13">
        <f t="shared" si="37"/>
        <v>12540</v>
      </c>
    </row>
    <row r="113" spans="1:7" ht="15" customHeight="1" x14ac:dyDescent="0.25">
      <c r="A113" s="11" t="s">
        <v>11</v>
      </c>
      <c r="B113" s="12" t="s">
        <v>137</v>
      </c>
      <c r="C113" s="13">
        <f>C111*0.06</f>
        <v>0</v>
      </c>
      <c r="D113" s="13">
        <f t="shared" ref="D113:G113" si="38">D111*0.06</f>
        <v>6000</v>
      </c>
      <c r="E113" s="13">
        <f t="shared" si="38"/>
        <v>9000</v>
      </c>
      <c r="F113" s="13">
        <f t="shared" si="38"/>
        <v>10200</v>
      </c>
      <c r="G113" s="13">
        <f t="shared" si="38"/>
        <v>11400</v>
      </c>
    </row>
    <row r="114" spans="1:7" ht="15" customHeight="1" x14ac:dyDescent="0.25">
      <c r="A114" s="11" t="s">
        <v>14</v>
      </c>
      <c r="B114" s="12" t="s">
        <v>138</v>
      </c>
      <c r="C114" s="13">
        <f>C113</f>
        <v>0</v>
      </c>
      <c r="D114" s="13">
        <f t="shared" ref="D114:G114" si="39">D113</f>
        <v>6000</v>
      </c>
      <c r="E114" s="13">
        <f t="shared" si="39"/>
        <v>9000</v>
      </c>
      <c r="F114" s="13">
        <f t="shared" si="39"/>
        <v>10200</v>
      </c>
      <c r="G114" s="13">
        <f t="shared" si="39"/>
        <v>11400</v>
      </c>
    </row>
    <row r="115" spans="1:7" ht="15" customHeight="1" x14ac:dyDescent="0.25">
      <c r="A115" s="11" t="s">
        <v>26</v>
      </c>
      <c r="B115" s="12" t="s">
        <v>139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 ht="15" customHeight="1" x14ac:dyDescent="0.25">
      <c r="A116" s="11" t="s">
        <v>15</v>
      </c>
      <c r="B116" s="12" t="s">
        <v>140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 ht="15" customHeight="1" x14ac:dyDescent="0.25">
      <c r="A117" s="11" t="s">
        <v>17</v>
      </c>
      <c r="B117" s="12" t="s">
        <v>141</v>
      </c>
      <c r="C117" s="13">
        <f>C113*0.07</f>
        <v>0</v>
      </c>
      <c r="D117" s="13">
        <f t="shared" ref="D117:G117" si="40">D113*0.07</f>
        <v>420.00000000000006</v>
      </c>
      <c r="E117" s="13">
        <f t="shared" si="40"/>
        <v>630.00000000000011</v>
      </c>
      <c r="F117" s="13">
        <f t="shared" si="40"/>
        <v>714.00000000000011</v>
      </c>
      <c r="G117" s="13">
        <f t="shared" si="40"/>
        <v>798.00000000000011</v>
      </c>
    </row>
    <row r="118" spans="1:7" ht="15" customHeight="1" x14ac:dyDescent="0.25">
      <c r="A118" s="11" t="s">
        <v>27</v>
      </c>
      <c r="B118" s="12" t="s">
        <v>142</v>
      </c>
      <c r="C118" s="13">
        <f>C113*0.03</f>
        <v>0</v>
      </c>
      <c r="D118" s="13">
        <f t="shared" ref="D118:G118" si="41">D113*0.03</f>
        <v>180</v>
      </c>
      <c r="E118" s="13">
        <f t="shared" si="41"/>
        <v>270</v>
      </c>
      <c r="F118" s="13">
        <f t="shared" si="41"/>
        <v>306</v>
      </c>
      <c r="G118" s="13">
        <f t="shared" si="41"/>
        <v>342</v>
      </c>
    </row>
    <row r="119" spans="1:7" ht="18" customHeight="1" x14ac:dyDescent="0.25">
      <c r="A119" s="11"/>
      <c r="B119" s="12"/>
      <c r="C119" s="13"/>
      <c r="D119" s="13"/>
      <c r="E119" s="13"/>
      <c r="F119" s="13"/>
      <c r="G119" s="13"/>
    </row>
    <row r="120" spans="1:7" ht="15" customHeight="1" x14ac:dyDescent="0.25">
      <c r="A120" s="19"/>
      <c r="B120" s="20" t="s">
        <v>143</v>
      </c>
      <c r="C120" s="13"/>
      <c r="D120" s="13"/>
      <c r="E120" s="13"/>
      <c r="F120" s="13"/>
      <c r="G120" s="13"/>
    </row>
    <row r="121" spans="1:7" ht="15" customHeight="1" x14ac:dyDescent="0.25">
      <c r="A121" s="19"/>
      <c r="B121" s="28" t="s">
        <v>271</v>
      </c>
      <c r="C121" s="13"/>
      <c r="D121" s="13"/>
      <c r="E121" s="13"/>
      <c r="F121" s="13"/>
      <c r="G121" s="13"/>
    </row>
    <row r="122" spans="1:7" ht="15" customHeight="1" x14ac:dyDescent="0.25">
      <c r="A122" s="21"/>
      <c r="B122" s="29" t="s">
        <v>272</v>
      </c>
      <c r="C122" s="13"/>
      <c r="D122" s="13"/>
      <c r="E122" s="13"/>
      <c r="F122" s="13"/>
      <c r="G122" s="13"/>
    </row>
    <row r="123" spans="1:7" ht="15" customHeight="1" x14ac:dyDescent="0.25">
      <c r="A123" s="21"/>
      <c r="B123" s="29" t="s">
        <v>273</v>
      </c>
      <c r="C123" s="13"/>
      <c r="D123" s="13"/>
      <c r="E123" s="13"/>
      <c r="F123" s="13"/>
      <c r="G123" s="13"/>
    </row>
    <row r="124" spans="1:7" ht="15" customHeight="1" x14ac:dyDescent="0.25">
      <c r="A124" s="19"/>
      <c r="B124" s="20"/>
      <c r="C124" s="13"/>
      <c r="D124" s="13"/>
      <c r="E124" s="13"/>
      <c r="F124" s="13"/>
      <c r="G124" s="13"/>
    </row>
    <row r="125" spans="1:7" s="24" customFormat="1" ht="19.95" customHeight="1" x14ac:dyDescent="0.3">
      <c r="A125" s="56" t="s">
        <v>294</v>
      </c>
      <c r="B125" s="56"/>
      <c r="C125" s="56"/>
      <c r="D125" s="56"/>
      <c r="E125" s="56"/>
      <c r="F125" s="56"/>
      <c r="G125" s="57"/>
    </row>
    <row r="126" spans="1:7" ht="15" customHeight="1" x14ac:dyDescent="0.25">
      <c r="A126" s="46" t="s">
        <v>60</v>
      </c>
      <c r="B126" s="46" t="s">
        <v>61</v>
      </c>
      <c r="C126" s="46" t="s">
        <v>62</v>
      </c>
      <c r="D126" s="46">
        <v>2</v>
      </c>
      <c r="E126" s="46">
        <v>3</v>
      </c>
      <c r="F126" s="46">
        <v>4</v>
      </c>
      <c r="G126" s="46">
        <v>5</v>
      </c>
    </row>
    <row r="127" spans="1:7" ht="15" customHeight="1" x14ac:dyDescent="0.25">
      <c r="A127" s="14" t="s">
        <v>0</v>
      </c>
      <c r="B127" s="16" t="s">
        <v>144</v>
      </c>
      <c r="C127" s="13"/>
      <c r="D127" s="13"/>
      <c r="E127" s="13"/>
      <c r="F127" s="13"/>
      <c r="G127" s="13"/>
    </row>
    <row r="128" spans="1:7" ht="15" customHeight="1" x14ac:dyDescent="0.25">
      <c r="A128" s="11" t="s">
        <v>1</v>
      </c>
      <c r="B128" s="12" t="s">
        <v>145</v>
      </c>
      <c r="C128" s="13">
        <v>0</v>
      </c>
      <c r="D128" s="13">
        <f>$C43</f>
        <v>60000</v>
      </c>
      <c r="E128" s="13">
        <f t="shared" ref="E128:G128" si="42">$C43</f>
        <v>60000</v>
      </c>
      <c r="F128" s="13">
        <f t="shared" si="42"/>
        <v>60000</v>
      </c>
      <c r="G128" s="13">
        <f t="shared" si="42"/>
        <v>60000</v>
      </c>
    </row>
    <row r="129" spans="1:7" ht="15" customHeight="1" x14ac:dyDescent="0.25">
      <c r="A129" s="11" t="s">
        <v>4</v>
      </c>
      <c r="B129" s="12" t="s">
        <v>146</v>
      </c>
      <c r="C129" s="13">
        <v>0</v>
      </c>
      <c r="D129" s="13">
        <f>C45</f>
        <v>3000</v>
      </c>
      <c r="E129" s="13">
        <v>0</v>
      </c>
      <c r="F129" s="13">
        <v>0</v>
      </c>
      <c r="G129" s="13">
        <v>0</v>
      </c>
    </row>
    <row r="130" spans="1:7" ht="15" customHeight="1" x14ac:dyDescent="0.25">
      <c r="A130" s="11" t="s">
        <v>5</v>
      </c>
      <c r="B130" s="12" t="s">
        <v>147</v>
      </c>
      <c r="C130" s="13">
        <f>C43</f>
        <v>60000</v>
      </c>
      <c r="D130" s="13">
        <f t="shared" ref="D130:G130" si="43">D43</f>
        <v>0</v>
      </c>
      <c r="E130" s="13">
        <f t="shared" si="43"/>
        <v>0</v>
      </c>
      <c r="F130" s="13">
        <f t="shared" si="43"/>
        <v>0</v>
      </c>
      <c r="G130" s="13">
        <f t="shared" si="43"/>
        <v>0</v>
      </c>
    </row>
    <row r="131" spans="1:7" ht="15" customHeight="1" x14ac:dyDescent="0.25">
      <c r="A131" s="11" t="s">
        <v>8</v>
      </c>
      <c r="B131" s="12" t="s">
        <v>148</v>
      </c>
      <c r="C131" s="13">
        <f>C45</f>
        <v>3000</v>
      </c>
      <c r="D131" s="13">
        <v>0</v>
      </c>
      <c r="E131" s="13">
        <v>0</v>
      </c>
      <c r="F131" s="13">
        <v>0</v>
      </c>
      <c r="G131" s="13">
        <v>0</v>
      </c>
    </row>
    <row r="132" spans="1:7" ht="15" customHeight="1" x14ac:dyDescent="0.25">
      <c r="A132" s="11" t="s">
        <v>28</v>
      </c>
      <c r="B132" s="12" t="s">
        <v>149</v>
      </c>
      <c r="C132" s="13">
        <f>C135+C138</f>
        <v>2471.25</v>
      </c>
      <c r="D132" s="13">
        <f t="shared" ref="D132:G132" si="44">D135+D138</f>
        <v>4942.5</v>
      </c>
      <c r="E132" s="13">
        <f t="shared" si="44"/>
        <v>4800</v>
      </c>
      <c r="F132" s="13">
        <f t="shared" si="44"/>
        <v>4800</v>
      </c>
      <c r="G132" s="13">
        <f t="shared" si="44"/>
        <v>4800</v>
      </c>
    </row>
    <row r="133" spans="1:7" ht="15" customHeight="1" x14ac:dyDescent="0.25">
      <c r="A133" s="11" t="s">
        <v>29</v>
      </c>
      <c r="B133" s="12" t="s">
        <v>150</v>
      </c>
      <c r="C133" s="13"/>
      <c r="D133" s="13"/>
      <c r="E133" s="13"/>
      <c r="F133" s="13"/>
      <c r="G133" s="13"/>
    </row>
    <row r="134" spans="1:7" ht="15" customHeight="1" x14ac:dyDescent="0.25">
      <c r="A134" s="11"/>
      <c r="B134" s="12" t="s">
        <v>151</v>
      </c>
      <c r="C134" s="13">
        <v>0</v>
      </c>
      <c r="D134" s="13">
        <v>0</v>
      </c>
      <c r="E134" s="13">
        <v>0</v>
      </c>
      <c r="F134" s="13">
        <v>0</v>
      </c>
      <c r="G134" s="13">
        <f>G128</f>
        <v>60000</v>
      </c>
    </row>
    <row r="135" spans="1:7" ht="15" customHeight="1" x14ac:dyDescent="0.25">
      <c r="A135" s="11"/>
      <c r="B135" s="12" t="s">
        <v>152</v>
      </c>
      <c r="C135" s="13">
        <f>$C130*0.08/2</f>
        <v>2400</v>
      </c>
      <c r="D135" s="13">
        <f>$C130*0.08</f>
        <v>4800</v>
      </c>
      <c r="E135" s="13">
        <f t="shared" ref="E135:G135" si="45">$C130*0.08</f>
        <v>4800</v>
      </c>
      <c r="F135" s="13">
        <f t="shared" si="45"/>
        <v>4800</v>
      </c>
      <c r="G135" s="13">
        <f t="shared" si="45"/>
        <v>4800</v>
      </c>
    </row>
    <row r="136" spans="1:7" ht="15" customHeight="1" x14ac:dyDescent="0.25">
      <c r="A136" s="11" t="s">
        <v>30</v>
      </c>
      <c r="B136" s="12" t="s">
        <v>153</v>
      </c>
      <c r="C136" s="13"/>
      <c r="D136" s="13"/>
      <c r="E136" s="13"/>
      <c r="F136" s="13"/>
      <c r="G136" s="13"/>
    </row>
    <row r="137" spans="1:7" ht="15" customHeight="1" x14ac:dyDescent="0.25">
      <c r="A137" s="19"/>
      <c r="B137" s="12" t="s">
        <v>151</v>
      </c>
      <c r="C137" s="13">
        <v>0</v>
      </c>
      <c r="D137" s="13">
        <f>C131</f>
        <v>3000</v>
      </c>
      <c r="E137" s="13">
        <v>0</v>
      </c>
      <c r="F137" s="13">
        <v>0</v>
      </c>
      <c r="G137" s="13">
        <v>0</v>
      </c>
    </row>
    <row r="138" spans="1:7" ht="15" customHeight="1" x14ac:dyDescent="0.25">
      <c r="A138" s="19"/>
      <c r="B138" s="12" t="s">
        <v>152</v>
      </c>
      <c r="C138" s="13">
        <f>C131*0.0475/2</f>
        <v>71.25</v>
      </c>
      <c r="D138" s="13">
        <f>C131*0.0475</f>
        <v>142.5</v>
      </c>
      <c r="E138" s="13">
        <v>0</v>
      </c>
      <c r="F138" s="13">
        <v>0</v>
      </c>
      <c r="G138" s="13">
        <v>0</v>
      </c>
    </row>
    <row r="139" spans="1:7" ht="15" customHeight="1" x14ac:dyDescent="0.25">
      <c r="A139" s="21" t="s">
        <v>31</v>
      </c>
      <c r="B139" s="22" t="s">
        <v>154</v>
      </c>
      <c r="C139" s="13">
        <f>C128+C130-C134</f>
        <v>60000</v>
      </c>
      <c r="D139" s="13">
        <f t="shared" ref="D139:G139" si="46">D128+D130-D134</f>
        <v>60000</v>
      </c>
      <c r="E139" s="13">
        <f t="shared" si="46"/>
        <v>60000</v>
      </c>
      <c r="F139" s="13">
        <f t="shared" si="46"/>
        <v>60000</v>
      </c>
      <c r="G139" s="13">
        <f t="shared" si="46"/>
        <v>0</v>
      </c>
    </row>
    <row r="140" spans="1:7" ht="15" customHeight="1" x14ac:dyDescent="0.25">
      <c r="A140" s="21" t="s">
        <v>32</v>
      </c>
      <c r="B140" s="22" t="s">
        <v>155</v>
      </c>
      <c r="C140" s="13">
        <f>C129+C131-C137</f>
        <v>3000</v>
      </c>
      <c r="D140" s="13">
        <f t="shared" ref="D140:G140" si="47">D129+D131-D137</f>
        <v>0</v>
      </c>
      <c r="E140" s="13">
        <f t="shared" si="47"/>
        <v>0</v>
      </c>
      <c r="F140" s="13">
        <f t="shared" si="47"/>
        <v>0</v>
      </c>
      <c r="G140" s="13">
        <f t="shared" si="47"/>
        <v>0</v>
      </c>
    </row>
    <row r="141" spans="1:7" ht="15" customHeight="1" x14ac:dyDescent="0.25">
      <c r="A141" s="19">
        <v>2</v>
      </c>
      <c r="B141" s="20" t="s">
        <v>156</v>
      </c>
      <c r="C141" s="13"/>
      <c r="D141" s="13"/>
      <c r="E141" s="13"/>
      <c r="F141" s="13"/>
      <c r="G141" s="13"/>
    </row>
    <row r="142" spans="1:7" ht="15" customHeight="1" x14ac:dyDescent="0.25">
      <c r="A142" s="21" t="s">
        <v>11</v>
      </c>
      <c r="B142" s="22" t="s">
        <v>157</v>
      </c>
      <c r="C142" s="13">
        <f>C211</f>
        <v>-2471.25</v>
      </c>
      <c r="D142" s="13">
        <f t="shared" ref="D142:G142" si="48">D211</f>
        <v>5736.3968999999925</v>
      </c>
      <c r="E142" s="13">
        <f t="shared" si="48"/>
        <v>38699.852899999998</v>
      </c>
      <c r="F142" s="13">
        <f t="shared" si="48"/>
        <v>49200.808899999989</v>
      </c>
      <c r="G142" s="13">
        <f t="shared" si="48"/>
        <v>59701.764899999995</v>
      </c>
    </row>
    <row r="143" spans="1:7" ht="15" customHeight="1" x14ac:dyDescent="0.25">
      <c r="A143" s="21" t="s">
        <v>15</v>
      </c>
      <c r="B143" s="22" t="s">
        <v>158</v>
      </c>
      <c r="C143" s="13">
        <f>C58</f>
        <v>0</v>
      </c>
      <c r="D143" s="13">
        <f t="shared" ref="D143:G143" si="49">D58</f>
        <v>3800</v>
      </c>
      <c r="E143" s="13">
        <f t="shared" si="49"/>
        <v>3800</v>
      </c>
      <c r="F143" s="13">
        <f t="shared" si="49"/>
        <v>3800</v>
      </c>
      <c r="G143" s="13">
        <f t="shared" si="49"/>
        <v>3800</v>
      </c>
    </row>
    <row r="144" spans="1:7" ht="15" customHeight="1" x14ac:dyDescent="0.25">
      <c r="A144" s="21" t="s">
        <v>17</v>
      </c>
      <c r="B144" s="22" t="s">
        <v>159</v>
      </c>
      <c r="C144" s="13">
        <f>C78</f>
        <v>0</v>
      </c>
      <c r="D144" s="13">
        <f t="shared" ref="D144:G144" si="50">D78</f>
        <v>28063.558000000005</v>
      </c>
      <c r="E144" s="13">
        <f t="shared" si="50"/>
        <v>32442.602000000006</v>
      </c>
      <c r="F144" s="13">
        <f t="shared" si="50"/>
        <v>36821.646000000008</v>
      </c>
      <c r="G144" s="13">
        <f t="shared" si="50"/>
        <v>41200.69</v>
      </c>
    </row>
    <row r="145" spans="1:7" ht="15" customHeight="1" x14ac:dyDescent="0.25">
      <c r="A145" s="21" t="s">
        <v>27</v>
      </c>
      <c r="B145" s="22" t="s">
        <v>160</v>
      </c>
      <c r="C145" s="13">
        <f>C131</f>
        <v>3000</v>
      </c>
      <c r="D145" s="13">
        <v>0</v>
      </c>
      <c r="E145" s="13">
        <v>0</v>
      </c>
      <c r="F145" s="13">
        <v>0</v>
      </c>
      <c r="G145" s="13">
        <v>0</v>
      </c>
    </row>
    <row r="146" spans="1:7" ht="15" customHeight="1" x14ac:dyDescent="0.25">
      <c r="A146" s="19">
        <v>3</v>
      </c>
      <c r="B146" s="20" t="s">
        <v>161</v>
      </c>
      <c r="C146" s="13">
        <f>C142+C143+C144+C145</f>
        <v>528.75</v>
      </c>
      <c r="D146" s="13">
        <f t="shared" ref="D146:G146" si="51">D142+D143+D144+D145</f>
        <v>37599.954899999997</v>
      </c>
      <c r="E146" s="13">
        <f t="shared" si="51"/>
        <v>74942.454900000012</v>
      </c>
      <c r="F146" s="13">
        <f t="shared" si="51"/>
        <v>89822.454899999997</v>
      </c>
      <c r="G146" s="13">
        <f t="shared" si="51"/>
        <v>104702.4549</v>
      </c>
    </row>
    <row r="147" spans="1:7" ht="15" customHeight="1" x14ac:dyDescent="0.25">
      <c r="A147" s="14"/>
      <c r="B147" s="16"/>
      <c r="C147" s="13"/>
      <c r="D147" s="13"/>
      <c r="E147" s="13"/>
      <c r="F147" s="13"/>
      <c r="G147" s="13"/>
    </row>
    <row r="148" spans="1:7" ht="15" customHeight="1" x14ac:dyDescent="0.25">
      <c r="A148" s="11"/>
      <c r="B148" s="12" t="s">
        <v>162</v>
      </c>
      <c r="C148" s="13"/>
      <c r="D148" s="13"/>
      <c r="E148" s="13"/>
      <c r="F148" s="13"/>
      <c r="G148" s="13"/>
    </row>
    <row r="149" spans="1:7" ht="15" customHeight="1" x14ac:dyDescent="0.25">
      <c r="A149" s="11"/>
      <c r="B149" s="12" t="s">
        <v>274</v>
      </c>
      <c r="C149" s="13"/>
      <c r="D149" s="13"/>
      <c r="E149" s="13"/>
      <c r="F149" s="13"/>
      <c r="G149" s="13"/>
    </row>
    <row r="150" spans="1:7" ht="15" customHeight="1" x14ac:dyDescent="0.25">
      <c r="A150" s="11"/>
      <c r="B150" s="27" t="s">
        <v>275</v>
      </c>
      <c r="C150" s="13"/>
      <c r="D150" s="13"/>
      <c r="E150" s="13"/>
      <c r="F150" s="13"/>
      <c r="G150" s="13"/>
    </row>
    <row r="151" spans="1:7" ht="15" customHeight="1" x14ac:dyDescent="0.25">
      <c r="A151" s="11"/>
      <c r="B151" s="12"/>
      <c r="C151" s="13"/>
      <c r="D151" s="13"/>
      <c r="E151" s="13"/>
      <c r="F151" s="13"/>
      <c r="G151" s="13"/>
    </row>
    <row r="152" spans="1:7" ht="15" customHeight="1" x14ac:dyDescent="0.25">
      <c r="A152" s="11"/>
      <c r="B152" s="12" t="s">
        <v>163</v>
      </c>
      <c r="C152" s="13"/>
      <c r="D152" s="13"/>
      <c r="E152" s="13"/>
      <c r="F152" s="13"/>
      <c r="G152" s="13"/>
    </row>
    <row r="153" spans="1:7" ht="15" customHeight="1" x14ac:dyDescent="0.25">
      <c r="A153" s="11"/>
      <c r="B153" s="12" t="s">
        <v>164</v>
      </c>
      <c r="C153" s="30"/>
      <c r="D153" s="30"/>
      <c r="E153" s="30"/>
      <c r="F153" s="30"/>
      <c r="G153" s="30"/>
    </row>
    <row r="154" spans="1:7" ht="15" customHeight="1" x14ac:dyDescent="0.25">
      <c r="A154" s="11"/>
      <c r="B154" s="12" t="s">
        <v>165</v>
      </c>
      <c r="C154" s="30"/>
      <c r="D154" s="30"/>
      <c r="E154" s="30"/>
      <c r="F154" s="30"/>
      <c r="G154" s="30"/>
    </row>
    <row r="155" spans="1:7" ht="15" customHeight="1" x14ac:dyDescent="0.25">
      <c r="A155" s="11"/>
      <c r="B155" s="12"/>
      <c r="C155" s="13"/>
      <c r="D155" s="13"/>
      <c r="E155" s="13"/>
      <c r="F155" s="13"/>
      <c r="G155" s="13"/>
    </row>
    <row r="156" spans="1:7" s="24" customFormat="1" ht="19.95" customHeight="1" x14ac:dyDescent="0.3">
      <c r="A156" s="56" t="s">
        <v>295</v>
      </c>
      <c r="B156" s="56"/>
      <c r="C156" s="56"/>
      <c r="D156" s="56"/>
      <c r="E156" s="56"/>
      <c r="F156" s="56"/>
      <c r="G156" s="57"/>
    </row>
    <row r="157" spans="1:7" ht="15" customHeight="1" x14ac:dyDescent="0.25">
      <c r="A157" s="46" t="s">
        <v>60</v>
      </c>
      <c r="B157" s="46" t="s">
        <v>61</v>
      </c>
      <c r="C157" s="46" t="s">
        <v>62</v>
      </c>
      <c r="D157" s="46">
        <v>2</v>
      </c>
      <c r="E157" s="46">
        <v>3</v>
      </c>
      <c r="F157" s="46">
        <v>4</v>
      </c>
      <c r="G157" s="46">
        <v>5</v>
      </c>
    </row>
    <row r="158" spans="1:7" ht="15" customHeight="1" x14ac:dyDescent="0.25">
      <c r="A158" s="14" t="s">
        <v>0</v>
      </c>
      <c r="B158" s="16" t="s">
        <v>166</v>
      </c>
      <c r="C158" s="13">
        <f>SUM(C159:C162)</f>
        <v>0</v>
      </c>
      <c r="D158" s="13">
        <f t="shared" ref="D158:G158" si="52">SUM(D159:D162)</f>
        <v>100000</v>
      </c>
      <c r="E158" s="13">
        <f t="shared" si="52"/>
        <v>150000</v>
      </c>
      <c r="F158" s="13">
        <f t="shared" si="52"/>
        <v>170000</v>
      </c>
      <c r="G158" s="13">
        <f t="shared" si="52"/>
        <v>292274.95400000003</v>
      </c>
    </row>
    <row r="159" spans="1:7" ht="15" customHeight="1" x14ac:dyDescent="0.25">
      <c r="A159" s="11" t="s">
        <v>1</v>
      </c>
      <c r="B159" s="12" t="s">
        <v>135</v>
      </c>
      <c r="C159" s="13">
        <f>C111</f>
        <v>0</v>
      </c>
      <c r="D159" s="13">
        <f t="shared" ref="D159:G159" si="53">D111</f>
        <v>100000</v>
      </c>
      <c r="E159" s="13">
        <f t="shared" si="53"/>
        <v>150000</v>
      </c>
      <c r="F159" s="13">
        <f t="shared" si="53"/>
        <v>170000</v>
      </c>
      <c r="G159" s="13">
        <f t="shared" si="53"/>
        <v>190000</v>
      </c>
    </row>
    <row r="160" spans="1:7" ht="15" customHeight="1" x14ac:dyDescent="0.25">
      <c r="A160" s="11" t="s">
        <v>4</v>
      </c>
      <c r="B160" s="12" t="s">
        <v>167</v>
      </c>
      <c r="C160" s="13"/>
      <c r="D160" s="13"/>
      <c r="E160" s="13"/>
      <c r="F160" s="13"/>
      <c r="G160" s="13">
        <f>G57</f>
        <v>4800</v>
      </c>
    </row>
    <row r="161" spans="1:7" ht="15" customHeight="1" x14ac:dyDescent="0.25">
      <c r="A161" s="11" t="s">
        <v>5</v>
      </c>
      <c r="B161" s="12" t="s">
        <v>168</v>
      </c>
      <c r="C161" s="13"/>
      <c r="D161" s="13"/>
      <c r="E161" s="13"/>
      <c r="F161" s="13"/>
      <c r="G161" s="13">
        <f>G79</f>
        <v>67474.953999999998</v>
      </c>
    </row>
    <row r="162" spans="1:7" ht="15" customHeight="1" x14ac:dyDescent="0.25">
      <c r="A162" s="11" t="s">
        <v>8</v>
      </c>
      <c r="B162" s="12" t="s">
        <v>169</v>
      </c>
      <c r="C162" s="13"/>
      <c r="D162" s="13"/>
      <c r="E162" s="13"/>
      <c r="F162" s="13"/>
      <c r="G162" s="13">
        <f>G30</f>
        <v>30000</v>
      </c>
    </row>
    <row r="163" spans="1:7" ht="15" customHeight="1" x14ac:dyDescent="0.25">
      <c r="A163" s="11" t="s">
        <v>9</v>
      </c>
      <c r="B163" s="12" t="s">
        <v>170</v>
      </c>
      <c r="C163" s="13">
        <f>SUM(C164:C168)</f>
        <v>182264.82700000002</v>
      </c>
      <c r="D163" s="13">
        <f t="shared" ref="D163:G163" si="54">SUM(D164:D168)</f>
        <v>85352.765100000004</v>
      </c>
      <c r="E163" s="13">
        <f t="shared" si="54"/>
        <v>101152.7651</v>
      </c>
      <c r="F163" s="13">
        <f t="shared" si="54"/>
        <v>107472.7651</v>
      </c>
      <c r="G163" s="13">
        <f t="shared" si="54"/>
        <v>113792.7651</v>
      </c>
    </row>
    <row r="164" spans="1:7" ht="15" customHeight="1" x14ac:dyDescent="0.25">
      <c r="A164" s="11" t="s">
        <v>11</v>
      </c>
      <c r="B164" s="12" t="s">
        <v>171</v>
      </c>
      <c r="C164" s="13">
        <f>C3</f>
        <v>152264.82700000002</v>
      </c>
      <c r="D164" s="13">
        <f t="shared" ref="D164:G164" si="55">D3</f>
        <v>21895.22</v>
      </c>
      <c r="E164" s="13">
        <f t="shared" si="55"/>
        <v>21895.22</v>
      </c>
      <c r="F164" s="13">
        <f t="shared" si="55"/>
        <v>21895.22</v>
      </c>
      <c r="G164" s="13">
        <f t="shared" si="55"/>
        <v>21895.22</v>
      </c>
    </row>
    <row r="165" spans="1:7" ht="15" customHeight="1" x14ac:dyDescent="0.25">
      <c r="A165" s="11" t="s">
        <v>15</v>
      </c>
      <c r="B165" s="12" t="s">
        <v>89</v>
      </c>
      <c r="C165" s="13">
        <f>C30</f>
        <v>30000</v>
      </c>
      <c r="D165" s="13">
        <v>0</v>
      </c>
      <c r="E165" s="13">
        <v>0</v>
      </c>
      <c r="F165" s="13">
        <v>0</v>
      </c>
      <c r="G165" s="13">
        <v>0</v>
      </c>
    </row>
    <row r="166" spans="1:7" ht="15" customHeight="1" x14ac:dyDescent="0.25">
      <c r="A166" s="11" t="s">
        <v>17</v>
      </c>
      <c r="B166" s="12" t="s">
        <v>172</v>
      </c>
      <c r="C166" s="13">
        <f>C90</f>
        <v>0</v>
      </c>
      <c r="D166" s="13">
        <f t="shared" ref="D166:F166" si="56">D90</f>
        <v>56857.545100000003</v>
      </c>
      <c r="E166" s="13">
        <f t="shared" si="56"/>
        <v>69357.545100000003</v>
      </c>
      <c r="F166" s="13">
        <f t="shared" si="56"/>
        <v>74357.545100000003</v>
      </c>
      <c r="G166" s="13">
        <f>G90</f>
        <v>79357.545100000003</v>
      </c>
    </row>
    <row r="167" spans="1:7" ht="15" customHeight="1" x14ac:dyDescent="0.25">
      <c r="A167" s="11" t="s">
        <v>27</v>
      </c>
      <c r="B167" s="12" t="s">
        <v>173</v>
      </c>
      <c r="C167" s="13">
        <f>C112</f>
        <v>0</v>
      </c>
      <c r="D167" s="13">
        <f t="shared" ref="D167:G167" si="57">D112</f>
        <v>6600</v>
      </c>
      <c r="E167" s="13">
        <f t="shared" si="57"/>
        <v>9900</v>
      </c>
      <c r="F167" s="13">
        <f t="shared" si="57"/>
        <v>11220</v>
      </c>
      <c r="G167" s="13">
        <f t="shared" si="57"/>
        <v>12540</v>
      </c>
    </row>
    <row r="168" spans="1:7" ht="15" customHeight="1" x14ac:dyDescent="0.25">
      <c r="A168" s="19">
        <v>2.5</v>
      </c>
      <c r="B168" s="20" t="s">
        <v>174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 ht="15" customHeight="1" x14ac:dyDescent="0.25">
      <c r="A169" s="19">
        <v>3</v>
      </c>
      <c r="B169" s="20" t="s">
        <v>175</v>
      </c>
      <c r="C169" s="13">
        <f>C158-C163</f>
        <v>-182264.82700000002</v>
      </c>
      <c r="D169" s="13">
        <f t="shared" ref="D169:G169" si="58">D158-D163</f>
        <v>14647.234899999996</v>
      </c>
      <c r="E169" s="13">
        <f t="shared" si="58"/>
        <v>48847.234899999996</v>
      </c>
      <c r="F169" s="13">
        <f t="shared" si="58"/>
        <v>62527.234899999996</v>
      </c>
      <c r="G169" s="13">
        <f t="shared" si="58"/>
        <v>178482.18890000001</v>
      </c>
    </row>
    <row r="170" spans="1:7" ht="15" customHeight="1" x14ac:dyDescent="0.25">
      <c r="A170" s="21" t="s">
        <v>13</v>
      </c>
      <c r="B170" s="22" t="s">
        <v>176</v>
      </c>
      <c r="C170" s="13">
        <f>C169</f>
        <v>-182264.82700000002</v>
      </c>
      <c r="D170" s="13">
        <f>C170+D169</f>
        <v>-167617.59210000001</v>
      </c>
      <c r="E170" s="13">
        <f t="shared" ref="E170:G170" si="59">D170+E169</f>
        <v>-118770.35720000001</v>
      </c>
      <c r="F170" s="13">
        <f t="shared" si="59"/>
        <v>-56243.122300000017</v>
      </c>
      <c r="G170" s="13">
        <f t="shared" si="59"/>
        <v>122239.06659999999</v>
      </c>
    </row>
    <row r="171" spans="1:7" ht="15" customHeight="1" x14ac:dyDescent="0.25">
      <c r="A171" s="21" t="s">
        <v>20</v>
      </c>
      <c r="B171" s="22" t="s">
        <v>177</v>
      </c>
      <c r="C171" s="13">
        <f>C214</f>
        <v>0</v>
      </c>
      <c r="D171" s="13">
        <f t="shared" ref="D171:G171" si="60">D214</f>
        <v>0</v>
      </c>
      <c r="E171" s="13">
        <f t="shared" si="60"/>
        <v>0</v>
      </c>
      <c r="F171" s="13">
        <f t="shared" si="60"/>
        <v>6150.1011124999986</v>
      </c>
      <c r="G171" s="13">
        <f t="shared" si="60"/>
        <v>7462.7206124999993</v>
      </c>
    </row>
    <row r="172" spans="1:7" ht="15" customHeight="1" x14ac:dyDescent="0.25">
      <c r="A172" s="19">
        <v>6</v>
      </c>
      <c r="B172" s="20" t="s">
        <v>178</v>
      </c>
      <c r="C172" s="13">
        <f>C169-C171</f>
        <v>-182264.82700000002</v>
      </c>
      <c r="D172" s="13">
        <f t="shared" ref="D172:G172" si="61">D169-D171</f>
        <v>14647.234899999996</v>
      </c>
      <c r="E172" s="13">
        <f t="shared" si="61"/>
        <v>48847.234899999996</v>
      </c>
      <c r="F172" s="13">
        <f t="shared" si="61"/>
        <v>56377.133787499995</v>
      </c>
      <c r="G172" s="13">
        <f t="shared" si="61"/>
        <v>171019.4682875</v>
      </c>
    </row>
    <row r="173" spans="1:7" ht="15" customHeight="1" x14ac:dyDescent="0.25">
      <c r="A173" s="21" t="s">
        <v>22</v>
      </c>
      <c r="B173" s="22" t="s">
        <v>179</v>
      </c>
      <c r="C173" s="13">
        <f>C172</f>
        <v>-182264.82700000002</v>
      </c>
      <c r="D173" s="13">
        <f>C173+D172</f>
        <v>-167617.59210000001</v>
      </c>
      <c r="E173" s="13">
        <f t="shared" ref="E173:G173" si="62">D173+E172</f>
        <v>-118770.35720000001</v>
      </c>
      <c r="F173" s="13">
        <f t="shared" si="62"/>
        <v>-62393.223412500018</v>
      </c>
      <c r="G173" s="13">
        <f t="shared" si="62"/>
        <v>108626.24487499997</v>
      </c>
    </row>
    <row r="174" spans="1:7" ht="15" customHeight="1" x14ac:dyDescent="0.25">
      <c r="A174" s="21"/>
      <c r="B174" s="22"/>
      <c r="C174" s="13"/>
      <c r="D174" s="13"/>
      <c r="E174" s="13"/>
      <c r="F174" s="13"/>
      <c r="G174" s="13"/>
    </row>
    <row r="175" spans="1:7" ht="15" customHeight="1" x14ac:dyDescent="0.25">
      <c r="A175" s="21"/>
      <c r="B175" s="22" t="s">
        <v>180</v>
      </c>
      <c r="C175" s="13"/>
      <c r="D175" s="13"/>
      <c r="E175" s="13"/>
      <c r="F175" s="13"/>
      <c r="G175" s="13"/>
    </row>
    <row r="176" spans="1:7" ht="15" customHeight="1" x14ac:dyDescent="0.25">
      <c r="A176" s="22" t="s">
        <v>181</v>
      </c>
      <c r="B176" s="22" t="s">
        <v>182</v>
      </c>
      <c r="C176" s="31">
        <f>IRR(C169:G169,0.1)</f>
        <v>0.17045259044277428</v>
      </c>
      <c r="D176" s="13"/>
      <c r="E176" s="13"/>
      <c r="F176" s="13"/>
      <c r="G176" s="13"/>
    </row>
    <row r="177" spans="1:7" ht="18" customHeight="1" x14ac:dyDescent="0.25">
      <c r="A177" s="20"/>
      <c r="B177" s="20" t="s">
        <v>183</v>
      </c>
      <c r="C177" s="32">
        <f>NPV(0.08,C169:G169)</f>
        <v>50001.78733391151</v>
      </c>
      <c r="D177" s="58" t="s">
        <v>311</v>
      </c>
      <c r="E177" s="11" t="s">
        <v>184</v>
      </c>
      <c r="F177" s="11"/>
      <c r="G177" s="11"/>
    </row>
    <row r="178" spans="1:7" ht="15" customHeight="1" x14ac:dyDescent="0.25">
      <c r="A178" s="16"/>
      <c r="B178" s="16" t="s">
        <v>185</v>
      </c>
      <c r="C178" s="34">
        <f>ABS(F170/G169)+G157-1</f>
        <v>4.3151189631112823</v>
      </c>
      <c r="D178" s="16" t="s">
        <v>186</v>
      </c>
      <c r="E178" s="11"/>
      <c r="F178" s="11"/>
      <c r="G178" s="11"/>
    </row>
    <row r="179" spans="1:7" ht="15" customHeight="1" x14ac:dyDescent="0.25">
      <c r="A179" s="12" t="s">
        <v>187</v>
      </c>
      <c r="B179" s="12" t="s">
        <v>188</v>
      </c>
      <c r="C179" s="31">
        <f>IRR(C172:G172,0.1)</f>
        <v>0.15444599978652307</v>
      </c>
      <c r="D179" s="12"/>
      <c r="E179" s="11" t="s">
        <v>57</v>
      </c>
      <c r="F179" s="11"/>
      <c r="G179" s="11"/>
    </row>
    <row r="180" spans="1:7" ht="15" customHeight="1" x14ac:dyDescent="0.25">
      <c r="A180" s="12"/>
      <c r="B180" s="12" t="s">
        <v>189</v>
      </c>
      <c r="C180" s="32">
        <f>NPV(0.08,C172:G172)</f>
        <v>40402.277165482366</v>
      </c>
      <c r="D180" s="59" t="s">
        <v>311</v>
      </c>
      <c r="E180" s="11"/>
      <c r="F180" s="11"/>
      <c r="G180" s="11"/>
    </row>
    <row r="181" spans="1:7" ht="15" customHeight="1" x14ac:dyDescent="0.25">
      <c r="A181" s="12"/>
      <c r="B181" s="12" t="s">
        <v>185</v>
      </c>
      <c r="C181" s="33">
        <f>ABS(F173/G172)+G157-1</f>
        <v>4.3648311156459165</v>
      </c>
      <c r="D181" s="12" t="s">
        <v>186</v>
      </c>
      <c r="E181" s="11" t="s">
        <v>190</v>
      </c>
      <c r="F181" s="11"/>
      <c r="G181" s="11"/>
    </row>
    <row r="182" spans="1:7" ht="15" customHeight="1" x14ac:dyDescent="0.25">
      <c r="A182" s="11"/>
      <c r="B182" s="12"/>
      <c r="C182" s="11"/>
      <c r="D182" s="11"/>
      <c r="E182" s="11"/>
      <c r="F182" s="11"/>
      <c r="G182" s="11"/>
    </row>
    <row r="183" spans="1:7" s="24" customFormat="1" ht="19.95" customHeight="1" x14ac:dyDescent="0.3">
      <c r="A183" s="56" t="s">
        <v>296</v>
      </c>
      <c r="B183" s="56"/>
      <c r="C183" s="56"/>
      <c r="D183" s="56"/>
      <c r="E183" s="56"/>
      <c r="F183" s="56"/>
      <c r="G183" s="57"/>
    </row>
    <row r="184" spans="1:7" ht="15" customHeight="1" x14ac:dyDescent="0.25">
      <c r="A184" s="46" t="s">
        <v>60</v>
      </c>
      <c r="B184" s="46" t="s">
        <v>61</v>
      </c>
      <c r="C184" s="46" t="s">
        <v>62</v>
      </c>
      <c r="D184" s="46">
        <v>2</v>
      </c>
      <c r="E184" s="46">
        <v>3</v>
      </c>
      <c r="F184" s="46">
        <v>4</v>
      </c>
      <c r="G184" s="46">
        <v>5</v>
      </c>
    </row>
    <row r="185" spans="1:7" ht="15" customHeight="1" x14ac:dyDescent="0.25">
      <c r="A185" s="14" t="s">
        <v>0</v>
      </c>
      <c r="B185" s="16" t="s">
        <v>166</v>
      </c>
      <c r="C185" s="13">
        <f>C186+C187+C188</f>
        <v>0</v>
      </c>
      <c r="D185" s="13">
        <f t="shared" ref="D185:G185" si="63">D186+D187+D188</f>
        <v>100000</v>
      </c>
      <c r="E185" s="13">
        <f t="shared" si="63"/>
        <v>150000</v>
      </c>
      <c r="F185" s="13">
        <f t="shared" si="63"/>
        <v>170000</v>
      </c>
      <c r="G185" s="13">
        <f t="shared" si="63"/>
        <v>292274.95400000003</v>
      </c>
    </row>
    <row r="186" spans="1:7" ht="15" customHeight="1" x14ac:dyDescent="0.25">
      <c r="A186" s="11" t="s">
        <v>1</v>
      </c>
      <c r="B186" s="12" t="s">
        <v>135</v>
      </c>
      <c r="C186" s="13">
        <f>C159</f>
        <v>0</v>
      </c>
      <c r="D186" s="13">
        <f t="shared" ref="D186:G186" si="64">D159</f>
        <v>100000</v>
      </c>
      <c r="E186" s="13">
        <f t="shared" si="64"/>
        <v>150000</v>
      </c>
      <c r="F186" s="13">
        <f t="shared" si="64"/>
        <v>170000</v>
      </c>
      <c r="G186" s="13">
        <f t="shared" si="64"/>
        <v>190000</v>
      </c>
    </row>
    <row r="187" spans="1:7" ht="15" customHeight="1" x14ac:dyDescent="0.25">
      <c r="A187" s="11" t="s">
        <v>4</v>
      </c>
      <c r="B187" s="12" t="s">
        <v>191</v>
      </c>
      <c r="C187" s="13">
        <f>C160+C161</f>
        <v>0</v>
      </c>
      <c r="D187" s="13">
        <f t="shared" ref="D187:G187" si="65">D160+D161</f>
        <v>0</v>
      </c>
      <c r="E187" s="13">
        <f t="shared" si="65"/>
        <v>0</v>
      </c>
      <c r="F187" s="13">
        <f t="shared" si="65"/>
        <v>0</v>
      </c>
      <c r="G187" s="13">
        <f t="shared" si="65"/>
        <v>72274.953999999998</v>
      </c>
    </row>
    <row r="188" spans="1:7" ht="15" customHeight="1" x14ac:dyDescent="0.25">
      <c r="A188" s="11" t="s">
        <v>5</v>
      </c>
      <c r="B188" s="12" t="s">
        <v>169</v>
      </c>
      <c r="C188" s="13">
        <f>C162</f>
        <v>0</v>
      </c>
      <c r="D188" s="13">
        <f t="shared" ref="D188:F188" si="66">D162</f>
        <v>0</v>
      </c>
      <c r="E188" s="13">
        <f t="shared" si="66"/>
        <v>0</v>
      </c>
      <c r="F188" s="13">
        <f t="shared" si="66"/>
        <v>0</v>
      </c>
      <c r="G188" s="13">
        <f>G162</f>
        <v>30000</v>
      </c>
    </row>
    <row r="189" spans="1:7" ht="15" customHeight="1" x14ac:dyDescent="0.25">
      <c r="A189" s="11" t="s">
        <v>9</v>
      </c>
      <c r="B189" s="12" t="s">
        <v>170</v>
      </c>
      <c r="C189" s="13">
        <f>C190+C191+C194+C195+C196+C197</f>
        <v>124736.08</v>
      </c>
      <c r="D189" s="13">
        <f t="shared" ref="D189:G189" si="67">D190+D191+D194+D195+D196+D197</f>
        <v>93295.265100000004</v>
      </c>
      <c r="E189" s="13">
        <f t="shared" si="67"/>
        <v>105952.7651</v>
      </c>
      <c r="F189" s="13">
        <f t="shared" si="67"/>
        <v>118422.8662125</v>
      </c>
      <c r="G189" s="13">
        <f t="shared" si="67"/>
        <v>186055.48571250003</v>
      </c>
    </row>
    <row r="190" spans="1:7" ht="15" customHeight="1" x14ac:dyDescent="0.25">
      <c r="A190" s="11" t="s">
        <v>11</v>
      </c>
      <c r="B190" s="12" t="s">
        <v>192</v>
      </c>
      <c r="C190" s="13">
        <f>C41</f>
        <v>122264.83</v>
      </c>
      <c r="D190" s="13">
        <f t="shared" ref="D190:G190" si="68">D41</f>
        <v>21895.22</v>
      </c>
      <c r="E190" s="13">
        <f t="shared" si="68"/>
        <v>21895.22</v>
      </c>
      <c r="F190" s="13">
        <f t="shared" si="68"/>
        <v>21895.22</v>
      </c>
      <c r="G190" s="13">
        <f t="shared" si="68"/>
        <v>21895.22</v>
      </c>
    </row>
    <row r="191" spans="1:7" ht="15" customHeight="1" x14ac:dyDescent="0.25">
      <c r="A191" s="11" t="s">
        <v>15</v>
      </c>
      <c r="B191" s="12" t="s">
        <v>193</v>
      </c>
      <c r="C191" s="13">
        <f>C134+C137</f>
        <v>0</v>
      </c>
      <c r="D191" s="13">
        <f t="shared" ref="D191:G191" si="69">D134+D137</f>
        <v>3000</v>
      </c>
      <c r="E191" s="13">
        <f t="shared" si="69"/>
        <v>0</v>
      </c>
      <c r="F191" s="13">
        <f t="shared" si="69"/>
        <v>0</v>
      </c>
      <c r="G191" s="13">
        <f t="shared" si="69"/>
        <v>60000</v>
      </c>
    </row>
    <row r="192" spans="1:7" ht="15" customHeight="1" x14ac:dyDescent="0.25">
      <c r="A192" s="11" t="s">
        <v>16</v>
      </c>
      <c r="B192" s="12" t="s">
        <v>194</v>
      </c>
      <c r="C192" s="13">
        <f>C134</f>
        <v>0</v>
      </c>
      <c r="D192" s="13">
        <f t="shared" ref="D192:F192" si="70">D134</f>
        <v>0</v>
      </c>
      <c r="E192" s="13">
        <f t="shared" si="70"/>
        <v>0</v>
      </c>
      <c r="F192" s="13">
        <f t="shared" si="70"/>
        <v>0</v>
      </c>
      <c r="G192" s="13">
        <f>G134</f>
        <v>60000</v>
      </c>
    </row>
    <row r="193" spans="1:7" ht="15" customHeight="1" x14ac:dyDescent="0.25">
      <c r="A193" s="11" t="s">
        <v>33</v>
      </c>
      <c r="B193" s="12" t="s">
        <v>195</v>
      </c>
      <c r="C193" s="13">
        <f>C137</f>
        <v>0</v>
      </c>
      <c r="D193" s="13">
        <f t="shared" ref="D193:G193" si="71">D137</f>
        <v>3000</v>
      </c>
      <c r="E193" s="13">
        <f t="shared" si="71"/>
        <v>0</v>
      </c>
      <c r="F193" s="13">
        <f t="shared" si="71"/>
        <v>0</v>
      </c>
      <c r="G193" s="13">
        <f t="shared" si="71"/>
        <v>0</v>
      </c>
    </row>
    <row r="194" spans="1:7" ht="15" customHeight="1" x14ac:dyDescent="0.25">
      <c r="A194" s="11" t="s">
        <v>17</v>
      </c>
      <c r="B194" s="12" t="s">
        <v>196</v>
      </c>
      <c r="C194" s="13">
        <f>C135+C138</f>
        <v>2471.25</v>
      </c>
      <c r="D194" s="13">
        <f t="shared" ref="D194:G194" si="72">D135+D138</f>
        <v>4942.5</v>
      </c>
      <c r="E194" s="13">
        <f t="shared" si="72"/>
        <v>4800</v>
      </c>
      <c r="F194" s="13">
        <f t="shared" si="72"/>
        <v>4800</v>
      </c>
      <c r="G194" s="13">
        <f t="shared" si="72"/>
        <v>4800</v>
      </c>
    </row>
    <row r="195" spans="1:7" ht="15" customHeight="1" x14ac:dyDescent="0.25">
      <c r="A195" s="19">
        <v>2.4</v>
      </c>
      <c r="B195" s="20" t="s">
        <v>197</v>
      </c>
      <c r="C195" s="13">
        <f>C90</f>
        <v>0</v>
      </c>
      <c r="D195" s="13">
        <f t="shared" ref="D195:G195" si="73">D90</f>
        <v>56857.545100000003</v>
      </c>
      <c r="E195" s="13">
        <f t="shared" si="73"/>
        <v>69357.545100000003</v>
      </c>
      <c r="F195" s="13">
        <f t="shared" si="73"/>
        <v>74357.545100000003</v>
      </c>
      <c r="G195" s="13">
        <f t="shared" si="73"/>
        <v>79357.545100000003</v>
      </c>
    </row>
    <row r="196" spans="1:7" ht="15" customHeight="1" x14ac:dyDescent="0.25">
      <c r="A196" s="19">
        <v>2.5</v>
      </c>
      <c r="B196" s="20" t="s">
        <v>198</v>
      </c>
      <c r="C196" s="13">
        <f>C112</f>
        <v>0</v>
      </c>
      <c r="D196" s="13">
        <f t="shared" ref="D196:G196" si="74">D112</f>
        <v>6600</v>
      </c>
      <c r="E196" s="13">
        <f t="shared" si="74"/>
        <v>9900</v>
      </c>
      <c r="F196" s="13">
        <f t="shared" si="74"/>
        <v>11220</v>
      </c>
      <c r="G196" s="13">
        <f t="shared" si="74"/>
        <v>12540</v>
      </c>
    </row>
    <row r="197" spans="1:7" ht="15" customHeight="1" x14ac:dyDescent="0.25">
      <c r="A197" s="21" t="s">
        <v>34</v>
      </c>
      <c r="B197" s="22" t="s">
        <v>199</v>
      </c>
      <c r="C197" s="13">
        <f>C214</f>
        <v>0</v>
      </c>
      <c r="D197" s="13">
        <f t="shared" ref="D197:G197" si="75">D214</f>
        <v>0</v>
      </c>
      <c r="E197" s="13">
        <f t="shared" si="75"/>
        <v>0</v>
      </c>
      <c r="F197" s="13">
        <f t="shared" si="75"/>
        <v>6150.1011124999986</v>
      </c>
      <c r="G197" s="13">
        <f t="shared" si="75"/>
        <v>7462.7206124999993</v>
      </c>
    </row>
    <row r="198" spans="1:7" ht="15" customHeight="1" x14ac:dyDescent="0.25">
      <c r="A198" s="21" t="s">
        <v>12</v>
      </c>
      <c r="B198" s="22" t="s">
        <v>200</v>
      </c>
      <c r="C198" s="13">
        <f>C185-C189</f>
        <v>-124736.08</v>
      </c>
      <c r="D198" s="13">
        <f t="shared" ref="D198:F198" si="76">D185-D189</f>
        <v>6704.7348999999958</v>
      </c>
      <c r="E198" s="13">
        <f t="shared" si="76"/>
        <v>44047.234899999996</v>
      </c>
      <c r="F198" s="13">
        <f t="shared" si="76"/>
        <v>51577.133787500003</v>
      </c>
      <c r="G198" s="13">
        <f>G185-G189</f>
        <v>106219.4682875</v>
      </c>
    </row>
    <row r="199" spans="1:7" ht="18" customHeight="1" x14ac:dyDescent="0.25">
      <c r="A199" s="19">
        <v>3.1</v>
      </c>
      <c r="B199" s="20" t="s">
        <v>201</v>
      </c>
      <c r="C199" s="13">
        <f>C198</f>
        <v>-124736.08</v>
      </c>
      <c r="D199" s="13">
        <f>C199+D198</f>
        <v>-118031.34510000001</v>
      </c>
      <c r="E199" s="13">
        <f t="shared" ref="E199:G199" si="77">D199+E198</f>
        <v>-73984.11020000001</v>
      </c>
      <c r="F199" s="13">
        <f t="shared" si="77"/>
        <v>-22406.976412500007</v>
      </c>
      <c r="G199" s="13">
        <f t="shared" si="77"/>
        <v>83812.491874999992</v>
      </c>
    </row>
    <row r="200" spans="1:7" ht="15" customHeight="1" x14ac:dyDescent="0.25">
      <c r="A200" s="21"/>
      <c r="B200" s="22"/>
      <c r="C200" s="13"/>
      <c r="D200" s="13"/>
      <c r="E200" s="13"/>
      <c r="F200" s="13"/>
      <c r="G200" s="13"/>
    </row>
    <row r="201" spans="1:7" ht="15" customHeight="1" x14ac:dyDescent="0.25">
      <c r="A201" s="21"/>
      <c r="B201" s="22" t="s">
        <v>180</v>
      </c>
      <c r="C201" s="13"/>
      <c r="D201" s="13"/>
      <c r="E201" s="13"/>
      <c r="F201" s="13"/>
      <c r="G201" s="13"/>
    </row>
    <row r="202" spans="1:7" ht="15" customHeight="1" x14ac:dyDescent="0.25">
      <c r="A202" s="21"/>
      <c r="B202" s="22" t="s">
        <v>202</v>
      </c>
      <c r="C202" s="31">
        <f>IRR(C198:G198)</f>
        <v>0.17619381315417026</v>
      </c>
      <c r="D202" s="21"/>
      <c r="E202" s="21" t="s">
        <v>57</v>
      </c>
      <c r="F202" s="21"/>
      <c r="G202" s="21"/>
    </row>
    <row r="203" spans="1:7" ht="15" customHeight="1" x14ac:dyDescent="0.25">
      <c r="A203" s="19"/>
      <c r="B203" s="20" t="s">
        <v>203</v>
      </c>
      <c r="C203" s="32">
        <f>NPV(0.08,C198:G198)</f>
        <v>35419.892700461838</v>
      </c>
      <c r="D203" s="58" t="s">
        <v>312</v>
      </c>
      <c r="E203" s="19" t="s">
        <v>58</v>
      </c>
      <c r="F203" s="19"/>
      <c r="G203" s="19"/>
    </row>
    <row r="204" spans="1:7" ht="15" customHeight="1" x14ac:dyDescent="0.25">
      <c r="A204" s="14"/>
      <c r="B204" s="16"/>
      <c r="C204" s="14"/>
      <c r="D204" s="14"/>
      <c r="E204" s="14"/>
      <c r="F204" s="14"/>
      <c r="G204" s="14"/>
    </row>
    <row r="205" spans="1:7" s="24" customFormat="1" ht="19.95" customHeight="1" x14ac:dyDescent="0.3">
      <c r="A205" s="56" t="s">
        <v>297</v>
      </c>
      <c r="B205" s="56"/>
      <c r="C205" s="56"/>
      <c r="D205" s="56"/>
      <c r="E205" s="56"/>
      <c r="F205" s="56"/>
      <c r="G205" s="57"/>
    </row>
    <row r="206" spans="1:7" ht="15" customHeight="1" x14ac:dyDescent="0.25">
      <c r="A206" s="46" t="s">
        <v>60</v>
      </c>
      <c r="B206" s="46" t="s">
        <v>204</v>
      </c>
      <c r="C206" s="46" t="s">
        <v>62</v>
      </c>
      <c r="D206" s="46" t="s">
        <v>9</v>
      </c>
      <c r="E206" s="46" t="s">
        <v>12</v>
      </c>
      <c r="F206" s="46" t="s">
        <v>13</v>
      </c>
      <c r="G206" s="46" t="s">
        <v>20</v>
      </c>
    </row>
    <row r="207" spans="1:7" ht="15" customHeight="1" x14ac:dyDescent="0.25">
      <c r="A207" s="11">
        <v>1</v>
      </c>
      <c r="B207" s="12" t="s">
        <v>205</v>
      </c>
      <c r="C207" s="13">
        <f>C186</f>
        <v>0</v>
      </c>
      <c r="D207" s="13">
        <f t="shared" ref="D207:G207" si="78">D186</f>
        <v>100000</v>
      </c>
      <c r="E207" s="13">
        <f t="shared" si="78"/>
        <v>150000</v>
      </c>
      <c r="F207" s="13">
        <f t="shared" si="78"/>
        <v>170000</v>
      </c>
      <c r="G207" s="13">
        <f t="shared" si="78"/>
        <v>190000</v>
      </c>
    </row>
    <row r="208" spans="1:7" ht="15" customHeight="1" x14ac:dyDescent="0.25">
      <c r="A208" s="11">
        <v>2</v>
      </c>
      <c r="B208" s="12" t="s">
        <v>206</v>
      </c>
      <c r="C208" s="13">
        <f>C112-C113</f>
        <v>0</v>
      </c>
      <c r="D208" s="13">
        <f t="shared" ref="D208:G208" si="79">D112-D113</f>
        <v>600</v>
      </c>
      <c r="E208" s="13">
        <f t="shared" si="79"/>
        <v>900</v>
      </c>
      <c r="F208" s="13">
        <f t="shared" si="79"/>
        <v>1020</v>
      </c>
      <c r="G208" s="13">
        <f t="shared" si="79"/>
        <v>1140</v>
      </c>
    </row>
    <row r="209" spans="1:7" ht="15" customHeight="1" x14ac:dyDescent="0.25">
      <c r="A209" s="11">
        <v>3</v>
      </c>
      <c r="B209" s="12" t="s">
        <v>207</v>
      </c>
      <c r="C209" s="13">
        <f>C94</f>
        <v>2471.25</v>
      </c>
      <c r="D209" s="13">
        <f t="shared" ref="D209:G209" si="80">D94</f>
        <v>93663.603100000008</v>
      </c>
      <c r="E209" s="13">
        <f t="shared" si="80"/>
        <v>110400.1471</v>
      </c>
      <c r="F209" s="13">
        <f t="shared" si="80"/>
        <v>119779.19110000001</v>
      </c>
      <c r="G209" s="13">
        <f t="shared" si="80"/>
        <v>129158.23510000001</v>
      </c>
    </row>
    <row r="210" spans="1:7" ht="15" customHeight="1" x14ac:dyDescent="0.25">
      <c r="A210" s="11">
        <v>4</v>
      </c>
      <c r="B210" s="12" t="s">
        <v>208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</row>
    <row r="211" spans="1:7" ht="15" customHeight="1" x14ac:dyDescent="0.25">
      <c r="A211" s="11">
        <v>5</v>
      </c>
      <c r="B211" s="12" t="s">
        <v>209</v>
      </c>
      <c r="C211" s="13">
        <f>C207-C208-C209+C210</f>
        <v>-2471.25</v>
      </c>
      <c r="D211" s="13">
        <f t="shared" ref="D211:G211" si="81">D207-D208-D209+D210</f>
        <v>5736.3968999999925</v>
      </c>
      <c r="E211" s="13">
        <f t="shared" si="81"/>
        <v>38699.852899999998</v>
      </c>
      <c r="F211" s="13">
        <f t="shared" si="81"/>
        <v>49200.808899999989</v>
      </c>
      <c r="G211" s="13">
        <f t="shared" si="81"/>
        <v>59701.764899999995</v>
      </c>
    </row>
    <row r="212" spans="1:7" ht="15" customHeight="1" x14ac:dyDescent="0.25">
      <c r="A212" s="11">
        <v>6</v>
      </c>
      <c r="B212" s="12" t="s">
        <v>210</v>
      </c>
      <c r="C212" s="13">
        <v>0</v>
      </c>
      <c r="D212" s="13">
        <f>-C211</f>
        <v>2471.25</v>
      </c>
      <c r="E212" s="13">
        <v>0</v>
      </c>
      <c r="F212" s="13">
        <v>0</v>
      </c>
      <c r="G212" s="13">
        <v>0</v>
      </c>
    </row>
    <row r="213" spans="1:7" ht="15" customHeight="1" x14ac:dyDescent="0.25">
      <c r="A213" s="11">
        <v>7</v>
      </c>
      <c r="B213" s="12" t="s">
        <v>211</v>
      </c>
      <c r="C213" s="13">
        <f>C211-C212</f>
        <v>-2471.25</v>
      </c>
      <c r="D213" s="13">
        <f t="shared" ref="D213:G213" si="82">D211-D212</f>
        <v>3265.1468999999925</v>
      </c>
      <c r="E213" s="13">
        <f t="shared" si="82"/>
        <v>38699.852899999998</v>
      </c>
      <c r="F213" s="13">
        <f t="shared" si="82"/>
        <v>49200.808899999989</v>
      </c>
      <c r="G213" s="13">
        <f t="shared" si="82"/>
        <v>59701.764899999995</v>
      </c>
    </row>
    <row r="214" spans="1:7" ht="15" customHeight="1" x14ac:dyDescent="0.25">
      <c r="A214" s="11">
        <v>8</v>
      </c>
      <c r="B214" s="12" t="s">
        <v>212</v>
      </c>
      <c r="C214" s="13">
        <v>0</v>
      </c>
      <c r="D214" s="13">
        <v>0</v>
      </c>
      <c r="E214" s="13">
        <v>0</v>
      </c>
      <c r="F214" s="13">
        <f>F213*0.25*0.5</f>
        <v>6150.1011124999986</v>
      </c>
      <c r="G214" s="13">
        <f>G213*0.25*0.5</f>
        <v>7462.7206124999993</v>
      </c>
    </row>
    <row r="215" spans="1:7" ht="15" customHeight="1" x14ac:dyDescent="0.25">
      <c r="A215" s="11">
        <v>9</v>
      </c>
      <c r="B215" s="12" t="s">
        <v>213</v>
      </c>
      <c r="C215" s="13">
        <f>C211-C214</f>
        <v>-2471.25</v>
      </c>
      <c r="D215" s="13">
        <f t="shared" ref="D215:G215" si="83">D211-D214</f>
        <v>5736.3968999999925</v>
      </c>
      <c r="E215" s="13">
        <f t="shared" si="83"/>
        <v>38699.852899999998</v>
      </c>
      <c r="F215" s="13">
        <f t="shared" si="83"/>
        <v>43050.707787499989</v>
      </c>
      <c r="G215" s="13">
        <f t="shared" si="83"/>
        <v>52239.044287499994</v>
      </c>
    </row>
    <row r="216" spans="1:7" ht="15" customHeight="1" x14ac:dyDescent="0.25">
      <c r="A216" s="11">
        <v>10</v>
      </c>
      <c r="B216" s="12" t="s">
        <v>214</v>
      </c>
      <c r="C216" s="13">
        <v>0</v>
      </c>
      <c r="D216" s="13">
        <f>C227</f>
        <v>-2471.25</v>
      </c>
      <c r="E216" s="13">
        <f t="shared" ref="E216:G216" si="84">D227</f>
        <v>2775.3748649999934</v>
      </c>
      <c r="F216" s="13">
        <f t="shared" si="84"/>
        <v>35253.943600249986</v>
      </c>
      <c r="G216" s="13">
        <f t="shared" si="84"/>
        <v>66558.953679587474</v>
      </c>
    </row>
    <row r="217" spans="1:7" ht="15" customHeight="1" x14ac:dyDescent="0.25">
      <c r="A217" s="11">
        <v>11</v>
      </c>
      <c r="B217" s="12" t="s">
        <v>215</v>
      </c>
      <c r="C217" s="13">
        <f>C215+C216</f>
        <v>-2471.25</v>
      </c>
      <c r="D217" s="13">
        <f t="shared" ref="D217:G217" si="85">D215+D216</f>
        <v>3265.1468999999925</v>
      </c>
      <c r="E217" s="13">
        <f t="shared" si="85"/>
        <v>41475.227764999989</v>
      </c>
      <c r="F217" s="13">
        <f t="shared" si="85"/>
        <v>78304.651387749967</v>
      </c>
      <c r="G217" s="13">
        <f t="shared" si="85"/>
        <v>118797.99796708746</v>
      </c>
    </row>
    <row r="218" spans="1:7" ht="15" customHeight="1" x14ac:dyDescent="0.25">
      <c r="A218" s="11">
        <v>12</v>
      </c>
      <c r="B218" s="12" t="s">
        <v>216</v>
      </c>
      <c r="C218" s="13">
        <v>0</v>
      </c>
      <c r="D218" s="13">
        <f>D217*0.1</f>
        <v>326.51468999999929</v>
      </c>
      <c r="E218" s="13">
        <f t="shared" ref="E218:G218" si="86">E217*0.1</f>
        <v>4147.5227764999991</v>
      </c>
      <c r="F218" s="13">
        <f t="shared" si="86"/>
        <v>7830.4651387749973</v>
      </c>
      <c r="G218" s="13">
        <f t="shared" si="86"/>
        <v>11879.799796708747</v>
      </c>
    </row>
    <row r="219" spans="1:7" ht="15" customHeight="1" x14ac:dyDescent="0.25">
      <c r="A219" s="11">
        <v>12.1</v>
      </c>
      <c r="B219" s="12" t="s">
        <v>217</v>
      </c>
      <c r="C219" s="13">
        <v>0</v>
      </c>
      <c r="D219" s="13">
        <f>C219+D218</f>
        <v>326.51468999999929</v>
      </c>
      <c r="E219" s="13">
        <f t="shared" ref="E219:G219" si="87">D219+E218</f>
        <v>4474.0374664999981</v>
      </c>
      <c r="F219" s="13">
        <f t="shared" si="87"/>
        <v>12304.502605274996</v>
      </c>
      <c r="G219" s="13">
        <f t="shared" si="87"/>
        <v>24184.302401983743</v>
      </c>
    </row>
    <row r="220" spans="1:7" ht="15" customHeight="1" x14ac:dyDescent="0.25">
      <c r="A220" s="11">
        <v>13</v>
      </c>
      <c r="B220" s="12" t="s">
        <v>218</v>
      </c>
      <c r="C220" s="13">
        <f>C217-C218</f>
        <v>-2471.25</v>
      </c>
      <c r="D220" s="13">
        <f t="shared" ref="D220:G220" si="88">D217-D218</f>
        <v>2938.6322099999934</v>
      </c>
      <c r="E220" s="13">
        <f t="shared" si="88"/>
        <v>37327.704988499987</v>
      </c>
      <c r="F220" s="13">
        <f t="shared" si="88"/>
        <v>70474.186248974976</v>
      </c>
      <c r="G220" s="13">
        <f t="shared" si="88"/>
        <v>106918.19817037872</v>
      </c>
    </row>
    <row r="221" spans="1:7" ht="15" customHeight="1" x14ac:dyDescent="0.25">
      <c r="A221" s="11">
        <v>14</v>
      </c>
      <c r="B221" s="12" t="s">
        <v>219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</row>
    <row r="222" spans="1:7" ht="15" customHeight="1" x14ac:dyDescent="0.25">
      <c r="A222" s="11">
        <v>15</v>
      </c>
      <c r="B222" s="12" t="s">
        <v>220</v>
      </c>
      <c r="C222" s="13">
        <v>0</v>
      </c>
      <c r="D222" s="13">
        <f>D217*0.05</f>
        <v>163.25734499999965</v>
      </c>
      <c r="E222" s="13">
        <f t="shared" ref="E222:G222" si="89">E217*0.05</f>
        <v>2073.7613882499995</v>
      </c>
      <c r="F222" s="13">
        <f t="shared" si="89"/>
        <v>3915.2325693874986</v>
      </c>
      <c r="G222" s="13">
        <f t="shared" si="89"/>
        <v>5939.8998983543734</v>
      </c>
    </row>
    <row r="223" spans="1:7" ht="15" customHeight="1" x14ac:dyDescent="0.25">
      <c r="A223" s="11">
        <v>15.1</v>
      </c>
      <c r="B223" s="12" t="s">
        <v>221</v>
      </c>
      <c r="C223" s="13">
        <v>0</v>
      </c>
      <c r="D223" s="13">
        <f>C223+D222</f>
        <v>163.25734499999965</v>
      </c>
      <c r="E223" s="13">
        <f t="shared" ref="E223:G223" si="90">D223+E222</f>
        <v>2237.0187332499991</v>
      </c>
      <c r="F223" s="13">
        <f t="shared" si="90"/>
        <v>6152.2513026374982</v>
      </c>
      <c r="G223" s="13">
        <f t="shared" si="90"/>
        <v>12092.151200991872</v>
      </c>
    </row>
    <row r="224" spans="1:7" ht="15" customHeight="1" x14ac:dyDescent="0.25">
      <c r="A224" s="11">
        <v>16</v>
      </c>
      <c r="B224" s="12" t="s">
        <v>222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</row>
    <row r="225" spans="1:7" ht="15" customHeight="1" x14ac:dyDescent="0.25">
      <c r="A225" s="11">
        <v>17</v>
      </c>
      <c r="B225" s="12" t="s">
        <v>223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</row>
    <row r="226" spans="1:7" ht="15" customHeight="1" x14ac:dyDescent="0.25">
      <c r="A226" s="11">
        <v>18</v>
      </c>
      <c r="B226" s="12" t="s">
        <v>224</v>
      </c>
      <c r="C226" s="13">
        <f>C215-C218-C221-C222-C224-C225</f>
        <v>-2471.25</v>
      </c>
      <c r="D226" s="13">
        <f t="shared" ref="D226:G226" si="91">D215-D218-D221-D222-D224-D225</f>
        <v>5246.6248649999934</v>
      </c>
      <c r="E226" s="13">
        <f t="shared" si="91"/>
        <v>32478.568735249995</v>
      </c>
      <c r="F226" s="13">
        <f t="shared" si="91"/>
        <v>31305.010079337491</v>
      </c>
      <c r="G226" s="13">
        <f t="shared" si="91"/>
        <v>34419.344592436872</v>
      </c>
    </row>
    <row r="227" spans="1:7" ht="15" customHeight="1" x14ac:dyDescent="0.25">
      <c r="A227" s="11">
        <v>18.100000000000001</v>
      </c>
      <c r="B227" s="12" t="s">
        <v>225</v>
      </c>
      <c r="C227" s="13">
        <f>C226</f>
        <v>-2471.25</v>
      </c>
      <c r="D227" s="13">
        <f>C227+D226</f>
        <v>2775.3748649999934</v>
      </c>
      <c r="E227" s="13">
        <f t="shared" ref="E227:G227" si="92">D227+E226</f>
        <v>35253.943600249986</v>
      </c>
      <c r="F227" s="13">
        <f t="shared" si="92"/>
        <v>66558.953679587474</v>
      </c>
      <c r="G227" s="13">
        <f t="shared" si="92"/>
        <v>100978.29827202435</v>
      </c>
    </row>
    <row r="228" spans="1:7" ht="15" customHeight="1" x14ac:dyDescent="0.25">
      <c r="A228" s="11">
        <v>19</v>
      </c>
      <c r="B228" s="12" t="s">
        <v>226</v>
      </c>
      <c r="C228" s="13">
        <f>C211+C93</f>
        <v>0</v>
      </c>
      <c r="D228" s="13">
        <f t="shared" ref="D228:G228" si="93">D211+D93</f>
        <v>10678.896899999992</v>
      </c>
      <c r="E228" s="13">
        <f t="shared" si="93"/>
        <v>43499.852899999998</v>
      </c>
      <c r="F228" s="13">
        <f t="shared" si="93"/>
        <v>54000.808899999989</v>
      </c>
      <c r="G228" s="13">
        <f t="shared" si="93"/>
        <v>64501.764899999995</v>
      </c>
    </row>
    <row r="229" spans="1:7" ht="15" customHeight="1" x14ac:dyDescent="0.25">
      <c r="A229" s="11">
        <v>20</v>
      </c>
      <c r="B229" s="12" t="s">
        <v>227</v>
      </c>
      <c r="C229" s="13">
        <f>C228+C143+C144</f>
        <v>0</v>
      </c>
      <c r="D229" s="13">
        <f t="shared" ref="D229:G229" si="94">D228+D143+D144</f>
        <v>42542.454899999997</v>
      </c>
      <c r="E229" s="13">
        <f t="shared" si="94"/>
        <v>79742.454900000012</v>
      </c>
      <c r="F229" s="13">
        <f t="shared" si="94"/>
        <v>94622.454899999997</v>
      </c>
      <c r="G229" s="13">
        <f t="shared" si="94"/>
        <v>109502.4549</v>
      </c>
    </row>
    <row r="230" spans="1:7" ht="15" customHeight="1" x14ac:dyDescent="0.25">
      <c r="A230" s="1" t="s">
        <v>285</v>
      </c>
      <c r="B230" s="12" t="s">
        <v>228</v>
      </c>
      <c r="D230" s="11"/>
      <c r="E230" s="11"/>
      <c r="F230" s="13"/>
      <c r="G230" s="13"/>
    </row>
    <row r="231" spans="1:7" ht="15" customHeight="1" x14ac:dyDescent="0.25">
      <c r="A231" s="11"/>
      <c r="B231" s="12" t="s">
        <v>229</v>
      </c>
      <c r="C231" s="11">
        <v>0.1</v>
      </c>
      <c r="D231" s="11"/>
      <c r="E231" s="11"/>
      <c r="F231" s="11"/>
      <c r="G231" s="11"/>
    </row>
    <row r="232" spans="1:7" ht="15" customHeight="1" x14ac:dyDescent="0.25">
      <c r="A232" s="11"/>
      <c r="B232" s="12" t="s">
        <v>230</v>
      </c>
      <c r="C232" s="11">
        <v>0.05</v>
      </c>
      <c r="D232" s="12"/>
      <c r="E232" s="11"/>
      <c r="F232" s="11"/>
      <c r="G232" s="11"/>
    </row>
    <row r="233" spans="1:7" ht="15" customHeight="1" x14ac:dyDescent="0.25">
      <c r="A233" s="41" t="s">
        <v>56</v>
      </c>
      <c r="B233" s="12" t="s">
        <v>283</v>
      </c>
      <c r="C233" s="44">
        <f>SUM(C211:G211)/SUM(C37:G37)</f>
        <v>0.55908828521774456</v>
      </c>
      <c r="D233" s="12"/>
      <c r="E233" s="12"/>
      <c r="F233" s="12"/>
      <c r="G233" s="12"/>
    </row>
    <row r="234" spans="1:7" ht="15" customHeight="1" x14ac:dyDescent="0.25">
      <c r="A234" s="21"/>
      <c r="B234" s="40" t="s">
        <v>284</v>
      </c>
      <c r="C234" s="44">
        <f>(SUM(C211:G211)+SUM(C196:G196))/(SUM(C37:G37))</f>
        <v>0.70828465542347852</v>
      </c>
      <c r="D234" s="21"/>
      <c r="E234" s="21"/>
      <c r="F234" s="21"/>
      <c r="G234" s="21"/>
    </row>
    <row r="235" spans="1:7" s="24" customFormat="1" ht="19.95" customHeight="1" x14ac:dyDescent="0.3">
      <c r="A235" s="56" t="s">
        <v>298</v>
      </c>
      <c r="B235" s="56"/>
      <c r="C235" s="56"/>
      <c r="D235" s="56"/>
      <c r="E235" s="56"/>
      <c r="F235" s="56"/>
      <c r="G235" s="57"/>
    </row>
    <row r="236" spans="1:7" ht="15" customHeight="1" x14ac:dyDescent="0.25">
      <c r="A236" s="46" t="s">
        <v>60</v>
      </c>
      <c r="B236" s="46" t="s">
        <v>204</v>
      </c>
      <c r="C236" s="46" t="s">
        <v>62</v>
      </c>
      <c r="D236" s="46">
        <v>2</v>
      </c>
      <c r="E236" s="46">
        <v>3</v>
      </c>
      <c r="F236" s="46">
        <v>4</v>
      </c>
      <c r="G236" s="46">
        <v>5</v>
      </c>
    </row>
    <row r="237" spans="1:7" s="8" customFormat="1" ht="15" customHeight="1" x14ac:dyDescent="0.25">
      <c r="A237" s="4" t="s">
        <v>0</v>
      </c>
      <c r="B237" s="5" t="s">
        <v>280</v>
      </c>
      <c r="C237" s="6">
        <f>C238-C242</f>
        <v>0</v>
      </c>
      <c r="D237" s="6">
        <f t="shared" ref="D237:F237" si="95">D238-D242</f>
        <v>42542.454899999997</v>
      </c>
      <c r="E237" s="6">
        <f t="shared" si="95"/>
        <v>79742.454899999997</v>
      </c>
      <c r="F237" s="6">
        <f t="shared" si="95"/>
        <v>88472.353787500004</v>
      </c>
      <c r="G237" s="6">
        <f>G238-G242</f>
        <v>102039.7342875</v>
      </c>
    </row>
    <row r="238" spans="1:7" ht="15" customHeight="1" x14ac:dyDescent="0.25">
      <c r="A238" s="11" t="s">
        <v>1</v>
      </c>
      <c r="B238" s="12" t="s">
        <v>166</v>
      </c>
      <c r="C238" s="13">
        <f>C239</f>
        <v>0</v>
      </c>
      <c r="D238" s="13">
        <f t="shared" ref="D238:F238" si="96">D239</f>
        <v>100000</v>
      </c>
      <c r="E238" s="13">
        <f t="shared" si="96"/>
        <v>150000</v>
      </c>
      <c r="F238" s="13">
        <f t="shared" si="96"/>
        <v>170000</v>
      </c>
      <c r="G238" s="13">
        <f>G239</f>
        <v>190000</v>
      </c>
    </row>
    <row r="239" spans="1:7" ht="15" customHeight="1" x14ac:dyDescent="0.25">
      <c r="A239" s="11" t="s">
        <v>2</v>
      </c>
      <c r="B239" s="12" t="s">
        <v>135</v>
      </c>
      <c r="C239" s="13">
        <f>C111</f>
        <v>0</v>
      </c>
      <c r="D239" s="13">
        <f t="shared" ref="D239:G239" si="97">D111</f>
        <v>100000</v>
      </c>
      <c r="E239" s="13">
        <f t="shared" si="97"/>
        <v>150000</v>
      </c>
      <c r="F239" s="13">
        <f t="shared" si="97"/>
        <v>170000</v>
      </c>
      <c r="G239" s="13">
        <f t="shared" si="97"/>
        <v>190000</v>
      </c>
    </row>
    <row r="240" spans="1:7" ht="15" customHeight="1" x14ac:dyDescent="0.25">
      <c r="A240" s="11" t="s">
        <v>3</v>
      </c>
      <c r="B240" s="12" t="s">
        <v>231</v>
      </c>
      <c r="C240" s="13"/>
      <c r="D240" s="13"/>
      <c r="E240" s="13"/>
      <c r="F240" s="13"/>
      <c r="G240" s="13"/>
    </row>
    <row r="241" spans="1:7" ht="15" customHeight="1" x14ac:dyDescent="0.25">
      <c r="A241" s="11" t="s">
        <v>35</v>
      </c>
      <c r="B241" s="12" t="s">
        <v>232</v>
      </c>
      <c r="C241" s="13"/>
      <c r="D241" s="13"/>
      <c r="E241" s="13"/>
      <c r="F241" s="13"/>
      <c r="G241" s="13"/>
    </row>
    <row r="242" spans="1:7" ht="15" customHeight="1" x14ac:dyDescent="0.25">
      <c r="A242" s="11" t="s">
        <v>4</v>
      </c>
      <c r="B242" s="12" t="s">
        <v>170</v>
      </c>
      <c r="C242" s="13">
        <f>SUM(C243:C245)</f>
        <v>0</v>
      </c>
      <c r="D242" s="13">
        <f t="shared" ref="D242:G242" si="98">SUM(D243:D245)</f>
        <v>57457.545100000003</v>
      </c>
      <c r="E242" s="13">
        <f t="shared" si="98"/>
        <v>70257.545100000003</v>
      </c>
      <c r="F242" s="13">
        <f t="shared" si="98"/>
        <v>81527.646212499996</v>
      </c>
      <c r="G242" s="13">
        <f t="shared" si="98"/>
        <v>87960.265712499997</v>
      </c>
    </row>
    <row r="243" spans="1:7" ht="15" customHeight="1" x14ac:dyDescent="0.25">
      <c r="A243" s="11" t="s">
        <v>36</v>
      </c>
      <c r="B243" s="12" t="s">
        <v>172</v>
      </c>
      <c r="C243" s="13">
        <f>C90</f>
        <v>0</v>
      </c>
      <c r="D243" s="13">
        <f t="shared" ref="D243:G243" si="99">D90</f>
        <v>56857.545100000003</v>
      </c>
      <c r="E243" s="13">
        <f t="shared" si="99"/>
        <v>69357.545100000003</v>
      </c>
      <c r="F243" s="13">
        <f t="shared" si="99"/>
        <v>74357.545100000003</v>
      </c>
      <c r="G243" s="13">
        <f t="shared" si="99"/>
        <v>79357.545100000003</v>
      </c>
    </row>
    <row r="244" spans="1:7" ht="15" customHeight="1" x14ac:dyDescent="0.25">
      <c r="A244" s="11" t="s">
        <v>37</v>
      </c>
      <c r="B244" s="12" t="s">
        <v>233</v>
      </c>
      <c r="C244" s="13">
        <f>C208</f>
        <v>0</v>
      </c>
      <c r="D244" s="13">
        <f t="shared" ref="D244:G244" si="100">D208</f>
        <v>600</v>
      </c>
      <c r="E244" s="13">
        <f t="shared" si="100"/>
        <v>900</v>
      </c>
      <c r="F244" s="13">
        <f t="shared" si="100"/>
        <v>1020</v>
      </c>
      <c r="G244" s="13">
        <f t="shared" si="100"/>
        <v>1140</v>
      </c>
    </row>
    <row r="245" spans="1:7" ht="15" customHeight="1" x14ac:dyDescent="0.25">
      <c r="A245" s="11" t="s">
        <v>38</v>
      </c>
      <c r="B245" s="12" t="s">
        <v>234</v>
      </c>
      <c r="C245" s="13">
        <f>C214</f>
        <v>0</v>
      </c>
      <c r="D245" s="13">
        <f t="shared" ref="D245:G245" si="101">D214</f>
        <v>0</v>
      </c>
      <c r="E245" s="13">
        <f t="shared" si="101"/>
        <v>0</v>
      </c>
      <c r="F245" s="13">
        <f t="shared" si="101"/>
        <v>6150.1011124999986</v>
      </c>
      <c r="G245" s="13">
        <f t="shared" si="101"/>
        <v>7462.7206124999993</v>
      </c>
    </row>
    <row r="246" spans="1:7" ht="15" customHeight="1" x14ac:dyDescent="0.25">
      <c r="A246" s="11" t="s">
        <v>39</v>
      </c>
      <c r="B246" s="12" t="s">
        <v>235</v>
      </c>
      <c r="C246" s="13"/>
      <c r="D246" s="13"/>
      <c r="E246" s="13"/>
      <c r="F246" s="13"/>
      <c r="G246" s="13"/>
    </row>
    <row r="247" spans="1:7" s="8" customFormat="1" ht="15" customHeight="1" x14ac:dyDescent="0.25">
      <c r="A247" s="37">
        <v>2</v>
      </c>
      <c r="B247" s="38" t="s">
        <v>279</v>
      </c>
      <c r="C247" s="6">
        <f>-C248-C249</f>
        <v>-182264.82700000002</v>
      </c>
      <c r="D247" s="6">
        <f t="shared" ref="D247:G247" si="102">-D248-D249</f>
        <v>-21895.22</v>
      </c>
      <c r="E247" s="6">
        <f t="shared" si="102"/>
        <v>-21895.22</v>
      </c>
      <c r="F247" s="6">
        <f t="shared" si="102"/>
        <v>-21895.22</v>
      </c>
      <c r="G247" s="6">
        <f t="shared" si="102"/>
        <v>-21895.22</v>
      </c>
    </row>
    <row r="248" spans="1:7" ht="15" customHeight="1" x14ac:dyDescent="0.25">
      <c r="A248" s="19">
        <v>2.1</v>
      </c>
      <c r="B248" s="20" t="s">
        <v>236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</row>
    <row r="249" spans="1:7" ht="15" customHeight="1" x14ac:dyDescent="0.25">
      <c r="A249" s="21" t="s">
        <v>15</v>
      </c>
      <c r="B249" s="22" t="s">
        <v>237</v>
      </c>
      <c r="C249" s="13">
        <f>SUM(C250:C253)</f>
        <v>182264.82700000002</v>
      </c>
      <c r="D249" s="13">
        <f t="shared" ref="D249:G249" si="103">SUM(D250:D253)</f>
        <v>21895.22</v>
      </c>
      <c r="E249" s="13">
        <f t="shared" si="103"/>
        <v>21895.22</v>
      </c>
      <c r="F249" s="13">
        <f t="shared" si="103"/>
        <v>21895.22</v>
      </c>
      <c r="G249" s="13">
        <f t="shared" si="103"/>
        <v>21895.22</v>
      </c>
    </row>
    <row r="250" spans="1:7" ht="15" customHeight="1" x14ac:dyDescent="0.25">
      <c r="A250" s="21" t="s">
        <v>16</v>
      </c>
      <c r="B250" s="22" t="s">
        <v>238</v>
      </c>
      <c r="C250" s="13">
        <f>C3</f>
        <v>152264.82700000002</v>
      </c>
      <c r="D250" s="13">
        <f t="shared" ref="D250:G250" si="104">D3</f>
        <v>21895.22</v>
      </c>
      <c r="E250" s="13">
        <f t="shared" si="104"/>
        <v>21895.22</v>
      </c>
      <c r="F250" s="13">
        <f t="shared" si="104"/>
        <v>21895.22</v>
      </c>
      <c r="G250" s="13">
        <f t="shared" si="104"/>
        <v>21895.22</v>
      </c>
    </row>
    <row r="251" spans="1:7" ht="15" customHeight="1" x14ac:dyDescent="0.25">
      <c r="A251" s="19" t="s">
        <v>33</v>
      </c>
      <c r="B251" s="20" t="s">
        <v>174</v>
      </c>
      <c r="C251" s="13"/>
      <c r="D251" s="13"/>
      <c r="E251" s="13"/>
      <c r="F251" s="13"/>
      <c r="G251" s="13"/>
    </row>
    <row r="252" spans="1:7" ht="15" customHeight="1" x14ac:dyDescent="0.25">
      <c r="A252" s="21" t="s">
        <v>40</v>
      </c>
      <c r="B252" s="22" t="s">
        <v>239</v>
      </c>
      <c r="C252" s="13">
        <f>C31</f>
        <v>30000</v>
      </c>
      <c r="D252" s="13">
        <f t="shared" ref="D252:G252" si="105">D31</f>
        <v>0</v>
      </c>
      <c r="E252" s="13">
        <f t="shared" si="105"/>
        <v>0</v>
      </c>
      <c r="F252" s="13">
        <f t="shared" si="105"/>
        <v>0</v>
      </c>
      <c r="G252" s="13">
        <f t="shared" si="105"/>
        <v>0</v>
      </c>
    </row>
    <row r="253" spans="1:7" ht="15" customHeight="1" x14ac:dyDescent="0.25">
      <c r="A253" s="21" t="s">
        <v>41</v>
      </c>
      <c r="B253" s="22" t="s">
        <v>240</v>
      </c>
      <c r="C253" s="13"/>
      <c r="D253" s="13"/>
      <c r="E253" s="13"/>
      <c r="F253" s="13"/>
      <c r="G253" s="13"/>
    </row>
    <row r="254" spans="1:7" s="8" customFormat="1" ht="15" customHeight="1" x14ac:dyDescent="0.25">
      <c r="A254" s="35" t="s">
        <v>12</v>
      </c>
      <c r="B254" s="36" t="s">
        <v>278</v>
      </c>
      <c r="C254" s="6">
        <f>C255-C261</f>
        <v>182793.58000000002</v>
      </c>
      <c r="D254" s="6">
        <f t="shared" ref="D254:G254" si="106">D255-D261</f>
        <v>13952.720000000001</v>
      </c>
      <c r="E254" s="6">
        <f t="shared" si="106"/>
        <v>17095.22</v>
      </c>
      <c r="F254" s="6">
        <f t="shared" si="106"/>
        <v>17095.22</v>
      </c>
      <c r="G254" s="6">
        <f t="shared" si="106"/>
        <v>-42904.78</v>
      </c>
    </row>
    <row r="255" spans="1:7" ht="15" customHeight="1" x14ac:dyDescent="0.25">
      <c r="A255" s="21" t="s">
        <v>19</v>
      </c>
      <c r="B255" s="22" t="s">
        <v>236</v>
      </c>
      <c r="C255" s="13">
        <f>SUM(C256:C260)</f>
        <v>185264.83000000002</v>
      </c>
      <c r="D255" s="13">
        <f t="shared" ref="D255:G255" si="107">SUM(D256:D260)</f>
        <v>21895.22</v>
      </c>
      <c r="E255" s="13">
        <f t="shared" si="107"/>
        <v>21895.22</v>
      </c>
      <c r="F255" s="13">
        <f t="shared" si="107"/>
        <v>21895.22</v>
      </c>
      <c r="G255" s="13">
        <f t="shared" si="107"/>
        <v>21895.22</v>
      </c>
    </row>
    <row r="256" spans="1:7" ht="15" customHeight="1" x14ac:dyDescent="0.25">
      <c r="A256" s="19" t="s">
        <v>42</v>
      </c>
      <c r="B256" s="20" t="s">
        <v>241</v>
      </c>
      <c r="C256" s="13">
        <f>C41</f>
        <v>122264.83</v>
      </c>
      <c r="D256" s="13">
        <f t="shared" ref="D256:G256" si="108">D41</f>
        <v>21895.22</v>
      </c>
      <c r="E256" s="13">
        <f t="shared" si="108"/>
        <v>21895.22</v>
      </c>
      <c r="F256" s="13">
        <f t="shared" si="108"/>
        <v>21895.22</v>
      </c>
      <c r="G256" s="13">
        <f t="shared" si="108"/>
        <v>21895.22</v>
      </c>
    </row>
    <row r="257" spans="1:7" ht="15" customHeight="1" x14ac:dyDescent="0.25">
      <c r="A257" s="14" t="s">
        <v>43</v>
      </c>
      <c r="B257" s="16" t="s">
        <v>92</v>
      </c>
      <c r="C257" s="13">
        <f>C43</f>
        <v>60000</v>
      </c>
      <c r="D257" s="13">
        <f t="shared" ref="D257:G257" si="109">D43</f>
        <v>0</v>
      </c>
      <c r="E257" s="13">
        <f t="shared" si="109"/>
        <v>0</v>
      </c>
      <c r="F257" s="13">
        <f t="shared" si="109"/>
        <v>0</v>
      </c>
      <c r="G257" s="13">
        <f t="shared" si="109"/>
        <v>0</v>
      </c>
    </row>
    <row r="258" spans="1:7" ht="15" customHeight="1" x14ac:dyDescent="0.25">
      <c r="A258" s="11" t="s">
        <v>44</v>
      </c>
      <c r="B258" s="12" t="s">
        <v>242</v>
      </c>
      <c r="C258" s="13"/>
      <c r="D258" s="13"/>
      <c r="E258" s="13"/>
      <c r="F258" s="13"/>
      <c r="G258" s="13"/>
    </row>
    <row r="259" spans="1:7" ht="15" customHeight="1" x14ac:dyDescent="0.25">
      <c r="A259" s="11" t="s">
        <v>45</v>
      </c>
      <c r="B259" s="12" t="s">
        <v>94</v>
      </c>
      <c r="C259" s="13">
        <f>C145</f>
        <v>3000</v>
      </c>
      <c r="D259" s="13">
        <f t="shared" ref="D259:G259" si="110">D145</f>
        <v>0</v>
      </c>
      <c r="E259" s="13">
        <f t="shared" si="110"/>
        <v>0</v>
      </c>
      <c r="F259" s="13">
        <f t="shared" si="110"/>
        <v>0</v>
      </c>
      <c r="G259" s="13">
        <f t="shared" si="110"/>
        <v>0</v>
      </c>
    </row>
    <row r="260" spans="1:7" ht="15" customHeight="1" x14ac:dyDescent="0.25">
      <c r="A260" s="11" t="s">
        <v>46</v>
      </c>
      <c r="B260" s="12" t="s">
        <v>232</v>
      </c>
      <c r="C260" s="13"/>
      <c r="D260" s="13"/>
      <c r="E260" s="13"/>
      <c r="F260" s="13"/>
      <c r="G260" s="13"/>
    </row>
    <row r="261" spans="1:7" ht="15" customHeight="1" x14ac:dyDescent="0.25">
      <c r="A261" s="11" t="s">
        <v>47</v>
      </c>
      <c r="B261" s="12" t="s">
        <v>170</v>
      </c>
      <c r="C261" s="13">
        <f>C262+C263+C266+C267</f>
        <v>2471.25</v>
      </c>
      <c r="D261" s="13">
        <f t="shared" ref="D261:G261" si="111">D262+D263+D266+D267</f>
        <v>7942.5</v>
      </c>
      <c r="E261" s="13">
        <f t="shared" si="111"/>
        <v>4800</v>
      </c>
      <c r="F261" s="13">
        <f t="shared" si="111"/>
        <v>4800</v>
      </c>
      <c r="G261" s="13">
        <f t="shared" si="111"/>
        <v>64800</v>
      </c>
    </row>
    <row r="262" spans="1:7" ht="15" customHeight="1" x14ac:dyDescent="0.25">
      <c r="A262" s="11" t="s">
        <v>48</v>
      </c>
      <c r="B262" s="12" t="s">
        <v>243</v>
      </c>
      <c r="C262" s="13">
        <f>C135+C138</f>
        <v>2471.25</v>
      </c>
      <c r="D262" s="13">
        <f t="shared" ref="D262:G262" si="112">D135+D138</f>
        <v>4942.5</v>
      </c>
      <c r="E262" s="13">
        <f t="shared" si="112"/>
        <v>4800</v>
      </c>
      <c r="F262" s="13">
        <f t="shared" si="112"/>
        <v>4800</v>
      </c>
      <c r="G262" s="13">
        <f t="shared" si="112"/>
        <v>4800</v>
      </c>
    </row>
    <row r="263" spans="1:7" ht="15" customHeight="1" x14ac:dyDescent="0.25">
      <c r="A263" s="11" t="s">
        <v>49</v>
      </c>
      <c r="B263" s="12" t="s">
        <v>244</v>
      </c>
      <c r="C263" s="13">
        <f>C264+C265</f>
        <v>0</v>
      </c>
      <c r="D263" s="13">
        <f t="shared" ref="D263:G263" si="113">D264+D265</f>
        <v>3000</v>
      </c>
      <c r="E263" s="13">
        <f t="shared" si="113"/>
        <v>0</v>
      </c>
      <c r="F263" s="13">
        <f t="shared" si="113"/>
        <v>0</v>
      </c>
      <c r="G263" s="13">
        <f t="shared" si="113"/>
        <v>60000</v>
      </c>
    </row>
    <row r="264" spans="1:7" ht="18" customHeight="1" x14ac:dyDescent="0.25">
      <c r="A264" s="11" t="s">
        <v>50</v>
      </c>
      <c r="B264" s="12" t="s">
        <v>245</v>
      </c>
      <c r="C264" s="13">
        <f>C134</f>
        <v>0</v>
      </c>
      <c r="D264" s="13">
        <f t="shared" ref="D264:G264" si="114">D134</f>
        <v>0</v>
      </c>
      <c r="E264" s="13">
        <f t="shared" si="114"/>
        <v>0</v>
      </c>
      <c r="F264" s="13">
        <f t="shared" si="114"/>
        <v>0</v>
      </c>
      <c r="G264" s="13">
        <f t="shared" si="114"/>
        <v>60000</v>
      </c>
    </row>
    <row r="265" spans="1:7" ht="15" customHeight="1" x14ac:dyDescent="0.25">
      <c r="A265" s="11" t="s">
        <v>51</v>
      </c>
      <c r="B265" s="12" t="s">
        <v>246</v>
      </c>
      <c r="C265" s="13">
        <f>C137</f>
        <v>0</v>
      </c>
      <c r="D265" s="13">
        <f t="shared" ref="D265:G265" si="115">D137</f>
        <v>3000</v>
      </c>
      <c r="E265" s="13">
        <f t="shared" si="115"/>
        <v>0</v>
      </c>
      <c r="F265" s="13">
        <f t="shared" si="115"/>
        <v>0</v>
      </c>
      <c r="G265" s="13">
        <f t="shared" si="115"/>
        <v>0</v>
      </c>
    </row>
    <row r="266" spans="1:7" ht="15" customHeight="1" x14ac:dyDescent="0.25">
      <c r="A266" s="11" t="s">
        <v>52</v>
      </c>
      <c r="B266" s="12" t="s">
        <v>247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</row>
    <row r="267" spans="1:7" ht="15" customHeight="1" x14ac:dyDescent="0.25">
      <c r="A267" s="19" t="s">
        <v>53</v>
      </c>
      <c r="B267" s="20" t="s">
        <v>240</v>
      </c>
      <c r="C267" s="13"/>
      <c r="D267" s="13"/>
      <c r="E267" s="13"/>
      <c r="F267" s="13"/>
      <c r="G267" s="13"/>
    </row>
    <row r="268" spans="1:7" s="8" customFormat="1" ht="15" customHeight="1" x14ac:dyDescent="0.25">
      <c r="A268" s="37">
        <v>4</v>
      </c>
      <c r="B268" s="39" t="s">
        <v>277</v>
      </c>
      <c r="C268" s="6">
        <f>C237+C247+C254</f>
        <v>528.75299999999697</v>
      </c>
      <c r="D268" s="6">
        <f t="shared" ref="D268:G268" si="116">D237+D247+D254</f>
        <v>34599.954899999997</v>
      </c>
      <c r="E268" s="6">
        <f t="shared" si="116"/>
        <v>74942.454899999997</v>
      </c>
      <c r="F268" s="6">
        <f t="shared" si="116"/>
        <v>83672.353787500004</v>
      </c>
      <c r="G268" s="6">
        <f t="shared" si="116"/>
        <v>37239.734287500003</v>
      </c>
    </row>
    <row r="269" spans="1:7" s="8" customFormat="1" ht="15" customHeight="1" x14ac:dyDescent="0.25">
      <c r="A269" s="35" t="s">
        <v>20</v>
      </c>
      <c r="B269" s="36" t="s">
        <v>276</v>
      </c>
      <c r="C269" s="6">
        <f>C268</f>
        <v>528.75299999999697</v>
      </c>
      <c r="D269" s="6">
        <f>C269+D268</f>
        <v>35128.707899999994</v>
      </c>
      <c r="E269" s="6">
        <f t="shared" ref="E269:G269" si="117">D269+E268</f>
        <v>110071.16279999999</v>
      </c>
      <c r="F269" s="6">
        <f t="shared" si="117"/>
        <v>193743.51658749999</v>
      </c>
      <c r="G269" s="6">
        <f t="shared" si="117"/>
        <v>230983.250875</v>
      </c>
    </row>
    <row r="270" spans="1:7" ht="15" customHeight="1" x14ac:dyDescent="0.25">
      <c r="A270" s="21"/>
      <c r="B270" s="22"/>
      <c r="C270" s="21"/>
      <c r="D270" s="21"/>
      <c r="E270" s="21"/>
      <c r="F270" s="21"/>
      <c r="G270" s="21"/>
    </row>
    <row r="271" spans="1:7" s="24" customFormat="1" ht="19.95" customHeight="1" x14ac:dyDescent="0.3">
      <c r="A271" s="56" t="s">
        <v>299</v>
      </c>
      <c r="B271" s="56"/>
      <c r="C271" s="56"/>
      <c r="D271" s="56"/>
      <c r="E271" s="56"/>
      <c r="F271" s="56"/>
      <c r="G271" s="57"/>
    </row>
    <row r="272" spans="1:7" ht="15" customHeight="1" x14ac:dyDescent="0.25">
      <c r="A272" s="46" t="s">
        <v>60</v>
      </c>
      <c r="B272" s="46" t="s">
        <v>204</v>
      </c>
      <c r="C272" s="46" t="s">
        <v>62</v>
      </c>
      <c r="D272" s="46">
        <v>2</v>
      </c>
      <c r="E272" s="46">
        <v>3</v>
      </c>
      <c r="F272" s="46">
        <v>4</v>
      </c>
      <c r="G272" s="46">
        <v>5</v>
      </c>
    </row>
    <row r="273" spans="1:7" s="8" customFormat="1" ht="15" customHeight="1" x14ac:dyDescent="0.25">
      <c r="A273" s="4" t="s">
        <v>0</v>
      </c>
      <c r="B273" s="5" t="s">
        <v>281</v>
      </c>
      <c r="C273" s="6">
        <f>C274+C279+C280</f>
        <v>182793.58000000002</v>
      </c>
      <c r="D273" s="6">
        <f t="shared" ref="D273:G273" si="118">D274+D279+D280</f>
        <v>207425.19690000001</v>
      </c>
      <c r="E273" s="6">
        <f t="shared" si="118"/>
        <v>268020.26980000001</v>
      </c>
      <c r="F273" s="6">
        <f t="shared" si="118"/>
        <v>332966.19758749998</v>
      </c>
      <c r="G273" s="6">
        <f t="shared" si="118"/>
        <v>347100.46187500004</v>
      </c>
    </row>
    <row r="274" spans="1:7" ht="15" customHeight="1" x14ac:dyDescent="0.25">
      <c r="A274" s="11" t="s">
        <v>1</v>
      </c>
      <c r="B274" s="12" t="s">
        <v>248</v>
      </c>
      <c r="C274" s="13">
        <f>C275+C276+C277+C278</f>
        <v>44371.009999999995</v>
      </c>
      <c r="D274" s="13">
        <f t="shared" ref="D274:G274" si="119">D275+D276+D277+D278</f>
        <v>78970.964899999992</v>
      </c>
      <c r="E274" s="13">
        <f t="shared" si="119"/>
        <v>153913.41979999997</v>
      </c>
      <c r="F274" s="13">
        <f t="shared" si="119"/>
        <v>237585.77358749998</v>
      </c>
      <c r="G274" s="13">
        <f t="shared" si="119"/>
        <v>274825.50787500001</v>
      </c>
    </row>
    <row r="275" spans="1:7" ht="15" customHeight="1" x14ac:dyDescent="0.25">
      <c r="A275" s="11" t="s">
        <v>2</v>
      </c>
      <c r="B275" s="12" t="s">
        <v>81</v>
      </c>
      <c r="C275" s="13">
        <f>C30</f>
        <v>30000</v>
      </c>
      <c r="D275" s="13">
        <f t="shared" ref="D275:G275" si="120">D30</f>
        <v>30000</v>
      </c>
      <c r="E275" s="13">
        <f t="shared" si="120"/>
        <v>30000</v>
      </c>
      <c r="F275" s="13">
        <f t="shared" si="120"/>
        <v>30000</v>
      </c>
      <c r="G275" s="13">
        <f t="shared" si="120"/>
        <v>30000</v>
      </c>
    </row>
    <row r="276" spans="1:7" ht="15" customHeight="1" x14ac:dyDescent="0.25">
      <c r="A276" s="11" t="s">
        <v>3</v>
      </c>
      <c r="B276" s="12" t="s">
        <v>249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</row>
    <row r="277" spans="1:7" ht="15" customHeight="1" x14ac:dyDescent="0.25">
      <c r="A277" s="11" t="s">
        <v>35</v>
      </c>
      <c r="B277" s="12" t="s">
        <v>250</v>
      </c>
      <c r="C277" s="13">
        <f>$C11</f>
        <v>13842.257000000001</v>
      </c>
      <c r="D277" s="13">
        <f t="shared" ref="D277:G277" si="121">$C11</f>
        <v>13842.257000000001</v>
      </c>
      <c r="E277" s="13">
        <f t="shared" si="121"/>
        <v>13842.257000000001</v>
      </c>
      <c r="F277" s="13">
        <f t="shared" si="121"/>
        <v>13842.257000000001</v>
      </c>
      <c r="G277" s="13">
        <f t="shared" si="121"/>
        <v>13842.257000000001</v>
      </c>
    </row>
    <row r="278" spans="1:7" ht="15" customHeight="1" x14ac:dyDescent="0.25">
      <c r="A278" s="11" t="s">
        <v>54</v>
      </c>
      <c r="B278" s="12" t="s">
        <v>251</v>
      </c>
      <c r="C278" s="13">
        <f>C269</f>
        <v>528.75299999999697</v>
      </c>
      <c r="D278" s="13">
        <f t="shared" ref="D278:G278" si="122">D269</f>
        <v>35128.707899999994</v>
      </c>
      <c r="E278" s="13">
        <f t="shared" si="122"/>
        <v>110071.16279999999</v>
      </c>
      <c r="F278" s="13">
        <f t="shared" si="122"/>
        <v>193743.51658749999</v>
      </c>
      <c r="G278" s="13">
        <f t="shared" si="122"/>
        <v>230983.250875</v>
      </c>
    </row>
    <row r="279" spans="1:7" ht="15" customHeight="1" x14ac:dyDescent="0.25">
      <c r="A279" s="11" t="s">
        <v>4</v>
      </c>
      <c r="B279" s="12" t="s">
        <v>252</v>
      </c>
      <c r="C279" s="13">
        <f>C59</f>
        <v>20000</v>
      </c>
      <c r="D279" s="13">
        <f t="shared" ref="D279:G279" si="123">D59</f>
        <v>16200</v>
      </c>
      <c r="E279" s="13">
        <f t="shared" si="123"/>
        <v>12400</v>
      </c>
      <c r="F279" s="13">
        <f t="shared" si="123"/>
        <v>8600</v>
      </c>
      <c r="G279" s="13">
        <f t="shared" si="123"/>
        <v>4800</v>
      </c>
    </row>
    <row r="280" spans="1:7" ht="15" customHeight="1" x14ac:dyDescent="0.25">
      <c r="A280" s="11" t="s">
        <v>5</v>
      </c>
      <c r="B280" s="12" t="s">
        <v>253</v>
      </c>
      <c r="C280" s="13">
        <f>C79</f>
        <v>118422.57</v>
      </c>
      <c r="D280" s="13">
        <f t="shared" ref="D280:G280" si="124">D79</f>
        <v>112254.23200000002</v>
      </c>
      <c r="E280" s="13">
        <f t="shared" si="124"/>
        <v>101706.85</v>
      </c>
      <c r="F280" s="13">
        <f t="shared" si="124"/>
        <v>86780.423999999999</v>
      </c>
      <c r="G280" s="13">
        <f t="shared" si="124"/>
        <v>67474.953999999998</v>
      </c>
    </row>
    <row r="281" spans="1:7" ht="15" customHeight="1" x14ac:dyDescent="0.25">
      <c r="A281" s="11"/>
      <c r="B281" s="12"/>
      <c r="C281" s="13"/>
      <c r="D281" s="13"/>
      <c r="E281" s="13"/>
      <c r="F281" s="13"/>
      <c r="G281" s="13"/>
    </row>
    <row r="282" spans="1:7" s="8" customFormat="1" ht="15" customHeight="1" x14ac:dyDescent="0.25">
      <c r="A282" s="9" t="s">
        <v>9</v>
      </c>
      <c r="B282" s="10" t="s">
        <v>282</v>
      </c>
      <c r="C282" s="6">
        <f>C283+C286</f>
        <v>182793.58000000002</v>
      </c>
      <c r="D282" s="6">
        <f t="shared" ref="D282:G282" si="125">D283+D286</f>
        <v>207425.19689999998</v>
      </c>
      <c r="E282" s="6">
        <f t="shared" si="125"/>
        <v>268020.26979999995</v>
      </c>
      <c r="F282" s="6">
        <f t="shared" si="125"/>
        <v>332966.19758749998</v>
      </c>
      <c r="G282" s="6">
        <f t="shared" si="125"/>
        <v>347100.46187499992</v>
      </c>
    </row>
    <row r="283" spans="1:7" ht="15" customHeight="1" x14ac:dyDescent="0.25">
      <c r="A283" s="11" t="s">
        <v>11</v>
      </c>
      <c r="B283" s="12" t="s">
        <v>254</v>
      </c>
      <c r="C283" s="13">
        <f>C284+C285</f>
        <v>63000</v>
      </c>
      <c r="D283" s="13">
        <f t="shared" ref="D283:G283" si="126">D284+D285</f>
        <v>60000</v>
      </c>
      <c r="E283" s="13">
        <f t="shared" si="126"/>
        <v>60000</v>
      </c>
      <c r="F283" s="13">
        <f t="shared" si="126"/>
        <v>60000</v>
      </c>
      <c r="G283" s="13">
        <f t="shared" si="126"/>
        <v>0</v>
      </c>
    </row>
    <row r="284" spans="1:7" ht="15" customHeight="1" x14ac:dyDescent="0.25">
      <c r="A284" s="19" t="s">
        <v>14</v>
      </c>
      <c r="B284" s="20" t="s">
        <v>255</v>
      </c>
      <c r="C284" s="13">
        <f>C140</f>
        <v>3000</v>
      </c>
      <c r="D284" s="13">
        <f t="shared" ref="D284:F284" si="127">D140</f>
        <v>0</v>
      </c>
      <c r="E284" s="13">
        <f t="shared" si="127"/>
        <v>0</v>
      </c>
      <c r="F284" s="13">
        <f t="shared" si="127"/>
        <v>0</v>
      </c>
      <c r="G284" s="13">
        <f>G140</f>
        <v>0</v>
      </c>
    </row>
    <row r="285" spans="1:7" ht="15" customHeight="1" x14ac:dyDescent="0.25">
      <c r="A285" s="19" t="s">
        <v>26</v>
      </c>
      <c r="B285" s="20" t="s">
        <v>256</v>
      </c>
      <c r="C285" s="13">
        <f>C139</f>
        <v>60000</v>
      </c>
      <c r="D285" s="13">
        <f t="shared" ref="D285:G285" si="128">D139</f>
        <v>60000</v>
      </c>
      <c r="E285" s="13">
        <f t="shared" si="128"/>
        <v>60000</v>
      </c>
      <c r="F285" s="13">
        <f t="shared" si="128"/>
        <v>60000</v>
      </c>
      <c r="G285" s="13">
        <f t="shared" si="128"/>
        <v>0</v>
      </c>
    </row>
    <row r="286" spans="1:7" ht="15" customHeight="1" x14ac:dyDescent="0.25">
      <c r="A286" s="21" t="s">
        <v>15</v>
      </c>
      <c r="B286" s="22" t="s">
        <v>257</v>
      </c>
      <c r="C286" s="13">
        <f>SUM(C287:C291)</f>
        <v>119793.58</v>
      </c>
      <c r="D286" s="13">
        <f t="shared" ref="D286:G286" si="129">SUM(D287:D291)</f>
        <v>147425.19689999998</v>
      </c>
      <c r="E286" s="13">
        <f t="shared" si="129"/>
        <v>208020.26979999995</v>
      </c>
      <c r="F286" s="13">
        <f t="shared" si="129"/>
        <v>272966.19758749998</v>
      </c>
      <c r="G286" s="13">
        <f t="shared" si="129"/>
        <v>347100.46187499992</v>
      </c>
    </row>
    <row r="287" spans="1:7" ht="15" customHeight="1" x14ac:dyDescent="0.25">
      <c r="A287" s="21" t="s">
        <v>16</v>
      </c>
      <c r="B287" s="22" t="s">
        <v>258</v>
      </c>
      <c r="C287" s="13">
        <f>C42</f>
        <v>122264.83</v>
      </c>
      <c r="D287" s="13">
        <f t="shared" ref="D287:G287" si="130">D42</f>
        <v>144160.04999999999</v>
      </c>
      <c r="E287" s="13">
        <f t="shared" si="130"/>
        <v>166055.26999999999</v>
      </c>
      <c r="F287" s="13">
        <f t="shared" si="130"/>
        <v>187950.49</v>
      </c>
      <c r="G287" s="13">
        <f t="shared" si="130"/>
        <v>209845.71</v>
      </c>
    </row>
    <row r="288" spans="1:7" ht="15" customHeight="1" x14ac:dyDescent="0.25">
      <c r="A288" s="19" t="s">
        <v>33</v>
      </c>
      <c r="B288" s="20" t="s">
        <v>259</v>
      </c>
      <c r="C288" s="13"/>
      <c r="D288" s="13"/>
      <c r="E288" s="13"/>
      <c r="F288" s="13"/>
      <c r="G288" s="13"/>
    </row>
    <row r="289" spans="1:8" ht="15" customHeight="1" x14ac:dyDescent="0.25">
      <c r="A289" s="21" t="s">
        <v>40</v>
      </c>
      <c r="B289" s="22" t="s">
        <v>260</v>
      </c>
      <c r="C289" s="13">
        <f>C219</f>
        <v>0</v>
      </c>
      <c r="D289" s="13">
        <f t="shared" ref="D289:G289" si="131">D219</f>
        <v>326.51468999999929</v>
      </c>
      <c r="E289" s="13">
        <f t="shared" si="131"/>
        <v>4474.0374664999981</v>
      </c>
      <c r="F289" s="13">
        <f t="shared" si="131"/>
        <v>12304.502605274996</v>
      </c>
      <c r="G289" s="13">
        <f t="shared" si="131"/>
        <v>24184.302401983743</v>
      </c>
    </row>
    <row r="290" spans="1:8" ht="15" customHeight="1" x14ac:dyDescent="0.25">
      <c r="A290" s="21" t="s">
        <v>41</v>
      </c>
      <c r="B290" s="22" t="s">
        <v>261</v>
      </c>
      <c r="C290" s="13">
        <f>C223</f>
        <v>0</v>
      </c>
      <c r="D290" s="13">
        <f t="shared" ref="D290:G290" si="132">D223</f>
        <v>163.25734499999965</v>
      </c>
      <c r="E290" s="13">
        <f t="shared" si="132"/>
        <v>2237.0187332499991</v>
      </c>
      <c r="F290" s="13">
        <f t="shared" si="132"/>
        <v>6152.2513026374982</v>
      </c>
      <c r="G290" s="13">
        <f t="shared" si="132"/>
        <v>12092.151200991872</v>
      </c>
    </row>
    <row r="291" spans="1:8" ht="15" customHeight="1" x14ac:dyDescent="0.25">
      <c r="A291" s="21" t="s">
        <v>55</v>
      </c>
      <c r="B291" s="22" t="s">
        <v>262</v>
      </c>
      <c r="C291" s="13">
        <f>C227</f>
        <v>-2471.25</v>
      </c>
      <c r="D291" s="13">
        <f t="shared" ref="D291:G291" si="133">D227</f>
        <v>2775.3748649999934</v>
      </c>
      <c r="E291" s="13">
        <f t="shared" si="133"/>
        <v>35253.943600249986</v>
      </c>
      <c r="F291" s="13">
        <f t="shared" si="133"/>
        <v>66558.953679587474</v>
      </c>
      <c r="G291" s="13">
        <f t="shared" si="133"/>
        <v>100978.29827202435</v>
      </c>
    </row>
    <row r="292" spans="1:8" ht="15" customHeight="1" x14ac:dyDescent="0.25">
      <c r="A292" s="22"/>
      <c r="B292" s="22"/>
      <c r="C292" s="22"/>
      <c r="D292" s="22"/>
      <c r="E292" s="22"/>
      <c r="F292" s="22"/>
      <c r="G292" s="22"/>
    </row>
    <row r="293" spans="1:8" ht="15" customHeight="1" x14ac:dyDescent="0.25">
      <c r="A293" s="22"/>
      <c r="B293" s="22" t="s">
        <v>263</v>
      </c>
      <c r="C293" s="22"/>
      <c r="D293" s="22"/>
      <c r="E293" s="22"/>
      <c r="F293" s="22"/>
      <c r="G293" s="22"/>
    </row>
    <row r="294" spans="1:8" ht="15" customHeight="1" x14ac:dyDescent="0.25">
      <c r="A294" s="22"/>
      <c r="B294" s="22" t="s">
        <v>264</v>
      </c>
      <c r="C294" s="22"/>
      <c r="D294" s="22"/>
      <c r="E294" s="22"/>
      <c r="F294" s="22"/>
      <c r="G294" s="22"/>
      <c r="H294" s="25" t="s">
        <v>286</v>
      </c>
    </row>
    <row r="295" spans="1:8" ht="15" customHeight="1" x14ac:dyDescent="0.25">
      <c r="A295" s="22"/>
      <c r="B295" s="22" t="s">
        <v>265</v>
      </c>
      <c r="C295" s="42">
        <f>C283/C273</f>
        <v>0.34465105393745227</v>
      </c>
      <c r="D295" s="42">
        <f t="shared" ref="D295:G295" si="134">D283/D273</f>
        <v>0.28926090415585376</v>
      </c>
      <c r="E295" s="42">
        <f t="shared" si="134"/>
        <v>0.22386366540401118</v>
      </c>
      <c r="F295" s="42">
        <f t="shared" si="134"/>
        <v>0.18019847190113836</v>
      </c>
      <c r="G295" s="42">
        <f t="shared" si="134"/>
        <v>0</v>
      </c>
      <c r="H295" s="43">
        <f>AVERAGE(C295:G295)</f>
        <v>0.2075948190796911</v>
      </c>
    </row>
  </sheetData>
  <mergeCells count="17">
    <mergeCell ref="A1:G1"/>
    <mergeCell ref="A23:G23"/>
    <mergeCell ref="A271:G271"/>
    <mergeCell ref="A156:G156"/>
    <mergeCell ref="A183:G183"/>
    <mergeCell ref="A205:G205"/>
    <mergeCell ref="A235:G235"/>
    <mergeCell ref="H2:L4"/>
    <mergeCell ref="H5:L8"/>
    <mergeCell ref="H12:L15"/>
    <mergeCell ref="H20:L22"/>
    <mergeCell ref="A125:G125"/>
    <mergeCell ref="A35:G35"/>
    <mergeCell ref="A52:G52"/>
    <mergeCell ref="A64:G64"/>
    <mergeCell ref="A83:G83"/>
    <mergeCell ref="A109:G109"/>
  </mergeCells>
  <phoneticPr fontId="1" type="noConversion"/>
  <conditionalFormatting sqref="A178:B178 A181:B181 D181:XFD181 A179:XFD180 A230:A233 H233:XFD233 B231:XFD232 D230:XFD230 A230:B230 A234:B234 D234:XFD234 A1:XFD1 A2:H2 H5 M2:XFD8 H9:XFD9 I16:XFD16 A10:XFD11 A12:H12 M12:XFD15 I23:XFD23 A17:XFD19 A20:H20 M20:XFD22 A21:G23 A182:XFD229 A235:XFD1048576 A3:G9 A13:G16 A24:XFD177 D178:XFD178">
    <cfRule type="cellIs" dxfId="4" priority="5" operator="lessThan">
      <formula>0</formula>
    </cfRule>
  </conditionalFormatting>
  <conditionalFormatting sqref="C178">
    <cfRule type="cellIs" dxfId="3" priority="4" operator="lessThan">
      <formula>0</formula>
    </cfRule>
  </conditionalFormatting>
  <conditionalFormatting sqref="B233 D233:G233">
    <cfRule type="cellIs" dxfId="2" priority="3" operator="lessThan">
      <formula>0</formula>
    </cfRule>
  </conditionalFormatting>
  <conditionalFormatting sqref="C233">
    <cfRule type="cellIs" dxfId="1" priority="2" operator="lessThan">
      <formula>0</formula>
    </cfRule>
  </conditionalFormatting>
  <conditionalFormatting sqref="C2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D8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sty</cp:lastModifiedBy>
  <dcterms:created xsi:type="dcterms:W3CDTF">2021-06-21T14:08:30Z</dcterms:created>
  <dcterms:modified xsi:type="dcterms:W3CDTF">2021-06-26T11:45:14Z</dcterms:modified>
</cp:coreProperties>
</file>