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codeName="ThisWorkbook"/>
  <xr:revisionPtr revIDLastSave="0" documentId="10_ncr:8100000_{EB4683F7-8E10-46A8-BD62-2F3A0463B712}" xr6:coauthVersionLast="33" xr6:coauthVersionMax="33" xr10:uidLastSave="{00000000-0000-0000-0000-000000000000}"/>
  <bookViews>
    <workbookView xWindow="210" yWindow="435" windowWidth="23640" windowHeight="10665" activeTab="1" xr2:uid="{00000000-000D-0000-FFFF-FFFF00000000}"/>
  </bookViews>
  <sheets>
    <sheet name="Cashflow" sheetId="1" r:id="rId1"/>
    <sheet name="Balance" sheetId="2" r:id="rId2"/>
  </sheets>
  <definedNames>
    <definedName name="FiscalYearStartDate" localSheetId="1">Balance!#REF!</definedName>
    <definedName name="FiscalYearStartDate">Cashflow!#REF!</definedName>
    <definedName name="_xlnm.Print_Area" localSheetId="1">Balance!$A$1:$N$30</definedName>
    <definedName name="_xlnm.Print_Area" localSheetId="0">Cashflow!$A$1:$N$29</definedName>
  </definedNames>
  <calcPr calcId="162913"/>
</workbook>
</file>

<file path=xl/calcChain.xml><?xml version="1.0" encoding="utf-8"?>
<calcChain xmlns="http://schemas.openxmlformats.org/spreadsheetml/2006/main">
  <c r="H34" i="2" l="1"/>
  <c r="G34" i="2"/>
  <c r="F34" i="2"/>
  <c r="E34" i="2"/>
  <c r="D34" i="2"/>
  <c r="D30" i="2"/>
  <c r="H57" i="2"/>
  <c r="G57" i="2"/>
  <c r="F57" i="2"/>
  <c r="E57" i="2"/>
  <c r="D57" i="2"/>
  <c r="H27" i="2" l="1"/>
  <c r="G27" i="2"/>
  <c r="F27" i="2"/>
  <c r="E27" i="2"/>
  <c r="D27" i="2"/>
  <c r="E28" i="2"/>
  <c r="F28" i="2" s="1"/>
  <c r="G28" i="2" s="1"/>
  <c r="H28" i="2" s="1"/>
  <c r="D28" i="2"/>
  <c r="G58" i="2" l="1"/>
  <c r="D58" i="2"/>
  <c r="H58" i="2"/>
  <c r="F58" i="2"/>
  <c r="E13" i="1" l="1"/>
  <c r="E11" i="1"/>
  <c r="F11" i="1"/>
  <c r="G11" i="1"/>
  <c r="H11" i="1"/>
  <c r="I11" i="1"/>
  <c r="R9" i="1" l="1"/>
  <c r="E58" i="2" l="1"/>
  <c r="I19" i="1" l="1"/>
  <c r="I13" i="1" s="1"/>
  <c r="H19" i="1"/>
  <c r="H13" i="1" s="1"/>
  <c r="G19" i="1"/>
  <c r="G13" i="1" s="1"/>
  <c r="F19" i="1"/>
  <c r="F13" i="1" s="1"/>
  <c r="E19" i="1"/>
  <c r="E17" i="1"/>
  <c r="I47" i="1"/>
  <c r="H47" i="1"/>
  <c r="G47" i="1"/>
  <c r="F47" i="1"/>
  <c r="E47" i="1"/>
  <c r="I17" i="1"/>
  <c r="H17" i="1"/>
  <c r="G17" i="1"/>
  <c r="F17" i="1"/>
  <c r="D43" i="2" l="1"/>
  <c r="H50" i="2" l="1"/>
  <c r="H44" i="2"/>
  <c r="H23" i="2"/>
  <c r="H16" i="2"/>
  <c r="H11" i="2"/>
  <c r="G50" i="2"/>
  <c r="G44" i="2"/>
  <c r="G23" i="2"/>
  <c r="G11" i="2"/>
  <c r="F50" i="2"/>
  <c r="F44" i="2"/>
  <c r="F30" i="2"/>
  <c r="F23" i="2"/>
  <c r="F16" i="2"/>
  <c r="E50" i="2"/>
  <c r="E44" i="2"/>
  <c r="E30" i="2"/>
  <c r="E23" i="2"/>
  <c r="E16" i="2"/>
  <c r="G16" i="2"/>
  <c r="F11" i="2"/>
  <c r="D16" i="2"/>
  <c r="C16" i="2"/>
  <c r="E11" i="2"/>
  <c r="D11" i="2"/>
  <c r="C11" i="2"/>
  <c r="C30" i="2"/>
  <c r="H30" i="2" l="1"/>
  <c r="G30" i="2"/>
  <c r="G52" i="2"/>
  <c r="G60" i="2" s="1"/>
  <c r="E52" i="2"/>
  <c r="E60" i="2" s="1"/>
  <c r="F52" i="2"/>
  <c r="F60" i="2" s="1"/>
  <c r="H52" i="2"/>
  <c r="H60" i="2" s="1"/>
  <c r="C58" i="2"/>
  <c r="D50" i="2"/>
  <c r="C50" i="2"/>
  <c r="D44" i="2"/>
  <c r="C44" i="2"/>
  <c r="D23" i="2"/>
  <c r="C23" i="2"/>
  <c r="C34" i="2" s="1"/>
  <c r="D52" i="2" l="1"/>
  <c r="D60" i="2" s="1"/>
  <c r="C52" i="2"/>
  <c r="C60" i="2" s="1"/>
  <c r="G51" i="1" l="1"/>
  <c r="R29" i="1" l="1"/>
  <c r="R30" i="1"/>
  <c r="R26" i="1"/>
  <c r="R22" i="1"/>
  <c r="R10" i="1"/>
  <c r="R7" i="1"/>
  <c r="R8" i="1"/>
  <c r="I23" i="1" l="1"/>
  <c r="F23" i="1"/>
  <c r="F31" i="1"/>
  <c r="R18" i="1"/>
  <c r="I31" i="1" l="1"/>
  <c r="H31" i="1"/>
  <c r="G31" i="1"/>
  <c r="E31" i="1"/>
  <c r="G23" i="1"/>
  <c r="E23" i="1"/>
  <c r="R50" i="1"/>
  <c r="R49" i="1"/>
  <c r="R48" i="1"/>
  <c r="R47" i="1"/>
  <c r="R43" i="1"/>
  <c r="R42" i="1"/>
  <c r="R41" i="1"/>
  <c r="R37" i="1"/>
  <c r="R36" i="1"/>
  <c r="R35" i="1"/>
  <c r="R34" i="1"/>
  <c r="R27" i="1"/>
  <c r="R28" i="1"/>
  <c r="R21" i="1"/>
  <c r="R20" i="1"/>
  <c r="R19" i="1"/>
  <c r="R17" i="1"/>
  <c r="R16" i="1"/>
  <c r="R15" i="1"/>
  <c r="R14" i="1"/>
  <c r="R11" i="1" l="1"/>
  <c r="I51" i="1"/>
  <c r="H51" i="1"/>
  <c r="F51" i="1"/>
  <c r="E51" i="1"/>
  <c r="I44" i="1"/>
  <c r="H44" i="1"/>
  <c r="G44" i="1"/>
  <c r="F44" i="1"/>
  <c r="E44" i="1"/>
  <c r="I38" i="1"/>
  <c r="H38" i="1"/>
  <c r="G38" i="1"/>
  <c r="G54" i="1" s="1"/>
  <c r="F38" i="1"/>
  <c r="E38" i="1"/>
  <c r="E54" i="1" l="1"/>
  <c r="F54" i="1"/>
  <c r="R38" i="1"/>
  <c r="R44" i="1"/>
  <c r="R51" i="1"/>
  <c r="I54" i="1" l="1"/>
  <c r="H23" i="1"/>
  <c r="H54" i="1" s="1"/>
  <c r="R54" i="1" l="1"/>
  <c r="R23" i="1"/>
  <c r="E53" i="1"/>
  <c r="E55" i="1" s="1"/>
  <c r="R31" i="1"/>
  <c r="F4" i="1" l="1"/>
  <c r="F53" i="1" l="1"/>
  <c r="F55" i="1" l="1"/>
  <c r="G4" i="1" l="1"/>
  <c r="G53" i="1" l="1"/>
  <c r="G55" i="1" l="1"/>
  <c r="H4" i="1" l="1"/>
  <c r="H53" i="1" l="1"/>
  <c r="H55" i="1" l="1"/>
  <c r="I4" i="1" l="1"/>
  <c r="I53" i="1" l="1"/>
  <c r="R4" i="1"/>
  <c r="I55" i="1" l="1"/>
  <c r="R55" i="1" s="1"/>
  <c r="R53" i="1"/>
</calcChain>
</file>

<file path=xl/sharedStrings.xml><?xml version="1.0" encoding="utf-8"?>
<sst xmlns="http://schemas.openxmlformats.org/spreadsheetml/2006/main" count="109" uniqueCount="92">
  <si>
    <t>Vault Cash (Month's Beginning)</t>
    <phoneticPr fontId="7" type="noConversion"/>
  </si>
  <si>
    <t>Total</t>
    <phoneticPr fontId="7" type="noConversion"/>
  </si>
  <si>
    <t>Purchase（Equipment）</t>
    <phoneticPr fontId="7" type="noConversion"/>
  </si>
  <si>
    <t>Purchase（Software）</t>
    <phoneticPr fontId="7" type="noConversion"/>
  </si>
  <si>
    <t>Wage (Labor Cost)</t>
    <phoneticPr fontId="7" type="noConversion"/>
  </si>
  <si>
    <t>SG&amp;A Expense</t>
    <phoneticPr fontId="7" type="noConversion"/>
  </si>
  <si>
    <t>Tax</t>
    <phoneticPr fontId="7" type="noConversion"/>
  </si>
  <si>
    <t>Interest</t>
    <phoneticPr fontId="7" type="noConversion"/>
  </si>
  <si>
    <t>Subtotal</t>
    <phoneticPr fontId="7" type="noConversion"/>
  </si>
  <si>
    <t>Operating Cash Income</t>
    <phoneticPr fontId="7" type="noConversion"/>
  </si>
  <si>
    <t>Purchase（trading securities）</t>
    <phoneticPr fontId="7" type="noConversion"/>
  </si>
  <si>
    <t>Other Operating Expense</t>
    <phoneticPr fontId="7" type="noConversion"/>
  </si>
  <si>
    <t>Investing Cash Income</t>
    <phoneticPr fontId="7" type="noConversion"/>
  </si>
  <si>
    <t xml:space="preserve">Sale proceeds from fixed assets </t>
    <phoneticPr fontId="7" type="noConversion"/>
  </si>
  <si>
    <t xml:space="preserve">Cash collected from customers </t>
    <phoneticPr fontId="7" type="noConversion"/>
  </si>
  <si>
    <t xml:space="preserve">Interest and dividends received </t>
    <phoneticPr fontId="7" type="noConversion"/>
  </si>
  <si>
    <t>Principal received from loans made to others</t>
    <phoneticPr fontId="7" type="noConversion"/>
  </si>
  <si>
    <t>Other Operating Income</t>
    <phoneticPr fontId="7" type="noConversion"/>
  </si>
  <si>
    <t>Other Investing Income</t>
    <phoneticPr fontId="7" type="noConversion"/>
  </si>
  <si>
    <t>Investing Cash Expense</t>
    <phoneticPr fontId="7" type="noConversion"/>
  </si>
  <si>
    <t>Acquisition of fixed assets</t>
    <phoneticPr fontId="7" type="noConversion"/>
  </si>
  <si>
    <t>Loans made to others</t>
    <phoneticPr fontId="7" type="noConversion"/>
  </si>
  <si>
    <t>Financing Cash Income</t>
    <phoneticPr fontId="7" type="noConversion"/>
  </si>
  <si>
    <t>Financing Cash Expense</t>
    <phoneticPr fontId="7" type="noConversion"/>
  </si>
  <si>
    <t xml:space="preserve">Received principal amounts of debt issued </t>
    <phoneticPr fontId="7" type="noConversion"/>
  </si>
  <si>
    <t xml:space="preserve">Proceeds from issuing stock </t>
    <phoneticPr fontId="7" type="noConversion"/>
  </si>
  <si>
    <t>Principal paid on debt</t>
    <phoneticPr fontId="7" type="noConversion"/>
  </si>
  <si>
    <t>Payments to reacquire stock</t>
    <phoneticPr fontId="7" type="noConversion"/>
  </si>
  <si>
    <t>Dividends paid to shareholders</t>
    <phoneticPr fontId="7" type="noConversion"/>
  </si>
  <si>
    <t>Other Financing Income</t>
    <phoneticPr fontId="7" type="noConversion"/>
  </si>
  <si>
    <t>Total Cash Income</t>
    <phoneticPr fontId="7" type="noConversion"/>
  </si>
  <si>
    <t>Total Cash Expense</t>
    <phoneticPr fontId="7" type="noConversion"/>
  </si>
  <si>
    <t>Net Cash Flow</t>
    <phoneticPr fontId="7" type="noConversion"/>
  </si>
  <si>
    <t>Year 0</t>
    <phoneticPr fontId="7" type="noConversion"/>
  </si>
  <si>
    <t>Year 1</t>
    <phoneticPr fontId="7" type="noConversion"/>
  </si>
  <si>
    <t>Year 2</t>
    <phoneticPr fontId="7" type="noConversion"/>
  </si>
  <si>
    <t>Year 3</t>
    <phoneticPr fontId="7" type="noConversion"/>
  </si>
  <si>
    <t>Year 4</t>
    <phoneticPr fontId="7" type="noConversion"/>
  </si>
  <si>
    <t>The fiscal year</t>
    <phoneticPr fontId="7" type="noConversion"/>
  </si>
  <si>
    <t>Overhead</t>
    <phoneticPr fontId="7" type="noConversion"/>
  </si>
  <si>
    <t>Operating Cash Expense</t>
    <phoneticPr fontId="7" type="noConversion"/>
  </si>
  <si>
    <t>Cash Flow Diagram</t>
    <phoneticPr fontId="7" type="noConversion"/>
  </si>
  <si>
    <t>Acquisition of debt&amp;equity investments</t>
    <phoneticPr fontId="7" type="noConversion"/>
  </si>
  <si>
    <t>Other Investing Expense</t>
    <phoneticPr fontId="7" type="noConversion"/>
  </si>
  <si>
    <t>Other Financing Expense</t>
    <phoneticPr fontId="7" type="noConversion"/>
  </si>
  <si>
    <t>Year 5</t>
    <phoneticPr fontId="7" type="noConversion"/>
  </si>
  <si>
    <t>Year 0</t>
    <phoneticPr fontId="20" type="noConversion"/>
  </si>
  <si>
    <t>Year 1</t>
    <phoneticPr fontId="20" type="noConversion"/>
  </si>
  <si>
    <t>Year 2</t>
    <phoneticPr fontId="20" type="noConversion"/>
  </si>
  <si>
    <t>Year 3</t>
    <phoneticPr fontId="20" type="noConversion"/>
  </si>
  <si>
    <t>Year 4</t>
    <phoneticPr fontId="20" type="noConversion"/>
  </si>
  <si>
    <t>Year 5</t>
    <phoneticPr fontId="20" type="noConversion"/>
  </si>
  <si>
    <t>Inventory</t>
    <phoneticPr fontId="20" type="noConversion"/>
  </si>
  <si>
    <t>Accounts Receivable</t>
    <phoneticPr fontId="20" type="noConversion"/>
  </si>
  <si>
    <t>Prepaid Expenses</t>
    <phoneticPr fontId="20" type="noConversion"/>
  </si>
  <si>
    <t>Others</t>
    <phoneticPr fontId="20" type="noConversion"/>
  </si>
  <si>
    <t>Assets and Equipment</t>
    <phoneticPr fontId="20" type="noConversion"/>
  </si>
  <si>
    <t>Fixed Assets</t>
    <phoneticPr fontId="20" type="noConversion"/>
  </si>
  <si>
    <t>Lease Asset Improvement Investment</t>
    <phoneticPr fontId="20" type="noConversion"/>
  </si>
  <si>
    <t>Subtotal</t>
    <phoneticPr fontId="20" type="noConversion"/>
  </si>
  <si>
    <t>Total Assets</t>
    <phoneticPr fontId="20" type="noConversion"/>
  </si>
  <si>
    <t>Accounts Payable</t>
    <phoneticPr fontId="20" type="noConversion"/>
  </si>
  <si>
    <t>Short-term Investments</t>
    <phoneticPr fontId="20" type="noConversion"/>
  </si>
  <si>
    <t>Long-term Equity and Other Investments</t>
    <phoneticPr fontId="20" type="noConversion"/>
  </si>
  <si>
    <t>Intangible Assets</t>
    <phoneticPr fontId="20" type="noConversion"/>
  </si>
  <si>
    <t>Software</t>
    <phoneticPr fontId="20" type="noConversion"/>
  </si>
  <si>
    <t>Accumulated Depreciation(-)</t>
    <phoneticPr fontId="20" type="noConversion"/>
  </si>
  <si>
    <t>Accumulated Amortization(-)</t>
    <phoneticPr fontId="20" type="noConversion"/>
  </si>
  <si>
    <t>Tax Payable</t>
    <phoneticPr fontId="20" type="noConversion"/>
  </si>
  <si>
    <t>Deposit Received</t>
    <phoneticPr fontId="20" type="noConversion"/>
  </si>
  <si>
    <t>Wages Payable</t>
    <phoneticPr fontId="20" type="noConversion"/>
  </si>
  <si>
    <t>Long-term Loan</t>
    <phoneticPr fontId="20" type="noConversion"/>
  </si>
  <si>
    <t>Interest Payable</t>
    <phoneticPr fontId="20" type="noConversion"/>
  </si>
  <si>
    <t>Long-term Liabilities</t>
    <phoneticPr fontId="20" type="noConversion"/>
  </si>
  <si>
    <t>Long-term Assets</t>
    <phoneticPr fontId="20" type="noConversion"/>
  </si>
  <si>
    <t>Cash and Cash Equivalents</t>
    <phoneticPr fontId="20" type="noConversion"/>
  </si>
  <si>
    <t>Current Assets</t>
    <phoneticPr fontId="20" type="noConversion"/>
  </si>
  <si>
    <t>Short-term Loan</t>
    <phoneticPr fontId="20" type="noConversion"/>
  </si>
  <si>
    <t>Current Liabilities</t>
    <phoneticPr fontId="20" type="noConversion"/>
  </si>
  <si>
    <t>Total  Liabilities</t>
    <phoneticPr fontId="20" type="noConversion"/>
  </si>
  <si>
    <t>Owners' Equity</t>
    <phoneticPr fontId="20" type="noConversion"/>
  </si>
  <si>
    <t>Net Paid-in Capital</t>
    <phoneticPr fontId="20" type="noConversion"/>
  </si>
  <si>
    <t>Capital Reserve</t>
    <phoneticPr fontId="20" type="noConversion"/>
  </si>
  <si>
    <t>Retained Earnings</t>
    <phoneticPr fontId="20" type="noConversion"/>
  </si>
  <si>
    <t>Total Liabilities and Equity</t>
    <phoneticPr fontId="20" type="noConversion"/>
  </si>
  <si>
    <t>Balance Sheet</t>
    <phoneticPr fontId="21" type="noConversion"/>
  </si>
  <si>
    <t xml:space="preserve">Sale proceeds from equity </t>
    <phoneticPr fontId="7" type="noConversion"/>
  </si>
  <si>
    <t>Sale proceeds from debt</t>
    <phoneticPr fontId="7" type="noConversion"/>
  </si>
  <si>
    <t>Dividend Payable</t>
    <phoneticPr fontId="20" type="noConversion"/>
  </si>
  <si>
    <t>Tax Return</t>
    <phoneticPr fontId="7" type="noConversion"/>
  </si>
  <si>
    <t>Goodwill</t>
    <phoneticPr fontId="20" type="noConversion"/>
  </si>
  <si>
    <t>Dec.30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</si>
</sst>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 &quot;¥&quot;* #,##0.00_ ;_ &quot;¥&quot;* \-#,##0.00_ ;_ &quot;¥&quot;* &quot;-&quot;??_ ;_ @_ "/>
    <numFmt numFmtId="176" formatCode="mmm"/>
    <numFmt numFmtId="177" formatCode="0_);\!\-0_)"/>
    <numFmt numFmtId="178" formatCode="&quot;¥&quot;#,##0.00_);[Red]\(&quot;¥&quot;#,##0.00\)"/>
    <numFmt numFmtId="179" formatCode="#,##0_ ;[Red]\-#,##0\ "/>
    <numFmt numFmtId="180" formatCode="0_);\-0_)"/>
  </numFmts>
  <fonts count="27" x14ac:knownFonts="1">
    <font>
      <sz val="10"/>
      <color theme="1" tint="0.14996795556505021"/>
      <name val="Franklin Gothic Medium"/>
      <family val="2"/>
      <scheme val="minor"/>
    </font>
    <font>
      <sz val="10"/>
      <color theme="1" tint="0.14999847407452621"/>
      <name val="Franklin Gothic Medium"/>
      <family val="2"/>
      <scheme val="minor"/>
    </font>
    <font>
      <b/>
      <sz val="28"/>
      <color theme="4"/>
      <name val="Franklin Gothic Medium"/>
      <family val="2"/>
      <scheme val="major"/>
    </font>
    <font>
      <sz val="18"/>
      <color theme="1" tint="0.14996795556505021"/>
      <name val="Franklin Gothic Medium"/>
      <family val="2"/>
      <scheme val="major"/>
    </font>
    <font>
      <sz val="11"/>
      <color theme="1" tint="0.14975432599871821"/>
      <name val="Franklin Gothic Medium"/>
      <family val="2"/>
      <scheme val="major"/>
    </font>
    <font>
      <sz val="12"/>
      <color theme="3"/>
      <name val="Franklin Gothic Medium"/>
      <family val="2"/>
      <scheme val="major"/>
    </font>
    <font>
      <sz val="11"/>
      <color theme="1" tint="0.14993743705557422"/>
      <name val="Franklin Gothic Medium"/>
      <family val="2"/>
      <scheme val="major"/>
    </font>
    <font>
      <sz val="9"/>
      <name val="Franklin Gothic Medium"/>
      <family val="3"/>
      <charset val="134"/>
      <scheme val="minor"/>
    </font>
    <font>
      <b/>
      <sz val="28"/>
      <color theme="4"/>
      <name val="Microsoft YaHei UI"/>
      <family val="2"/>
      <charset val="134"/>
    </font>
    <font>
      <sz val="10"/>
      <color theme="1" tint="0.14996795556505021"/>
      <name val="Microsoft YaHei UI"/>
      <family val="2"/>
      <charset val="134"/>
    </font>
    <font>
      <b/>
      <sz val="11"/>
      <color theme="4" tint="-0.249977111117893"/>
      <name val="Microsoft YaHei UI"/>
      <family val="2"/>
      <charset val="134"/>
    </font>
    <font>
      <b/>
      <sz val="14"/>
      <color theme="1" tint="0.14975432599871821"/>
      <name val="Microsoft YaHei UI"/>
      <family val="2"/>
      <charset val="134"/>
    </font>
    <font>
      <sz val="18"/>
      <color theme="1" tint="0.14996795556505021"/>
      <name val="Microsoft YaHei UI"/>
      <family val="2"/>
      <charset val="134"/>
    </font>
    <font>
      <b/>
      <sz val="12"/>
      <color theme="1" tint="0.14999847407452621"/>
      <name val="Microsoft YaHei UI"/>
      <family val="2"/>
      <charset val="134"/>
    </font>
    <font>
      <sz val="10"/>
      <color theme="1" tint="0.14999847407452621"/>
      <name val="Microsoft YaHei UI"/>
      <family val="2"/>
      <charset val="134"/>
    </font>
    <font>
      <b/>
      <sz val="11"/>
      <color theme="1" tint="0.14975432599871821"/>
      <name val="Microsoft YaHei UI"/>
      <family val="2"/>
      <charset val="134"/>
    </font>
    <font>
      <sz val="11"/>
      <color theme="1" tint="0.149754325998718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0"/>
      <color theme="1" tint="0.14996795556505021"/>
      <name val="Franklin Gothic Medium"/>
      <family val="2"/>
      <scheme val="minor"/>
    </font>
    <font>
      <sz val="9"/>
      <name val="宋体"/>
      <family val="3"/>
      <charset val="134"/>
      <scheme val="minor"/>
    </font>
    <font>
      <sz val="9"/>
      <name val="Microsoft YaHei UI"/>
      <family val="2"/>
      <charset val="134"/>
    </font>
    <font>
      <sz val="11"/>
      <color theme="1" tint="0.1498764000366222"/>
      <name val="Microsoft YaHei UI"/>
      <family val="2"/>
      <charset val="134"/>
    </font>
    <font>
      <sz val="11"/>
      <color theme="1" tint="0.14972380748924222"/>
      <name val="Microsoft YaHei UI"/>
      <family val="2"/>
      <charset val="134"/>
    </font>
    <font>
      <sz val="10"/>
      <color theme="1" tint="0.14999847407452621"/>
      <name val="Calibri"/>
      <family val="2"/>
      <scheme val="minor"/>
    </font>
    <font>
      <sz val="18"/>
      <color theme="1" tint="0.1498764000366222"/>
      <name val="Microsoft YaHei UI"/>
      <family val="2"/>
      <charset val="134"/>
    </font>
    <font>
      <sz val="20"/>
      <color theme="1" tint="0.14996795556505021"/>
      <name val="Franklin Gothic Medium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theme="1" tint="0.14996795556505021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medium">
        <color theme="4" tint="0.39994506668294322"/>
      </bottom>
      <diagonal/>
    </border>
    <border>
      <left/>
      <right style="dotted">
        <color theme="0" tint="-0.34998626667073579"/>
      </right>
      <top/>
      <bottom style="medium">
        <color theme="4" tint="0.39994506668294322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4"/>
      </bottom>
      <diagonal/>
    </border>
    <border>
      <left style="dotted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77" fontId="1" fillId="3" borderId="8" applyFont="0" applyAlignment="0">
      <alignment vertical="center"/>
    </xf>
    <xf numFmtId="176" fontId="3" fillId="0" borderId="2">
      <alignment horizontal="right" vertical="center" wrapText="1" indent="1"/>
    </xf>
    <xf numFmtId="44" fontId="19" fillId="0" borderId="0" applyFont="0" applyFill="0" applyBorder="0" applyAlignment="0" applyProtection="0">
      <alignment vertical="center"/>
    </xf>
    <xf numFmtId="0" fontId="22" fillId="0" borderId="11">
      <alignment horizontal="right" vertical="center" wrapText="1" indent="1"/>
    </xf>
    <xf numFmtId="180" fontId="24" fillId="3" borderId="8" applyFont="0" applyAlignment="0">
      <alignment vertical="center"/>
    </xf>
  </cellStyleXfs>
  <cellXfs count="79">
    <xf numFmtId="0" fontId="0" fillId="0" borderId="0" xfId="0">
      <alignment vertical="center"/>
    </xf>
    <xf numFmtId="0" fontId="8" fillId="0" borderId="1" xfId="1" applyFont="1" applyBorder="1"/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right"/>
    </xf>
    <xf numFmtId="0" fontId="9" fillId="0" borderId="0" xfId="0" applyFont="1">
      <alignment vertical="center"/>
    </xf>
    <xf numFmtId="0" fontId="9" fillId="2" borderId="7" xfId="0" applyFont="1" applyFill="1" applyBorder="1">
      <alignment vertical="center"/>
    </xf>
    <xf numFmtId="0" fontId="11" fillId="0" borderId="0" xfId="2" applyFont="1"/>
    <xf numFmtId="176" fontId="12" fillId="0" borderId="2" xfId="6" applyFont="1">
      <alignment horizontal="right" vertical="center" wrapText="1" indent="1"/>
    </xf>
    <xf numFmtId="176" fontId="13" fillId="2" borderId="6" xfId="0" applyNumberFormat="1" applyFont="1" applyFill="1" applyBorder="1" applyAlignment="1">
      <alignment horizontal="right" vertical="center" wrapText="1" indent="1"/>
    </xf>
    <xf numFmtId="3" fontId="13" fillId="0" borderId="2" xfId="0" applyNumberFormat="1" applyFont="1" applyFill="1" applyBorder="1" applyAlignment="1">
      <alignment horizontal="right" vertical="center" wrapText="1" indent="1"/>
    </xf>
    <xf numFmtId="0" fontId="9" fillId="0" borderId="0" xfId="0" applyFont="1" applyFill="1" applyBorder="1">
      <alignment vertical="center"/>
    </xf>
    <xf numFmtId="177" fontId="15" fillId="0" borderId="9" xfId="2" applyNumberFormat="1" applyFont="1" applyFill="1" applyBorder="1" applyAlignment="1">
      <alignment horizontal="left" vertical="center"/>
    </xf>
    <xf numFmtId="0" fontId="9" fillId="2" borderId="5" xfId="0" applyFont="1" applyFill="1" applyBorder="1">
      <alignment vertical="center"/>
    </xf>
    <xf numFmtId="0" fontId="16" fillId="0" borderId="0" xfId="2" applyFont="1" applyAlignment="1">
      <alignment vertical="center"/>
    </xf>
    <xf numFmtId="177" fontId="17" fillId="0" borderId="0" xfId="0" applyNumberFormat="1" applyFont="1" applyAlignment="1">
      <alignment horizontal="left" vertical="center" indent="1"/>
    </xf>
    <xf numFmtId="177" fontId="9" fillId="0" borderId="0" xfId="0" applyNumberFormat="1" applyFont="1" applyAlignment="1">
      <alignment horizontal="right" vertical="center"/>
    </xf>
    <xf numFmtId="177" fontId="9" fillId="2" borderId="5" xfId="0" applyNumberFormat="1" applyFont="1" applyFill="1" applyBorder="1">
      <alignment vertical="center"/>
    </xf>
    <xf numFmtId="177" fontId="9" fillId="0" borderId="0" xfId="0" applyNumberFormat="1" applyFont="1">
      <alignment vertical="center"/>
    </xf>
    <xf numFmtId="0" fontId="9" fillId="2" borderId="4" xfId="0" applyFont="1" applyFill="1" applyBorder="1">
      <alignment vertical="center"/>
    </xf>
    <xf numFmtId="177" fontId="18" fillId="0" borderId="0" xfId="0" applyNumberFormat="1" applyFont="1" applyAlignment="1">
      <alignment horizontal="left" vertical="center" indent="1"/>
    </xf>
    <xf numFmtId="0" fontId="9" fillId="2" borderId="3" xfId="0" applyFont="1" applyFill="1" applyBorder="1">
      <alignment vertical="center"/>
    </xf>
    <xf numFmtId="0" fontId="9" fillId="2" borderId="0" xfId="0" applyFont="1" applyFill="1">
      <alignment vertical="center"/>
    </xf>
    <xf numFmtId="0" fontId="16" fillId="0" borderId="0" xfId="2" applyFont="1" applyAlignment="1">
      <alignment horizontal="left"/>
    </xf>
    <xf numFmtId="0" fontId="17" fillId="0" borderId="0" xfId="0" applyFont="1" applyFill="1" applyBorder="1" applyAlignment="1">
      <alignment horizontal="left" vertical="center" indent="1"/>
    </xf>
    <xf numFmtId="177" fontId="9" fillId="0" borderId="0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>
      <alignment vertical="center"/>
    </xf>
    <xf numFmtId="3" fontId="9" fillId="0" borderId="0" xfId="0" applyNumberFormat="1" applyFont="1" applyFill="1" applyBorder="1">
      <alignment vertical="center"/>
    </xf>
    <xf numFmtId="0" fontId="9" fillId="0" borderId="0" xfId="0" applyFont="1" applyFill="1" applyBorder="1" applyAlignment="1">
      <alignment horizontal="left" vertical="center" indent="1"/>
    </xf>
    <xf numFmtId="177" fontId="9" fillId="0" borderId="0" xfId="0" applyNumberFormat="1" applyFont="1" applyFill="1" applyBorder="1" applyAlignment="1">
      <alignment vertical="center"/>
    </xf>
    <xf numFmtId="177" fontId="9" fillId="2" borderId="5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177" fontId="18" fillId="4" borderId="9" xfId="0" applyNumberFormat="1" applyFont="1" applyFill="1" applyBorder="1" applyAlignment="1">
      <alignment horizontal="left" vertical="center" indent="1"/>
    </xf>
    <xf numFmtId="0" fontId="9" fillId="2" borderId="10" xfId="0" applyFont="1" applyFill="1" applyBorder="1">
      <alignment vertical="center"/>
    </xf>
    <xf numFmtId="177" fontId="9" fillId="4" borderId="8" xfId="0" applyNumberFormat="1" applyFont="1" applyFill="1" applyBorder="1">
      <alignment vertical="center"/>
    </xf>
    <xf numFmtId="177" fontId="9" fillId="2" borderId="6" xfId="0" applyNumberFormat="1" applyFont="1" applyFill="1" applyBorder="1">
      <alignment vertical="center"/>
    </xf>
    <xf numFmtId="0" fontId="9" fillId="0" borderId="8" xfId="0" applyFont="1" applyFill="1" applyBorder="1">
      <alignment vertical="center"/>
    </xf>
    <xf numFmtId="177" fontId="17" fillId="0" borderId="0" xfId="0" applyNumberFormat="1" applyFont="1" applyAlignment="1">
      <alignment horizontal="left" vertical="center" wrapText="1" indent="1"/>
    </xf>
    <xf numFmtId="177" fontId="18" fillId="2" borderId="9" xfId="0" applyNumberFormat="1" applyFont="1" applyFill="1" applyBorder="1" applyAlignment="1">
      <alignment horizontal="left" vertical="center" indent="1"/>
    </xf>
    <xf numFmtId="177" fontId="9" fillId="2" borderId="8" xfId="0" applyNumberFormat="1" applyFont="1" applyFill="1" applyBorder="1">
      <alignment vertical="center"/>
    </xf>
    <xf numFmtId="178" fontId="14" fillId="0" borderId="8" xfId="0" applyNumberFormat="1" applyFont="1" applyFill="1" applyBorder="1" applyAlignment="1">
      <alignment horizontal="right" vertical="center"/>
    </xf>
    <xf numFmtId="178" fontId="14" fillId="2" borderId="6" xfId="0" applyNumberFormat="1" applyFont="1" applyFill="1" applyBorder="1" applyAlignment="1">
      <alignment horizontal="right"/>
    </xf>
    <xf numFmtId="178" fontId="9" fillId="0" borderId="0" xfId="0" applyNumberFormat="1" applyFont="1" applyAlignment="1">
      <alignment horizontal="right" vertical="center"/>
    </xf>
    <xf numFmtId="178" fontId="9" fillId="0" borderId="0" xfId="0" applyNumberFormat="1" applyFont="1">
      <alignment vertical="center"/>
    </xf>
    <xf numFmtId="178" fontId="9" fillId="4" borderId="8" xfId="0" applyNumberFormat="1" applyFont="1" applyFill="1" applyBorder="1">
      <alignment vertical="center"/>
    </xf>
    <xf numFmtId="178" fontId="9" fillId="0" borderId="0" xfId="0" applyNumberFormat="1" applyFont="1" applyFill="1" applyBorder="1" applyAlignment="1">
      <alignment horizontal="right" vertical="center"/>
    </xf>
    <xf numFmtId="178" fontId="9" fillId="0" borderId="0" xfId="0" applyNumberFormat="1" applyFont="1" applyFill="1" applyBorder="1" applyAlignment="1">
      <alignment vertical="center"/>
    </xf>
    <xf numFmtId="178" fontId="9" fillId="2" borderId="8" xfId="0" applyNumberFormat="1" applyFont="1" applyFill="1" applyBorder="1">
      <alignment vertical="center"/>
    </xf>
    <xf numFmtId="3" fontId="9" fillId="0" borderId="5" xfId="0" applyNumberFormat="1" applyFont="1" applyFill="1" applyBorder="1">
      <alignment vertical="center"/>
    </xf>
    <xf numFmtId="178" fontId="9" fillId="2" borderId="5" xfId="0" applyNumberFormat="1" applyFont="1" applyFill="1" applyBorder="1">
      <alignment vertical="center"/>
    </xf>
    <xf numFmtId="178" fontId="9" fillId="2" borderId="5" xfId="0" applyNumberFormat="1" applyFont="1" applyFill="1" applyBorder="1" applyAlignment="1">
      <alignment vertical="center"/>
    </xf>
    <xf numFmtId="178" fontId="14" fillId="0" borderId="8" xfId="7" applyNumberFormat="1" applyFont="1" applyFill="1" applyBorder="1" applyAlignment="1">
      <alignment horizontal="right" vertical="center"/>
    </xf>
    <xf numFmtId="178" fontId="9" fillId="0" borderId="0" xfId="7" applyNumberFormat="1" applyFont="1">
      <alignment vertical="center"/>
    </xf>
    <xf numFmtId="178" fontId="14" fillId="4" borderId="8" xfId="7" applyNumberFormat="1" applyFont="1" applyFill="1" applyBorder="1" applyAlignment="1">
      <alignment horizontal="right" vertical="center"/>
    </xf>
    <xf numFmtId="178" fontId="9" fillId="0" borderId="0" xfId="7" applyNumberFormat="1" applyFont="1" applyFill="1" applyBorder="1">
      <alignment vertical="center"/>
    </xf>
    <xf numFmtId="178" fontId="14" fillId="2" borderId="8" xfId="7" applyNumberFormat="1" applyFont="1" applyFill="1" applyBorder="1" applyAlignment="1">
      <alignment horizontal="right" vertical="center"/>
    </xf>
    <xf numFmtId="9" fontId="9" fillId="0" borderId="0" xfId="0" applyNumberFormat="1" applyFont="1">
      <alignment vertical="center"/>
    </xf>
    <xf numFmtId="0" fontId="8" fillId="0" borderId="1" xfId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3" fillId="0" borderId="0" xfId="2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indent="1"/>
    </xf>
    <xf numFmtId="179" fontId="0" fillId="0" borderId="0" xfId="0" applyNumberFormat="1" applyFont="1" applyFill="1" applyBorder="1" applyAlignment="1">
      <alignment vertical="center"/>
    </xf>
    <xf numFmtId="179" fontId="9" fillId="0" borderId="0" xfId="0" applyNumberFormat="1" applyFont="1" applyFill="1" applyBorder="1" applyAlignment="1">
      <alignment vertical="center"/>
    </xf>
    <xf numFmtId="180" fontId="16" fillId="3" borderId="9" xfId="9" applyFont="1" applyBorder="1" applyAlignment="1">
      <alignment horizontal="left" vertical="center"/>
    </xf>
    <xf numFmtId="0" fontId="25" fillId="0" borderId="11" xfId="8" applyFont="1" applyAlignment="1">
      <alignment horizontal="right" vertical="center" wrapText="1"/>
    </xf>
    <xf numFmtId="0" fontId="9" fillId="0" borderId="12" xfId="0" applyFont="1" applyFill="1" applyBorder="1" applyAlignment="1">
      <alignment vertical="center"/>
    </xf>
    <xf numFmtId="0" fontId="10" fillId="0" borderId="13" xfId="0" applyFont="1" applyFill="1" applyBorder="1">
      <alignment vertical="center"/>
    </xf>
    <xf numFmtId="0" fontId="9" fillId="0" borderId="12" xfId="0" applyFont="1" applyBorder="1">
      <alignment vertical="center"/>
    </xf>
    <xf numFmtId="0" fontId="9" fillId="0" borderId="12" xfId="0" applyFont="1" applyFill="1" applyBorder="1" applyAlignment="1"/>
    <xf numFmtId="178" fontId="9" fillId="0" borderId="0" xfId="0" applyNumberFormat="1" applyFont="1" applyFill="1" applyBorder="1" applyAlignment="1" applyProtection="1">
      <alignment vertical="center"/>
      <protection locked="0"/>
    </xf>
    <xf numFmtId="178" fontId="9" fillId="0" borderId="0" xfId="0" applyNumberFormat="1" applyFont="1" applyAlignment="1">
      <alignment vertical="center"/>
    </xf>
    <xf numFmtId="178" fontId="9" fillId="0" borderId="0" xfId="7" applyNumberFormat="1" applyFont="1" applyFill="1" applyBorder="1" applyAlignment="1" applyProtection="1">
      <alignment vertical="center"/>
      <protection locked="0"/>
    </xf>
    <xf numFmtId="178" fontId="14" fillId="3" borderId="8" xfId="9" applyNumberFormat="1" applyFont="1" applyAlignment="1">
      <alignment vertical="center"/>
    </xf>
    <xf numFmtId="0" fontId="26" fillId="0" borderId="1" xfId="0" applyFont="1" applyBorder="1" applyAlignment="1">
      <alignment horizontal="center"/>
    </xf>
    <xf numFmtId="178" fontId="0" fillId="0" borderId="0" xfId="0" applyNumberFormat="1" applyFont="1" applyAlignment="1">
      <alignment vertical="center"/>
    </xf>
    <xf numFmtId="178" fontId="9" fillId="0" borderId="0" xfId="0" applyNumberFormat="1" applyFont="1" applyFill="1" applyAlignment="1" applyProtection="1">
      <alignment vertical="center"/>
      <protection locked="0"/>
    </xf>
    <xf numFmtId="0" fontId="9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0">
    <cellStyle name="Month" xfId="6" xr:uid="{00000000-0005-0000-0000-000003000000}"/>
    <cellStyle name="Totals" xfId="5" xr:uid="{00000000-0005-0000-0000-000006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." xfId="8" xr:uid="{3B10D3B6-BD84-405C-926C-AD44268942FC}"/>
    <cellStyle name="常规" xfId="0" builtinId="0" customBuiltin="1"/>
    <cellStyle name="货币" xfId="7" builtinId="4"/>
    <cellStyle name="总计" xfId="9" xr:uid="{5C94352A-AE01-4249-9E11-7B455B4C1412}"/>
  </cellStyles>
  <dxfs count="4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border diagonalUp="0" diagonalDown="0" outline="0">
        <left style="dotted">
          <color theme="0" tint="-0.34998626667073579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strike val="0"/>
        <outline val="0"/>
        <shadow val="0"/>
        <u val="none"/>
        <vertAlign val="baseline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fill>
        <patternFill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 style="thick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family val="2"/>
        <charset val="134"/>
        <scheme val="none"/>
      </font>
      <numFmt numFmtId="177" formatCode="0_);\!\-0_)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499984740745262"/>
        <name val="Microsoft YaHei UI"/>
        <family val="2"/>
        <charset val="134"/>
        <scheme val="none"/>
      </font>
      <numFmt numFmtId="177" formatCode="0_);\!\-0_)"/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dotted">
          <color theme="0" tint="-0.34998626667073579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strike val="0"/>
        <outline val="0"/>
        <shadow val="0"/>
        <u val="none"/>
        <vertAlign val="baseline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scheme val="none"/>
      </font>
      <numFmt numFmtId="178" formatCode="&quot;¥&quot;#,##0.00_);[Red]\(&quot;¥&quot;#,##0.00\)"/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border diagonalUp="0" diagonalDown="0">
        <left style="dotted">
          <color theme="0" tint="-0.34998626667073579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strike val="0"/>
        <outline val="0"/>
        <shadow val="0"/>
        <u val="none"/>
        <vertAlign val="baseline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fill>
        <patternFill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 style="thick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family val="2"/>
        <charset val="134"/>
        <scheme val="none"/>
      </font>
      <numFmt numFmtId="177" formatCode="0_);\!\-0_)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499984740745262"/>
        <name val="Microsoft YaHei UI"/>
        <family val="2"/>
        <charset val="134"/>
        <scheme val="none"/>
      </font>
      <numFmt numFmtId="177" formatCode="0_);\!\-0_)"/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dotted">
          <color theme="0" tint="-0.34998626667073579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numFmt numFmtId="178" formatCode="&quot;¥&quot;#,##0.00_);[Red]\(&quot;¥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scheme val="none"/>
      </font>
      <numFmt numFmtId="177" formatCode="0_);\!\-0_)"/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border outline="0">
        <left style="dotted">
          <color theme="0" tint="-0.3499862666707357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strike val="0"/>
        <outline val="0"/>
        <shadow val="0"/>
        <u val="none"/>
        <vertAlign val="baseline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scheme val="none"/>
      </font>
      <numFmt numFmtId="3" formatCode="#,##0"/>
      <fill>
        <patternFill patternType="none">
          <fgColor indexed="64"/>
          <bgColor theme="0"/>
        </patternFill>
      </fill>
      <border diagonalUp="0" diagonalDown="0" outline="0">
        <left/>
        <right style="dotted">
          <color theme="0" tint="-0.34998626667073579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border diagonalUp="0" diagonalDown="0" outline="0">
        <left style="dotted">
          <color theme="0" tint="-0.34998626667073579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strike val="0"/>
        <outline val="0"/>
        <shadow val="0"/>
        <u val="none"/>
        <vertAlign val="baseline"/>
        <color theme="1" tint="0.14999847407452621"/>
        <name val="Microsoft YaHei UI"/>
        <family val="2"/>
        <charset val="134"/>
        <scheme val="none"/>
      </font>
      <numFmt numFmtId="178" formatCode="&quot;¥&quot;#,##0.00_);[Red]\(&quot;¥&quot;#,##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7" formatCode="0_);\!\-0_)"/>
      <fill>
        <patternFill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7" formatCode="0_);\!\-0_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7" formatCode="0_);\!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numFmt numFmtId="178" formatCode="&quot;¥&quot;#,##0.00_);[Red]\(&quot;¥&quot;#,##0.00\)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&quot;¥&quot;#,##0.00_);[Red]\(&quot;¥&quot;#,##0.0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Microsoft YaHei UI"/>
        <family val="2"/>
        <charset val="134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 style="thick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family val="2"/>
        <charset val="134"/>
        <scheme val="none"/>
      </font>
      <numFmt numFmtId="177" formatCode="0_);\!\-0_)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499984740745262"/>
        <name val="Microsoft YaHei UI"/>
        <scheme val="none"/>
      </font>
      <numFmt numFmtId="177" formatCode="0_);\!\-0_)"/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color rgb="FFFF0000"/>
      </font>
    </dxf>
    <dxf>
      <fill>
        <patternFill patternType="none">
          <fgColor indexed="64"/>
          <bgColor auto="1"/>
        </patternFill>
      </fill>
    </dxf>
    <dxf>
      <font>
        <color theme="1" tint="0.14996795556505021"/>
      </font>
      <fill>
        <patternFill>
          <bgColor theme="4" tint="0.79998168889431442"/>
        </patternFill>
      </fill>
      <border>
        <top style="thin">
          <color theme="4"/>
        </top>
        <bottom style="medium">
          <color theme="4" tint="0.39994506668294322"/>
        </bottom>
      </border>
    </dxf>
    <dxf>
      <font>
        <color theme="1" tint="0.499984740745262"/>
      </font>
      <border>
        <left/>
        <right style="dotted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dotted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vertical/>
        <horizontal/>
      </border>
    </dxf>
    <dxf>
      <font>
        <color theme="1" tint="0.14996795556505021"/>
      </font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thin">
          <color theme="0" tint="-0.34998626667073579"/>
        </top>
        <bottom style="dotted">
          <color theme="0" tint="-0.34998626667073579"/>
        </bottom>
        <vertical/>
        <horizontal/>
      </border>
    </dxf>
    <dxf>
      <font>
        <b val="0"/>
        <i val="0"/>
        <color theme="1" tint="0.34998626667073579"/>
      </font>
    </dxf>
    <dxf>
      <font>
        <b val="0"/>
        <i val="0"/>
        <color theme="1" tint="0.14996795556505021"/>
      </font>
      <fill>
        <patternFill patternType="solid">
          <bgColor theme="4" tint="0.79998168889431442"/>
        </patternFill>
      </fill>
      <border>
        <top/>
        <bottom style="medium">
          <color theme="4" tint="0.39994506668294322"/>
        </bottom>
      </border>
    </dxf>
    <dxf>
      <font>
        <b val="0"/>
        <i val="0"/>
        <color theme="1" tint="0.14996795556505021"/>
      </font>
    </dxf>
    <dxf>
      <font>
        <color theme="1" tint="0.499984740745262"/>
      </font>
      <border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dotted">
          <color theme="0" tint="-0.34998626667073579"/>
        </vertical>
        <horizontal style="thin">
          <color theme="0" tint="-0.34998626667073579"/>
        </horizontal>
      </border>
    </dxf>
  </dxfs>
  <tableStyles count="2" defaultTableStyle="Cash Receipts" defaultPivotStyle="PivotStyleLight16">
    <tableStyle name="Cash Receipts" pivot="0" count="7" xr9:uid="{00000000-0011-0000-FFFF-FFFF00000000}">
      <tableStyleElement type="wholeTable" dxfId="409"/>
      <tableStyleElement type="headerRow" dxfId="408"/>
      <tableStyleElement type="totalRow" dxfId="407"/>
      <tableStyleElement type="firstColumn" dxfId="406"/>
      <tableStyleElement type="lastColumn" dxfId="405"/>
      <tableStyleElement type="firstTotalCell" dxfId="404"/>
      <tableStyleElement type="lastTotalCell" dxfId="403"/>
    </tableStyle>
    <tableStyle name="资产负债表" pivot="0" count="3" xr9:uid="{00000000-0011-0000-FFFF-FFFF00000000}">
      <tableStyleElement type="wholeTable" dxfId="402"/>
      <tableStyleElement type="totalRow" dxfId="401"/>
      <tableStyleElement type="firstColumnStripe" dxfId="40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shReceipts" displayName="CashReceipts" ref="B7:S11" headerRowCount="0" totalsRowCount="1" headerRowDxfId="398" dataDxfId="397" totalsRowDxfId="396">
  <tableColumns count="18">
    <tableColumn id="1" xr3:uid="{00000000-0010-0000-0000-000001000000}" name="Items" totalsRowLabel="Total" headerRowDxfId="395" dataDxfId="394" totalsRowDxfId="393"/>
    <tableColumn id="17" xr3:uid="{00000000-0010-0000-0000-000011000000}" name="Column2" headerRowDxfId="392" dataDxfId="391" totalsRowDxfId="390"/>
    <tableColumn id="2" xr3:uid="{00000000-0010-0000-0000-000002000000}" name="Period 0" dataDxfId="389" totalsRowDxfId="388"/>
    <tableColumn id="3" xr3:uid="{00000000-0010-0000-0000-000003000000}" name="Period 1" totalsRowFunction="custom" dataDxfId="387" totalsRowDxfId="386">
      <totalsRowFormula>E7+E8+E10+E9</totalsRowFormula>
    </tableColumn>
    <tableColumn id="4" xr3:uid="{00000000-0010-0000-0000-000004000000}" name="Period 2" totalsRowFunction="custom" dataDxfId="385" totalsRowDxfId="384">
      <totalsRowFormula>F7+F8+F10+F9</totalsRowFormula>
    </tableColumn>
    <tableColumn id="5" xr3:uid="{00000000-0010-0000-0000-000005000000}" name="Period 3" totalsRowFunction="custom" dataDxfId="383" totalsRowDxfId="382">
      <totalsRowFormula>G7+G8+G10+G9</totalsRowFormula>
    </tableColumn>
    <tableColumn id="6" xr3:uid="{00000000-0010-0000-0000-000006000000}" name="Period 4" totalsRowFunction="custom" dataDxfId="381" totalsRowDxfId="380">
      <totalsRowFormula>H7+H8+H10+H9</totalsRowFormula>
    </tableColumn>
    <tableColumn id="7" xr3:uid="{00000000-0010-0000-0000-000007000000}" name="Period 5" totalsRowFunction="custom" dataDxfId="379" totalsRowDxfId="378">
      <totalsRowFormula>I7+I8+I10+I9</totalsRowFormula>
    </tableColumn>
    <tableColumn id="8" xr3:uid="{00000000-0010-0000-0000-000008000000}" name="Period 6" dataDxfId="377" totalsRowDxfId="376"/>
    <tableColumn id="9" xr3:uid="{00000000-0010-0000-0000-000009000000}" name="Period 7" dataDxfId="375" totalsRowDxfId="374"/>
    <tableColumn id="10" xr3:uid="{00000000-0010-0000-0000-00000A000000}" name="Period 8" dataDxfId="373" totalsRowDxfId="372"/>
    <tableColumn id="11" xr3:uid="{00000000-0010-0000-0000-00000B000000}" name="Period 9" dataDxfId="371" totalsRowDxfId="370"/>
    <tableColumn id="12" xr3:uid="{00000000-0010-0000-0000-00000C000000}" name="Period 10" dataDxfId="369" totalsRowDxfId="368"/>
    <tableColumn id="13" xr3:uid="{00000000-0010-0000-0000-00000D000000}" name="Period 11" dataDxfId="367" totalsRowDxfId="366"/>
    <tableColumn id="14" xr3:uid="{00000000-0010-0000-0000-00000E000000}" name="Period 12" dataDxfId="365" totalsRowDxfId="364"/>
    <tableColumn id="18" xr3:uid="{00000000-0010-0000-0000-000012000000}" name="Column3" dataDxfId="363" totalsRowDxfId="362"/>
    <tableColumn id="15" xr3:uid="{00000000-0010-0000-0000-00000F000000}" name="Total" totalsRowFunction="custom" dataDxfId="361" totalsRowDxfId="360" dataCellStyle="货币">
      <calculatedColumnFormula>SUM(D7:P7)</calculatedColumnFormula>
      <totalsRowFormula>SUM(D11:P11)</totalsRowFormula>
    </tableColumn>
    <tableColumn id="16" xr3:uid="{00000000-0010-0000-0000-000010000000}" name="Column1" totalsRowDxfId="359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现金收入" altTextSummary="从财务年度的第一个月开始进行的 12 个月现金收入及总计。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shPaidOut" displayName="CashPaidOut" ref="B14:S23" headerRowCount="0" totalsRowCount="1" headerRowDxfId="358" dataDxfId="357" totalsRowDxfId="356">
  <tableColumns count="18">
    <tableColumn id="1" xr3:uid="{00000000-0010-0000-0100-000001000000}" name="Items" totalsRowLabel="Total" headerRowDxfId="355" dataDxfId="354" totalsRowDxfId="353"/>
    <tableColumn id="17" xr3:uid="{00000000-0010-0000-0100-000011000000}" name="Column2" headerRowDxfId="352" dataDxfId="351" totalsRowDxfId="350"/>
    <tableColumn id="2" xr3:uid="{00000000-0010-0000-0100-000002000000}" name="Period 0" dataDxfId="349" totalsRowDxfId="348"/>
    <tableColumn id="3" xr3:uid="{00000000-0010-0000-0100-000003000000}" name="Period 1" totalsRowFunction="custom" dataDxfId="347" totalsRowDxfId="346">
      <totalsRowFormula>SUM(CashPaidOut[Period 1])</totalsRowFormula>
    </tableColumn>
    <tableColumn id="4" xr3:uid="{00000000-0010-0000-0100-000004000000}" name="Period 2" totalsRowFunction="custom" dataDxfId="345" totalsRowDxfId="344">
      <totalsRowFormula>SUM(CashPaidOut[Period 2])</totalsRowFormula>
    </tableColumn>
    <tableColumn id="5" xr3:uid="{00000000-0010-0000-0100-000005000000}" name="Period 3" totalsRowFunction="custom" dataDxfId="343" totalsRowDxfId="342">
      <totalsRowFormula>SUM(CashPaidOut[Period 3])</totalsRowFormula>
    </tableColumn>
    <tableColumn id="6" xr3:uid="{00000000-0010-0000-0100-000006000000}" name="Period 4" totalsRowFunction="sum" dataDxfId="341" totalsRowDxfId="340"/>
    <tableColumn id="7" xr3:uid="{00000000-0010-0000-0100-000007000000}" name="Period 5" totalsRowFunction="sum" dataDxfId="339" totalsRowDxfId="338"/>
    <tableColumn id="8" xr3:uid="{00000000-0010-0000-0100-000008000000}" name="Period 6" dataDxfId="337" totalsRowDxfId="336"/>
    <tableColumn id="9" xr3:uid="{00000000-0010-0000-0100-000009000000}" name="Period 7" dataDxfId="335" totalsRowDxfId="334"/>
    <tableColumn id="10" xr3:uid="{00000000-0010-0000-0100-00000A000000}" name="Period 8" dataDxfId="333" totalsRowDxfId="332"/>
    <tableColumn id="11" xr3:uid="{00000000-0010-0000-0100-00000B000000}" name="Period 9" dataDxfId="331" totalsRowDxfId="330"/>
    <tableColumn id="12" xr3:uid="{00000000-0010-0000-0100-00000C000000}" name="Period 10" dataDxfId="329" totalsRowDxfId="328"/>
    <tableColumn id="13" xr3:uid="{00000000-0010-0000-0100-00000D000000}" name="Period 11" dataDxfId="327" totalsRowDxfId="326"/>
    <tableColumn id="14" xr3:uid="{00000000-0010-0000-0100-00000E000000}" name="Period 12" dataDxfId="325" totalsRowDxfId="324"/>
    <tableColumn id="18" xr3:uid="{00000000-0010-0000-0100-000012000000}" name="Column3" dataDxfId="323" totalsRowDxfId="322"/>
    <tableColumn id="15" xr3:uid="{00000000-0010-0000-0100-00000F000000}" name="Total" totalsRowFunction="custom" dataDxfId="321" totalsRowDxfId="320" dataCellStyle="货币">
      <calculatedColumnFormula>SUM(D14:P14)</calculatedColumnFormula>
      <totalsRowFormula>SUM(D23:P23)</totalsRowFormula>
    </tableColumn>
    <tableColumn id="16" xr3:uid="{00000000-0010-0000-0100-000010000000}" name="Column1" dataDxfId="319" totalsRowDxfId="318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金支付" altTextSummary="从财务年度的第一个月开始进行的 12 个月现金支付及总计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ashPaidOut2" displayName="CashPaidOut2" ref="B26:S31" headerRowCount="0" totalsRowCount="1" headerRowDxfId="317" dataDxfId="316" totalsRowDxfId="315">
  <tableColumns count="18">
    <tableColumn id="1" xr3:uid="{00000000-0010-0000-0200-000001000000}" name="Items" totalsRowLabel="Total" headerRowDxfId="314" dataDxfId="313" totalsRowDxfId="312"/>
    <tableColumn id="17" xr3:uid="{00000000-0010-0000-0200-000011000000}" name="Column2" headerRowDxfId="311" dataDxfId="310" totalsRowDxfId="309"/>
    <tableColumn id="2" xr3:uid="{00000000-0010-0000-0200-000002000000}" name="Period 0" dataDxfId="308" totalsRowDxfId="307"/>
    <tableColumn id="3" xr3:uid="{00000000-0010-0000-0200-000003000000}" name="Period 1" totalsRowFunction="custom" dataDxfId="306" totalsRowDxfId="305">
      <totalsRowFormula>SUM(CashPaidOut2[Period 1])</totalsRowFormula>
    </tableColumn>
    <tableColumn id="4" xr3:uid="{00000000-0010-0000-0200-000004000000}" name="Period 2" totalsRowFunction="custom" dataDxfId="304" totalsRowDxfId="303">
      <totalsRowFormula>SUM(CashPaidOut2[Period 2])</totalsRowFormula>
    </tableColumn>
    <tableColumn id="5" xr3:uid="{00000000-0010-0000-0200-000005000000}" name="Period 3" totalsRowFunction="custom" dataDxfId="302" totalsRowDxfId="301">
      <totalsRowFormula>SUM(CashPaidOut2[Period 3])</totalsRowFormula>
    </tableColumn>
    <tableColumn id="6" xr3:uid="{00000000-0010-0000-0200-000006000000}" name="Period 4" totalsRowFunction="custom" dataDxfId="300" totalsRowDxfId="299">
      <totalsRowFormula>SUM(CashPaidOut2[Period 4])</totalsRowFormula>
    </tableColumn>
    <tableColumn id="7" xr3:uid="{00000000-0010-0000-0200-000007000000}" name="Period 5" totalsRowFunction="custom" dataDxfId="298" totalsRowDxfId="297">
      <totalsRowFormula>SUM(CashPaidOut2[Period 5])</totalsRowFormula>
    </tableColumn>
    <tableColumn id="8" xr3:uid="{00000000-0010-0000-0200-000008000000}" name="Period 6" dataDxfId="296" totalsRowDxfId="295"/>
    <tableColumn id="9" xr3:uid="{00000000-0010-0000-0200-000009000000}" name="Period 7" dataDxfId="294" totalsRowDxfId="293"/>
    <tableColumn id="10" xr3:uid="{00000000-0010-0000-0200-00000A000000}" name="Period 8" dataDxfId="292" totalsRowDxfId="291"/>
    <tableColumn id="11" xr3:uid="{00000000-0010-0000-0200-00000B000000}" name="Period 9" dataDxfId="290" totalsRowDxfId="289"/>
    <tableColumn id="12" xr3:uid="{00000000-0010-0000-0200-00000C000000}" name="Period 10" dataDxfId="288" totalsRowDxfId="287"/>
    <tableColumn id="13" xr3:uid="{00000000-0010-0000-0200-00000D000000}" name="Period 11" dataDxfId="286" totalsRowDxfId="285"/>
    <tableColumn id="14" xr3:uid="{00000000-0010-0000-0200-00000E000000}" name="Period 12" dataDxfId="284" totalsRowDxfId="283"/>
    <tableColumn id="18" xr3:uid="{00000000-0010-0000-0200-000012000000}" name="Column3" dataDxfId="282" totalsRowDxfId="281"/>
    <tableColumn id="15" xr3:uid="{00000000-0010-0000-0200-00000F000000}" name="Total" totalsRowFunction="custom" dataDxfId="280" totalsRowDxfId="279" dataCellStyle="货币">
      <calculatedColumnFormula>SUM(D26:P26)</calculatedColumnFormula>
      <totalsRowFormula>SUM(D31:P31)</totalsRowFormula>
    </tableColumn>
    <tableColumn id="16" xr3:uid="{00000000-0010-0000-0200-000010000000}" name="Column1" dataDxfId="278" totalsRowDxfId="277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现金支付（无损益）" altTextSummary="从财务年度的第一个月开始进行的 12 个月现金支付（无损益）总计。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59EEBC-F3A5-4F6F-992D-31E315581E7D}" name="CashReceipts5" displayName="CashReceipts5" ref="B34:S38" headerRowCount="0" totalsRowCount="1" headerRowDxfId="276" dataDxfId="275" totalsRowDxfId="274">
  <tableColumns count="18">
    <tableColumn id="1" xr3:uid="{6A639B7E-9A70-4136-ACC2-811D8EDE980D}" name="Items" totalsRowLabel="Total" headerRowDxfId="273" dataDxfId="272" totalsRowDxfId="271"/>
    <tableColumn id="17" xr3:uid="{ED60858D-2A84-427E-A9B4-FF8BADE3D585}" name="Column2" headerRowDxfId="270" dataDxfId="269" totalsRowDxfId="268"/>
    <tableColumn id="2" xr3:uid="{B8486D84-62CA-4CE7-A62F-92795F9B2D3A}" name="Period 0" dataDxfId="267" totalsRowDxfId="266"/>
    <tableColumn id="3" xr3:uid="{56E030FF-2BD0-46BE-8819-D280D57669F5}" name="Period 1" totalsRowFunction="sum" dataDxfId="265" totalsRowDxfId="264"/>
    <tableColumn id="4" xr3:uid="{BD57F95C-F322-4DE8-AB5F-627D685A376D}" name="Period 2" totalsRowFunction="sum" dataDxfId="263" totalsRowDxfId="262"/>
    <tableColumn id="5" xr3:uid="{CFD9D065-25F4-4ED5-A506-4C2BC9C47543}" name="Period 3" totalsRowFunction="sum" dataDxfId="261" totalsRowDxfId="260"/>
    <tableColumn id="6" xr3:uid="{47F3379D-9BF9-416A-8336-8954E24A269B}" name="Period 4" totalsRowFunction="sum" dataDxfId="259" totalsRowDxfId="258"/>
    <tableColumn id="7" xr3:uid="{4CD031FC-4A2F-44CA-B1E5-F362E90A9C79}" name="Period 5" totalsRowFunction="sum" dataDxfId="257" totalsRowDxfId="256"/>
    <tableColumn id="8" xr3:uid="{3A460A7C-0D0B-449C-9B1F-86395F662F41}" name="Period 6" dataDxfId="255" totalsRowDxfId="254"/>
    <tableColumn id="9" xr3:uid="{B0277F47-B696-4C09-9051-3D3149D79995}" name="Period 7" dataDxfId="253" totalsRowDxfId="252"/>
    <tableColumn id="10" xr3:uid="{D4DE67B7-FF47-4F4A-B9BB-971588DC83F4}" name="Period 8" dataDxfId="251" totalsRowDxfId="250"/>
    <tableColumn id="11" xr3:uid="{3CF22478-32AF-4597-9EB6-B13075A161C6}" name="Period 9" dataDxfId="249" totalsRowDxfId="248"/>
    <tableColumn id="12" xr3:uid="{6949C9C9-F6D7-43D3-87EE-48602F8B7AC2}" name="Period 10" dataDxfId="247" totalsRowDxfId="246"/>
    <tableColumn id="13" xr3:uid="{8A8E065B-E100-4082-8A54-F4761C483651}" name="Period 11" dataDxfId="245" totalsRowDxfId="244"/>
    <tableColumn id="14" xr3:uid="{8326482A-9199-47CA-B92B-75F5A4D24779}" name="Period 12" dataDxfId="243" totalsRowDxfId="242"/>
    <tableColumn id="18" xr3:uid="{A942EF96-B41F-4DC3-A5ED-3DCEE71DFEEF}" name="Column3" dataDxfId="241" totalsRowDxfId="240"/>
    <tableColumn id="15" xr3:uid="{BDE88EA3-203B-4815-A23E-EFFCB95C4D12}" name="Total" totalsRowFunction="custom" dataDxfId="239" totalsRowDxfId="238">
      <calculatedColumnFormula>SUM(D34:P34)</calculatedColumnFormula>
      <totalsRowFormula>SUM(D38:P38)</totalsRowFormula>
    </tableColumn>
    <tableColumn id="16" xr3:uid="{CFF3F633-BD62-45E8-B576-C3CC1F6E7863}" name="Column1" dataDxfId="237" totalsRowDxfId="236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现金收入" altTextSummary="从财务年度的第一个月开始进行的 12 个月现金收入及总计。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F3B4F6-CB06-471B-820C-BAD9A905C439}" name="CashPaidOut26" displayName="CashPaidOut26" ref="B41:S44" headerRowCount="0" totalsRowCount="1" headerRowDxfId="235" dataDxfId="234" totalsRowDxfId="233">
  <tableColumns count="18">
    <tableColumn id="1" xr3:uid="{B1A898DA-264A-4343-910C-4CF50B60E4EE}" name="Items" totalsRowLabel="Total" headerRowDxfId="232" dataDxfId="231" totalsRowDxfId="230"/>
    <tableColumn id="17" xr3:uid="{89AFBB0A-18CF-4ECE-9EBD-8103B03657A4}" name="Column2" headerRowDxfId="229" dataDxfId="228" totalsRowDxfId="227"/>
    <tableColumn id="2" xr3:uid="{96D6922F-861A-4997-B056-F3987B04D741}" name="Period 0" dataDxfId="226" totalsRowDxfId="225"/>
    <tableColumn id="3" xr3:uid="{B7BAC87E-8EA9-4820-A1BB-004613A1B67D}" name="Period 1" totalsRowFunction="sum" dataDxfId="224" totalsRowDxfId="223"/>
    <tableColumn id="4" xr3:uid="{60B170C2-D829-485C-BBCA-F82B5AE6C62B}" name="Period 2" totalsRowFunction="sum" dataDxfId="222" totalsRowDxfId="221"/>
    <tableColumn id="5" xr3:uid="{9E311CCA-A7E6-4117-B855-F2856816FB3B}" name="Period 3" totalsRowFunction="sum" dataDxfId="220" totalsRowDxfId="219"/>
    <tableColumn id="6" xr3:uid="{D7186D2C-D1D2-4C40-A984-5211FFD43535}" name="Period 4" totalsRowFunction="sum" dataDxfId="218" totalsRowDxfId="217"/>
    <tableColumn id="7" xr3:uid="{2D61332F-62A0-4F61-AC4D-57E167629FC1}" name="Period 5" totalsRowFunction="sum" dataDxfId="216" totalsRowDxfId="215"/>
    <tableColumn id="8" xr3:uid="{45D3956F-8FCC-4572-AA30-4AEFEC880BDB}" name="Period 6" dataDxfId="214" totalsRowDxfId="213"/>
    <tableColumn id="9" xr3:uid="{282B2BFD-FCFB-4745-AC8B-AD0CCE0D143C}" name="Period 7" dataDxfId="212" totalsRowDxfId="211"/>
    <tableColumn id="10" xr3:uid="{5B562C6C-0CA0-4EB8-80CA-1C84DDF0CFB9}" name="Period 8" dataDxfId="210" totalsRowDxfId="209"/>
    <tableColumn id="11" xr3:uid="{25968A27-2DC2-4AE2-A4EB-49C3E5E61C56}" name="Period 9" dataDxfId="208" totalsRowDxfId="207"/>
    <tableColumn id="12" xr3:uid="{25AC0D45-81A8-4AD5-AE77-841E233EB1EB}" name="Period 10" dataDxfId="206" totalsRowDxfId="205"/>
    <tableColumn id="13" xr3:uid="{0AFE84B7-4E96-4F01-A130-3D03B335A3C9}" name="Period 11" dataDxfId="204" totalsRowDxfId="203"/>
    <tableColumn id="14" xr3:uid="{BE57E5E0-51EC-40BE-B800-998D399D8273}" name="Period 12" dataDxfId="202" totalsRowDxfId="201"/>
    <tableColumn id="18" xr3:uid="{66CC579C-F579-4FA8-AF9D-762324B25409}" name="Column3" dataDxfId="200" totalsRowDxfId="199"/>
    <tableColumn id="15" xr3:uid="{29330DEA-D7F4-40E6-8817-5CB4559C0CDC}" name="Total" totalsRowFunction="custom" dataDxfId="198" totalsRowDxfId="197">
      <calculatedColumnFormula>SUM(D41:P41)</calculatedColumnFormula>
      <totalsRowFormula>SUM(D44:P44)</totalsRowFormula>
    </tableColumn>
    <tableColumn id="16" xr3:uid="{73301EBF-5ECD-448B-BC55-B8E61D669875}" name="Column1" dataDxfId="196" totalsRowDxfId="195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现金支付（无损益）" altTextSummary="从财务年度的第一个月开始进行的 12 个月现金支付（无损益）总计。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890EA-DA12-468B-87D4-2656EB71BDF2}" name="CashReceipts57" displayName="CashReceipts57" ref="B47:S51" headerRowCount="0" totalsRowCount="1" headerRowDxfId="194" dataDxfId="193" totalsRowDxfId="192">
  <tableColumns count="18">
    <tableColumn id="1" xr3:uid="{14C057AC-FC50-4076-AD37-D31231CAAD40}" name="Items" totalsRowLabel="Total" headerRowDxfId="191" dataDxfId="190" totalsRowDxfId="189"/>
    <tableColumn id="17" xr3:uid="{145E9E7E-7C28-43BC-8FEA-6327EE4FE683}" name="Column2" headerRowDxfId="188" dataDxfId="187" totalsRowDxfId="186"/>
    <tableColumn id="2" xr3:uid="{6B44F62C-03C7-4885-830F-2B5429617EA4}" name="Period 0" dataDxfId="185" totalsRowDxfId="184"/>
    <tableColumn id="3" xr3:uid="{45C2CDB9-0E5E-4C9B-B037-20D866E84B1A}" name="Period 1" totalsRowFunction="sum" dataDxfId="183" totalsRowDxfId="182"/>
    <tableColumn id="4" xr3:uid="{609F0BDC-313F-4D38-9E05-145968414A59}" name="Period 2" totalsRowFunction="sum" dataDxfId="181" totalsRowDxfId="180"/>
    <tableColumn id="5" xr3:uid="{88DB9A32-BE0C-4602-A474-3029E407CDE2}" name="Period 3" totalsRowFunction="sum" dataDxfId="179" totalsRowDxfId="178"/>
    <tableColumn id="6" xr3:uid="{CC02538B-B60F-4125-8F7A-59154CA058D6}" name="Period 4" totalsRowFunction="sum" dataDxfId="177" totalsRowDxfId="176"/>
    <tableColumn id="7" xr3:uid="{9FD2C8F9-EFD6-43C2-B811-31A81C7D4F6F}" name="Period 5" totalsRowFunction="sum" dataDxfId="175" totalsRowDxfId="174"/>
    <tableColumn id="8" xr3:uid="{670D8A63-1C4A-467B-8763-E395FFE59E59}" name="Period 6" dataDxfId="173" totalsRowDxfId="172"/>
    <tableColumn id="9" xr3:uid="{A58C0F30-F9B4-42E9-9CF5-8A47A549C639}" name="Period 7" dataDxfId="171" totalsRowDxfId="170"/>
    <tableColumn id="10" xr3:uid="{18053B6E-BC45-4B39-8CB0-41DBFAF59B1E}" name="Period 8" dataDxfId="169" totalsRowDxfId="168"/>
    <tableColumn id="11" xr3:uid="{0B3CA2E8-8CAD-49BC-9E95-152B586A5671}" name="Period 9" dataDxfId="167" totalsRowDxfId="166"/>
    <tableColumn id="12" xr3:uid="{4806C069-0930-4C98-BA28-520D0DBD0F65}" name="Period 10" dataDxfId="165" totalsRowDxfId="164"/>
    <tableColumn id="13" xr3:uid="{9E06FF2C-C05C-4170-9A22-C59C8046097B}" name="Period 11" dataDxfId="163" totalsRowDxfId="162"/>
    <tableColumn id="14" xr3:uid="{28A8BEAC-9B20-4959-B516-AB50035E3DB9}" name="Period 12" dataDxfId="161" totalsRowDxfId="160"/>
    <tableColumn id="18" xr3:uid="{526A6893-A846-44D7-A68F-2E336C859FFE}" name="Column3" dataDxfId="159" totalsRowDxfId="158"/>
    <tableColumn id="15" xr3:uid="{DCC4A919-6511-41A9-95B3-9065F065AA5D}" name="Total" totalsRowFunction="custom" dataDxfId="157" totalsRowDxfId="156" dataCellStyle="货币">
      <calculatedColumnFormula>SUM(D47:P47)</calculatedColumnFormula>
      <totalsRowFormula>SUM(D51:P51)</totalsRowFormula>
    </tableColumn>
    <tableColumn id="16" xr3:uid="{DA0EE57B-D04F-45CA-92A1-54F06D4C30D0}" name="Column1" dataDxfId="155" totalsRowDxfId="154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现金收入" altTextSummary="从财务年度的第一个月开始进行的 12 个月现金收入及总计。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AB2F9A-42BA-49DC-B501-98F0D5171F3B}" name="CurrentAssets" displayName="CurrentAssets" ref="B5:H11" headerRowCount="0" totalsRowCount="1" headerRowDxfId="153" dataDxfId="152" totalsRowDxfId="151">
  <tableColumns count="7">
    <tableColumn id="1" xr3:uid="{E4DA0424-9E88-4AEE-90AD-CF3394520BF7}" name="Item" totalsRowLabel="Subtotal" headerRowDxfId="150" dataDxfId="149" totalsRowDxfId="148"/>
    <tableColumn id="2" xr3:uid="{51D8A079-F5A2-45DA-BD04-84C66E0493EA}" name="Previous Year" totalsRowFunction="sum" dataDxfId="147" totalsRowDxfId="146"/>
    <tableColumn id="3" xr3:uid="{46F10C0D-7AD2-42B7-97F5-4A36FCFBC4CD}" name="Current Year" totalsRowFunction="sum" dataDxfId="145" totalsRowDxfId="144"/>
    <tableColumn id="4" xr3:uid="{0245E09B-E6E5-49E6-82AB-30BA337B4AE4}" name="列1" totalsRowFunction="custom" headerRowDxfId="143" dataDxfId="142" totalsRowDxfId="141">
      <totalsRowFormula>SUM(CurrentAssets[列1])</totalsRowFormula>
    </tableColumn>
    <tableColumn id="5" xr3:uid="{2A779D27-B32C-4BDD-A381-EE5DBBCBD8BB}" name="列2" totalsRowFunction="custom" headerRowDxfId="140" dataDxfId="139" totalsRowDxfId="138">
      <totalsRowFormula>SUM(CurrentAssets[列2])</totalsRowFormula>
    </tableColumn>
    <tableColumn id="6" xr3:uid="{F6974CF9-D412-4ED6-A6DB-73A0282D85A5}" name="列3" totalsRowFunction="custom" headerRowDxfId="137" dataDxfId="136" totalsRowDxfId="135">
      <totalsRowFormula>SUM(CurrentAssets[列3])</totalsRowFormula>
    </tableColumn>
    <tableColumn id="7" xr3:uid="{113B0021-9EDC-4539-864D-93680D0E2B88}" name="列4" totalsRowFunction="custom" headerRowDxfId="134" dataDxfId="133" totalsRowDxfId="132">
      <totalsRowFormula>SUM(CurrentAssets[列4])</totalsRowFormula>
    </tableColumn>
  </tableColumns>
  <tableStyleInfo name="资产负债表" showFirstColumn="0" showLastColumn="0" showRowStripes="0" showColumnStripes="0"/>
  <extLst>
    <ext xmlns:x14="http://schemas.microsoft.com/office/spreadsheetml/2009/9/main" uri="{504A1905-F514-4f6f-8877-14C23A59335A}">
      <x14:table altText="流动资产" altTextSummary="各财年的流动资产和金额列表。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AAC240D-39DE-4092-B79C-137E663FD924}" name="FixedAssets" displayName="FixedAssets" ref="B14:H16" headerRowCount="0" totalsRowCount="1" headerRowDxfId="131" dataDxfId="130" totalsRowDxfId="129">
  <tableColumns count="7">
    <tableColumn id="1" xr3:uid="{EA1A6251-8623-4AC4-BC18-E571E16C2605}" name="Item" totalsRowLabel="Subtotal" headerRowDxfId="128" dataDxfId="127" totalsRowDxfId="126"/>
    <tableColumn id="2" xr3:uid="{85CD3E09-E995-4692-BB62-7E37E380154A}" name="Previous Year" totalsRowFunction="sum" dataDxfId="125" totalsRowDxfId="124"/>
    <tableColumn id="3" xr3:uid="{A9C57973-636E-415E-B7D6-CF481D9797EE}" name="Current Year" totalsRowFunction="sum" dataDxfId="123" totalsRowDxfId="122"/>
    <tableColumn id="4" xr3:uid="{8189CF4F-9624-4D9A-BDBC-FC5E9A5D9F67}" name="列1" totalsRowFunction="custom" headerRowDxfId="121" dataDxfId="120" totalsRowDxfId="119">
      <totalsRowFormula>SUM(FixedAssets[列1])</totalsRowFormula>
    </tableColumn>
    <tableColumn id="5" xr3:uid="{600F1C86-4698-48C9-AA97-B21B68FE9D9C}" name="列2" totalsRowFunction="custom" headerRowDxfId="118" dataDxfId="117" totalsRowDxfId="116">
      <totalsRowFormula>SUM(FixedAssets[列2])</totalsRowFormula>
    </tableColumn>
    <tableColumn id="6" xr3:uid="{F5470848-3643-4F5D-957D-23A439979B61}" name="列3" totalsRowFunction="custom" headerRowDxfId="115" dataDxfId="114" totalsRowDxfId="113">
      <totalsRowFormula>SUM(FixedAssets[列3])</totalsRowFormula>
    </tableColumn>
    <tableColumn id="7" xr3:uid="{FF861EC1-B693-49E4-9C41-935C56C6ADE1}" name="列4" totalsRowFunction="custom" headerRowDxfId="112" dataDxfId="111" totalsRowDxfId="110">
      <totalsRowFormula>SUM(FixedAssets[列4])</totalsRowFormula>
    </tableColumn>
  </tableColumns>
  <tableStyleInfo name="资产负债表" showFirstColumn="0" showLastColumn="0" showRowStripes="0" showColumnStripes="0"/>
  <extLst>
    <ext xmlns:x14="http://schemas.microsoft.com/office/spreadsheetml/2009/9/main" uri="{504A1905-F514-4f6f-8877-14C23A59335A}">
      <x14:table altText="固定资产" altTextSummary="各财年的固定资产和金额列表。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74E2DAC-B091-45A8-A0EF-FC64C0D71D50}" name="OtherAssets" displayName="OtherAssets" ref="B19:H23" headerRowCount="0" totalsRowCount="1" headerRowDxfId="109" dataDxfId="108" totalsRowDxfId="107">
  <tableColumns count="7">
    <tableColumn id="1" xr3:uid="{CE20BAFA-D173-4840-AB05-739B6652D16C}" name="Item" totalsRowLabel="Subtotal" headerRowDxfId="106" dataDxfId="105" totalsRowDxfId="104"/>
    <tableColumn id="2" xr3:uid="{7AC61627-1234-42C9-B5D0-725920E37F55}" name="Previous Year" totalsRowFunction="sum" dataDxfId="103" totalsRowDxfId="102" dataCellStyle="货币"/>
    <tableColumn id="3" xr3:uid="{302D6ABF-A4B2-48FD-9F07-F15C20A13016}" name="Current Year" totalsRowFunction="sum" dataDxfId="101" totalsRowDxfId="100" dataCellStyle="货币"/>
    <tableColumn id="4" xr3:uid="{3A578A4F-AA15-4E18-B631-4F0465A4D6ED}" name="列1" totalsRowFunction="custom" headerRowDxfId="99" dataDxfId="98" totalsRowDxfId="97" dataCellStyle="货币">
      <totalsRowFormula>SUM(OtherAssets[列1])</totalsRowFormula>
    </tableColumn>
    <tableColumn id="5" xr3:uid="{113099B4-C7FB-4D78-9E7D-346B495CCEC9}" name="列2" totalsRowFunction="custom" headerRowDxfId="96" dataDxfId="95" totalsRowDxfId="94" dataCellStyle="货币">
      <totalsRowFormula>SUM(OtherAssets[列2])</totalsRowFormula>
    </tableColumn>
    <tableColumn id="6" xr3:uid="{4595ABC1-6508-4A95-B572-14444C108502}" name="列3" totalsRowFunction="custom" headerRowDxfId="93" dataDxfId="92" totalsRowDxfId="91" dataCellStyle="货币">
      <totalsRowFormula>SUM(OtherAssets[列3])</totalsRowFormula>
    </tableColumn>
    <tableColumn id="7" xr3:uid="{0A270A6C-9B3A-4DB3-A82A-174BAC47A91A}" name="列4" totalsRowFunction="custom" headerRowDxfId="90" dataDxfId="89" totalsRowDxfId="88" dataCellStyle="货币">
      <totalsRowFormula>SUM(OtherAssets[列4])</totalsRowFormula>
    </tableColumn>
  </tableColumns>
  <tableStyleInfo name="资产负债表" showFirstColumn="0" showLastColumn="0" showRowStripes="0" showColumnStripes="0"/>
  <extLst>
    <ext xmlns:x14="http://schemas.microsoft.com/office/spreadsheetml/2009/9/main" uri="{504A1905-F514-4f6f-8877-14C23A59335A}">
      <x14:table altText="其他资产" altTextSummary="各财年的其他资产和金额列表。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EAC8B3-EE83-42E5-999B-CB53E38A84B1}" name="CurrentLiabilities" displayName="CurrentLiabilities" ref="B37:H44" headerRowCount="0" totalsRowCount="1" headerRowDxfId="87" dataDxfId="86" totalsRowDxfId="85">
  <tableColumns count="7">
    <tableColumn id="1" xr3:uid="{25B54D6A-FB06-40FA-8772-54A77CA9B6BC}" name="Item" totalsRowLabel="Subtotal" headerRowDxfId="84" dataDxfId="83" totalsRowDxfId="82"/>
    <tableColumn id="2" xr3:uid="{A6CF7161-C9F5-47C9-A263-E9C9F8218B81}" name="Previous Year" totalsRowFunction="sum" dataDxfId="81" totalsRowDxfId="80" dataCellStyle="货币"/>
    <tableColumn id="3" xr3:uid="{38E5FDAD-7B6E-4FC1-BE6E-8C93C53E87F5}" name="Current Year" totalsRowFunction="sum" dataDxfId="79" totalsRowDxfId="78" dataCellStyle="货币"/>
    <tableColumn id="4" xr3:uid="{BDB2647C-C749-424C-A2F1-7BEA288B099C}" name="列1" totalsRowFunction="custom" headerRowDxfId="77" dataDxfId="76" totalsRowDxfId="75" dataCellStyle="货币">
      <totalsRowFormula>SUM(CurrentLiabilities[列1])</totalsRowFormula>
    </tableColumn>
    <tableColumn id="5" xr3:uid="{9188D01F-88D0-44C0-855D-9DCDA90F6E1F}" name="列2" totalsRowFunction="custom" headerRowDxfId="74" dataDxfId="73" totalsRowDxfId="72" dataCellStyle="货币">
      <totalsRowFormula>SUM(CurrentLiabilities[列2])</totalsRowFormula>
    </tableColumn>
    <tableColumn id="6" xr3:uid="{6103737F-CFC7-4BDE-9EE4-F09134762232}" name="列3" totalsRowFunction="custom" headerRowDxfId="71" dataDxfId="70" totalsRowDxfId="69" dataCellStyle="货币">
      <totalsRowFormula>SUM(CurrentLiabilities[列3])</totalsRowFormula>
    </tableColumn>
    <tableColumn id="7" xr3:uid="{E24065B3-045D-4A07-A6DD-FFA4D796ECE0}" name="列4" totalsRowFunction="custom" headerRowDxfId="68" dataDxfId="67" totalsRowDxfId="66" dataCellStyle="货币">
      <totalsRowFormula>SUM(CurrentLiabilities[列4])</totalsRowFormula>
    </tableColumn>
  </tableColumns>
  <tableStyleInfo name="资产负债表" showFirstColumn="0" showLastColumn="0" showRowStripes="0" showColumnStripes="0"/>
  <extLst>
    <ext xmlns:x14="http://schemas.microsoft.com/office/spreadsheetml/2009/9/main" uri="{504A1905-F514-4f6f-8877-14C23A59335A}">
      <x14:table altText="流动负债" altTextSummary="各财年的流动负债和金额列表。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B35E3F-8BB5-40DC-B228-E134A4D2AB92}" name="LongtermLiabilities" displayName="LongtermLiabilities" ref="B47:H50" headerRowCount="0" totalsRowCount="1" headerRowDxfId="65" dataDxfId="64" totalsRowDxfId="63">
  <tableColumns count="7">
    <tableColumn id="1" xr3:uid="{7F489A6F-91E8-4A9F-B7B6-CA993FC3AE77}" name="Item" totalsRowLabel="Subtotal" headerRowDxfId="62" dataDxfId="61" totalsRowDxfId="60"/>
    <tableColumn id="2" xr3:uid="{A92F8B0A-BC7E-4A98-9DE0-A26C09BEE24E}" name="Previous Year" totalsRowFunction="sum" dataDxfId="59" totalsRowDxfId="58"/>
    <tableColumn id="3" xr3:uid="{9C2B23E2-A230-4BED-BFEA-0ABFB07838F6}" name="Current Year" totalsRowFunction="sum" dataDxfId="57" totalsRowDxfId="56"/>
    <tableColumn id="4" xr3:uid="{B9E20196-ECC6-490A-8737-5AE9BA48052B}" name="列1" totalsRowFunction="custom" headerRowDxfId="55" dataDxfId="54" totalsRowDxfId="53">
      <totalsRowFormula>SUM(LongtermLiabilities[列1])</totalsRowFormula>
    </tableColumn>
    <tableColumn id="5" xr3:uid="{8F78B35F-74D8-4405-9198-CAAA67307859}" name="列2" totalsRowFunction="custom" headerRowDxfId="52" dataDxfId="51" totalsRowDxfId="50">
      <totalsRowFormula>SUM(LongtermLiabilities[列2])</totalsRowFormula>
    </tableColumn>
    <tableColumn id="6" xr3:uid="{76F97ACC-B721-4B91-A74A-B0ADE1EE5493}" name="列3" totalsRowFunction="custom" headerRowDxfId="49" dataDxfId="48" totalsRowDxfId="47">
      <totalsRowFormula>SUM(LongtermLiabilities[列3])</totalsRowFormula>
    </tableColumn>
    <tableColumn id="7" xr3:uid="{155AE30B-5DDE-4FF2-A7DE-9D31FF16267F}" name="列4" totalsRowFunction="custom" headerRowDxfId="46" dataDxfId="45" totalsRowDxfId="44">
      <totalsRowFormula>SUM(LongtermLiabilities[列4])</totalsRowFormula>
    </tableColumn>
  </tableColumns>
  <tableStyleInfo name="资产负债表" showFirstColumn="0" showLastColumn="0" showRowStripes="0" showColumnStripes="0"/>
  <extLst>
    <ext xmlns:x14="http://schemas.microsoft.com/office/spreadsheetml/2009/9/main" uri="{504A1905-F514-4f6f-8877-14C23A59335A}">
      <x14:table altText="长期负债" altTextSummary="各财年的长期负债和金额列表。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311CF43-B63C-4149-A66E-7D9B2EC7A5B7}" name="OwnerEquity" displayName="OwnerEquity" ref="B55:H58" headerRowCount="0" totalsRowCount="1" headerRowDxfId="43" dataDxfId="42" totalsRowDxfId="41">
  <tableColumns count="7">
    <tableColumn id="1" xr3:uid="{C16F4055-2F92-4010-B6ED-94AB4DF65FF8}" name="Item" totalsRowLabel="Subtotal" headerRowDxfId="40" dataDxfId="39" totalsRowDxfId="38"/>
    <tableColumn id="2" xr3:uid="{89937BC6-FBCD-4045-82E0-ED751C8C9E20}" name="Previous Year" totalsRowFunction="sum" dataDxfId="37" totalsRowDxfId="36" dataCellStyle="货币"/>
    <tableColumn id="3" xr3:uid="{071F1114-79D8-4C27-B94D-D433F67A18F6}" name="Current Year" totalsRowFunction="custom" dataDxfId="35" totalsRowDxfId="34" dataCellStyle="货币">
      <totalsRowFormula>SUBTOTAL(109,OwnerEquity[Current Year])+368405.32</totalsRowFormula>
    </tableColumn>
    <tableColumn id="4" xr3:uid="{4F6C9938-83F7-4412-A31D-640AAEA084CD}" name="列1" totalsRowFunction="custom" headerRowDxfId="33" dataDxfId="32" totalsRowDxfId="31" dataCellStyle="货币">
      <totalsRowFormula>SUM(OwnerEquity[列1])+48508.14</totalsRowFormula>
    </tableColumn>
    <tableColumn id="5" xr3:uid="{F4E729A1-AD7C-4928-B035-39D0F0847BE9}" name="列2" totalsRowFunction="custom" headerRowDxfId="30" dataDxfId="29" totalsRowDxfId="28" dataCellStyle="货币">
      <totalsRowFormula>SUM(OwnerEquity[列2])+394028.96</totalsRowFormula>
    </tableColumn>
    <tableColumn id="6" xr3:uid="{EBCAC640-B17B-489C-A13E-ABD6E5904FAD}" name="列3" totalsRowFunction="custom" headerRowDxfId="27" dataDxfId="26" totalsRowDxfId="25" dataCellStyle="货币">
      <totalsRowFormula>SUM(OwnerEquity[列3])+990264.03</totalsRowFormula>
    </tableColumn>
    <tableColumn id="7" xr3:uid="{2373577C-E291-4195-8364-2D2720461D7F}" name="列4" totalsRowFunction="custom" headerRowDxfId="24" dataDxfId="23" totalsRowDxfId="22" dataCellStyle="货币">
      <totalsRowFormula>SUM(OwnerEquity[列4])+1143238.86</totalsRowFormula>
    </tableColumn>
  </tableColumns>
  <tableStyleInfo name="资产负债表" showFirstColumn="0" showLastColumn="0" showRowStripes="0" showColumnStripes="0"/>
  <extLst>
    <ext xmlns:x14="http://schemas.microsoft.com/office/spreadsheetml/2009/9/main" uri="{504A1905-F514-4f6f-8877-14C23A59335A}">
      <x14:table altText="所有者权益" altTextSummary="各财年的所有者计得投资资本和累积留存收益。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A17B70-22F7-4B06-B46E-3B74B3501CBE}" name="OtherAssets8" displayName="OtherAssets8" ref="B26:H30" headerRowCount="0" totalsRowCount="1" headerRowDxfId="21" dataDxfId="20" totalsRowDxfId="19">
  <tableColumns count="7">
    <tableColumn id="1" xr3:uid="{00587F71-CEB2-49DD-A6FA-52E0C1A01CE0}" name="Item" totalsRowLabel="Subtotal" headerRowDxfId="18" dataDxfId="17" totalsRowDxfId="16"/>
    <tableColumn id="2" xr3:uid="{F9751EAA-C0CF-48A8-A605-A5AC9E32CC1B}" name="Previous Year" totalsRowFunction="sum" dataDxfId="15" totalsRowDxfId="14"/>
    <tableColumn id="3" xr3:uid="{182C2B18-D1ED-4828-9C06-85DDCA29454A}" name="Current Year" totalsRowFunction="sum" dataDxfId="13" totalsRowDxfId="12"/>
    <tableColumn id="4" xr3:uid="{B98343DE-6957-4767-9B13-23819A7D7EB3}" name="列1" totalsRowFunction="custom" headerRowDxfId="11" dataDxfId="10" totalsRowDxfId="9">
      <totalsRowFormula>SUM(OtherAssets8[列1])</totalsRowFormula>
    </tableColumn>
    <tableColumn id="5" xr3:uid="{37E5DF9C-6B10-4ADC-9264-DD98FE84771B}" name="列2" totalsRowFunction="custom" headerRowDxfId="8" dataDxfId="7" totalsRowDxfId="6">
      <totalsRowFormula>SUM(OtherAssets8[列2])</totalsRowFormula>
    </tableColumn>
    <tableColumn id="6" xr3:uid="{CCD01F97-A5A5-4371-B98E-FAD2486BF2D7}" name="列3" totalsRowFunction="custom" headerRowDxfId="5" dataDxfId="4" totalsRowDxfId="3">
      <totalsRowFormula>SUM(OtherAssets8[列3])</totalsRowFormula>
    </tableColumn>
    <tableColumn id="7" xr3:uid="{49421CD6-5627-41E9-829C-4CFB956FFD89}" name="列4" totalsRowFunction="custom" headerRowDxfId="2" dataDxfId="1" totalsRowDxfId="0">
      <totalsRowFormula>SUM(OtherAssets8[列4])</totalsRowFormula>
    </tableColumn>
  </tableColumns>
  <tableStyleInfo name="资产负债表" showFirstColumn="0" showLastColumn="0" showRowStripes="0" showColumnStripes="0"/>
  <extLst>
    <ext xmlns:x14="http://schemas.microsoft.com/office/spreadsheetml/2009/9/main" uri="{504A1905-F514-4f6f-8877-14C23A59335A}">
      <x14:table altText="其他资产" altTextSummary="各财年的其他资产和金额列表。"/>
    </ext>
  </extLst>
</table>
</file>

<file path=xl/theme/theme1.xml><?xml version="1.0" encoding="utf-8"?>
<a:theme xmlns:a="http://schemas.openxmlformats.org/drawingml/2006/main" name="Office Theme">
  <a:themeElements>
    <a:clrScheme name="Cash Flow Statement">
      <a:dk1>
        <a:sysClr val="windowText" lastClr="000000"/>
      </a:dk1>
      <a:lt1>
        <a:sysClr val="window" lastClr="FFFFFF"/>
      </a:lt1>
      <a:dk2>
        <a:srgbClr val="313F55"/>
      </a:dk2>
      <a:lt2>
        <a:srgbClr val="F2F2F2"/>
      </a:lt2>
      <a:accent1>
        <a:srgbClr val="308DA2"/>
      </a:accent1>
      <a:accent2>
        <a:srgbClr val="EB7A20"/>
      </a:accent2>
      <a:accent3>
        <a:srgbClr val="009D00"/>
      </a:accent3>
      <a:accent4>
        <a:srgbClr val="9D4CA4"/>
      </a:accent4>
      <a:accent5>
        <a:srgbClr val="FFC000"/>
      </a:accent5>
      <a:accent6>
        <a:srgbClr val="DC3220"/>
      </a:accent6>
      <a:hlink>
        <a:srgbClr val="1AA2B5"/>
      </a:hlink>
      <a:folHlink>
        <a:srgbClr val="9D4CA4"/>
      </a:folHlink>
    </a:clrScheme>
    <a:fontScheme name="Cash Flow Statement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S60"/>
  <sheetViews>
    <sheetView showGridLines="0" zoomScaleNormal="100" workbookViewId="0">
      <pane ySplit="3" topLeftCell="A4" activePane="bottomLeft" state="frozen"/>
      <selection pane="bottomLeft" activeCell="E47" sqref="E47"/>
    </sheetView>
  </sheetViews>
  <sheetFormatPr defaultRowHeight="17.25" customHeight="1" x14ac:dyDescent="0.45"/>
  <cols>
    <col min="1" max="1" width="2.25" style="4" customWidth="1"/>
    <col min="2" max="2" width="40.75" style="4" customWidth="1"/>
    <col min="3" max="3" width="2.875" style="4" customWidth="1"/>
    <col min="4" max="4" width="13.75" style="4" customWidth="1"/>
    <col min="5" max="9" width="14.8125" style="4" bestFit="1" customWidth="1"/>
    <col min="10" max="16" width="2.5625" style="4" customWidth="1"/>
    <col min="17" max="17" width="2.875" style="4" customWidth="1"/>
    <col min="18" max="18" width="15.4375" style="4" customWidth="1"/>
    <col min="19" max="19" width="17.5" style="4" customWidth="1"/>
    <col min="20" max="16384" width="9" style="4"/>
  </cols>
  <sheetData>
    <row r="1" spans="2:19" ht="42" customHeight="1" thickBot="1" x14ac:dyDescent="1.35">
      <c r="B1" s="1" t="s">
        <v>41</v>
      </c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19" ht="22.5" customHeight="1" thickTop="1" x14ac:dyDescent="0.45">
      <c r="Q2" s="5"/>
    </row>
    <row r="3" spans="2:19" ht="25.5" customHeight="1" x14ac:dyDescent="0.7">
      <c r="B3" s="6" t="s">
        <v>38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7" t="s">
        <v>45</v>
      </c>
      <c r="J3" s="7"/>
      <c r="K3" s="7"/>
      <c r="L3" s="7"/>
      <c r="M3" s="7"/>
      <c r="N3" s="7"/>
      <c r="O3" s="7"/>
      <c r="P3" s="7"/>
      <c r="Q3" s="8"/>
      <c r="R3" s="9" t="s">
        <v>8</v>
      </c>
      <c r="S3" s="10"/>
    </row>
    <row r="4" spans="2:19" ht="45" customHeight="1" thickBot="1" x14ac:dyDescent="0.5">
      <c r="B4" s="11" t="s">
        <v>0</v>
      </c>
      <c r="D4" s="39"/>
      <c r="E4" s="39">
        <v>1100000</v>
      </c>
      <c r="F4" s="39">
        <f>E55</f>
        <v>1265558.2424959997</v>
      </c>
      <c r="G4" s="39">
        <f>F55</f>
        <v>1930361.2889919998</v>
      </c>
      <c r="H4" s="39">
        <f>G55</f>
        <v>2269929.2602879992</v>
      </c>
      <c r="I4" s="39">
        <f>H55</f>
        <v>2684692.8913439997</v>
      </c>
      <c r="J4" s="39"/>
      <c r="K4" s="39"/>
      <c r="L4" s="39"/>
      <c r="M4" s="39"/>
      <c r="N4" s="39"/>
      <c r="O4" s="39"/>
      <c r="P4" s="39"/>
      <c r="Q4" s="40"/>
      <c r="R4" s="50">
        <f>SUM(D4:P4)</f>
        <v>9250541.6831199974</v>
      </c>
      <c r="S4" s="66"/>
    </row>
    <row r="5" spans="2:19" ht="17.25" customHeight="1" x14ac:dyDescent="0.45">
      <c r="Q5" s="12"/>
      <c r="R5" s="51"/>
    </row>
    <row r="6" spans="2:19" ht="17.25" customHeight="1" x14ac:dyDescent="0.45">
      <c r="B6" s="13" t="s">
        <v>9</v>
      </c>
      <c r="Q6" s="12"/>
      <c r="R6" s="51"/>
    </row>
    <row r="7" spans="2:19" ht="17.25" customHeight="1" thickBot="1" x14ac:dyDescent="0.5">
      <c r="B7" s="14" t="s">
        <v>14</v>
      </c>
      <c r="C7" s="12"/>
      <c r="D7" s="41"/>
      <c r="E7" s="41">
        <v>1550000</v>
      </c>
      <c r="F7" s="41">
        <v>1980000</v>
      </c>
      <c r="G7" s="41">
        <v>2280000</v>
      </c>
      <c r="H7" s="41">
        <v>2670000</v>
      </c>
      <c r="I7" s="41">
        <v>3150000</v>
      </c>
      <c r="J7" s="15"/>
      <c r="K7" s="15"/>
      <c r="L7" s="15"/>
      <c r="M7" s="15"/>
      <c r="N7" s="15"/>
      <c r="O7" s="15"/>
      <c r="P7" s="15"/>
      <c r="Q7" s="16"/>
      <c r="R7" s="50">
        <f t="shared" ref="R7" si="0">SUM(D7:P7)</f>
        <v>11630000</v>
      </c>
    </row>
    <row r="8" spans="2:19" ht="17.25" customHeight="1" thickBot="1" x14ac:dyDescent="0.5">
      <c r="B8" s="14" t="s">
        <v>15</v>
      </c>
      <c r="C8" s="12"/>
      <c r="D8" s="41"/>
      <c r="E8" s="41">
        <v>0</v>
      </c>
      <c r="F8" s="41">
        <v>0</v>
      </c>
      <c r="G8" s="41">
        <v>0</v>
      </c>
      <c r="H8" s="41">
        <v>0</v>
      </c>
      <c r="I8" s="41">
        <v>16000</v>
      </c>
      <c r="J8" s="15"/>
      <c r="K8" s="15"/>
      <c r="L8" s="15"/>
      <c r="M8" s="15"/>
      <c r="N8" s="15"/>
      <c r="O8" s="15"/>
      <c r="P8" s="15"/>
      <c r="Q8" s="16"/>
      <c r="R8" s="50">
        <f>SUM(D8:P8)</f>
        <v>16000</v>
      </c>
    </row>
    <row r="9" spans="2:19" ht="16.899999999999999" customHeight="1" thickBot="1" x14ac:dyDescent="0.5">
      <c r="B9" s="14" t="s">
        <v>89</v>
      </c>
      <c r="C9" s="12"/>
      <c r="D9" s="41"/>
      <c r="E9" s="41">
        <v>25686.326400000002</v>
      </c>
      <c r="F9" s="41">
        <v>53054.926400000011</v>
      </c>
      <c r="G9" s="41">
        <v>122591.2464</v>
      </c>
      <c r="H9" s="41">
        <v>159537.33040000001</v>
      </c>
      <c r="I9" s="41">
        <v>228263.35560000001</v>
      </c>
      <c r="J9" s="15"/>
      <c r="K9" s="15"/>
      <c r="L9" s="15"/>
      <c r="M9" s="15"/>
      <c r="N9" s="15"/>
      <c r="O9" s="15"/>
      <c r="P9" s="15"/>
      <c r="Q9" s="16"/>
      <c r="R9" s="50">
        <f>SUM(D9:P9)</f>
        <v>589133.18520000007</v>
      </c>
    </row>
    <row r="10" spans="2:19" ht="17.25" customHeight="1" thickBot="1" x14ac:dyDescent="0.5">
      <c r="B10" s="14" t="s">
        <v>17</v>
      </c>
      <c r="C10" s="18"/>
      <c r="D10" s="41"/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15"/>
      <c r="K10" s="15"/>
      <c r="L10" s="15"/>
      <c r="M10" s="15"/>
      <c r="N10" s="15"/>
      <c r="O10" s="15"/>
      <c r="P10" s="15"/>
      <c r="Q10" s="16"/>
      <c r="R10" s="50">
        <f>SUM(D10:P10)</f>
        <v>0</v>
      </c>
    </row>
    <row r="11" spans="2:19" ht="45" customHeight="1" thickBot="1" x14ac:dyDescent="0.5">
      <c r="B11" s="19" t="s">
        <v>1</v>
      </c>
      <c r="C11" s="20"/>
      <c r="D11" s="42"/>
      <c r="E11" s="42">
        <f>E7+E8+E10+E9</f>
        <v>1575686.3263999999</v>
      </c>
      <c r="F11" s="42">
        <f>F7+F8+F10+F9</f>
        <v>2033054.9264</v>
      </c>
      <c r="G11" s="42">
        <f>G7+G8+G10+G9</f>
        <v>2402591.2464000001</v>
      </c>
      <c r="H11" s="42">
        <f>H7+H8+H10+H9</f>
        <v>2829537.3303999999</v>
      </c>
      <c r="I11" s="42">
        <f>I7+I8+I10+I9</f>
        <v>3394263.3555999999</v>
      </c>
      <c r="J11" s="17"/>
      <c r="K11" s="17"/>
      <c r="L11" s="17"/>
      <c r="M11" s="17"/>
      <c r="N11" s="17"/>
      <c r="O11" s="17"/>
      <c r="P11" s="17"/>
      <c r="Q11" s="16"/>
      <c r="R11" s="39">
        <f>SUM(D11:P11)</f>
        <v>12235133.185199998</v>
      </c>
      <c r="S11" s="67"/>
    </row>
    <row r="12" spans="2:19" ht="17.25" customHeight="1" thickTop="1" x14ac:dyDescent="0.45"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2:19" ht="17.25" customHeight="1" x14ac:dyDescent="0.5">
      <c r="B13" s="22" t="s">
        <v>40</v>
      </c>
      <c r="C13" s="12"/>
      <c r="E13" s="42">
        <f>E18+E19</f>
        <v>345000</v>
      </c>
      <c r="F13" s="42">
        <f>F18+F19</f>
        <v>352000</v>
      </c>
      <c r="G13" s="42">
        <f>G18+G19</f>
        <v>371500</v>
      </c>
      <c r="H13" s="42">
        <f>H18+H19</f>
        <v>362000</v>
      </c>
      <c r="I13" s="42">
        <f>I18+I19</f>
        <v>357000</v>
      </c>
      <c r="Q13" s="12"/>
    </row>
    <row r="14" spans="2:19" ht="17.25" customHeight="1" thickBot="1" x14ac:dyDescent="0.5">
      <c r="B14" s="23" t="s">
        <v>2</v>
      </c>
      <c r="C14" s="12"/>
      <c r="D14" s="44">
        <v>100000</v>
      </c>
      <c r="E14" s="44">
        <v>0</v>
      </c>
      <c r="F14" s="44">
        <v>0</v>
      </c>
      <c r="G14" s="44">
        <v>50000</v>
      </c>
      <c r="H14" s="44">
        <v>0</v>
      </c>
      <c r="I14" s="44">
        <v>0</v>
      </c>
      <c r="J14" s="24"/>
      <c r="K14" s="24"/>
      <c r="L14" s="24"/>
      <c r="M14" s="24"/>
      <c r="N14" s="24"/>
      <c r="O14" s="24"/>
      <c r="P14" s="24"/>
      <c r="Q14" s="25"/>
      <c r="R14" s="50">
        <f t="shared" ref="R14" si="1">SUM(D14:P14)</f>
        <v>150000</v>
      </c>
      <c r="S14" s="26"/>
    </row>
    <row r="15" spans="2:19" ht="17.25" customHeight="1" thickBot="1" x14ac:dyDescent="0.5">
      <c r="B15" s="23" t="s">
        <v>3</v>
      </c>
      <c r="C15" s="12"/>
      <c r="D15" s="44"/>
      <c r="E15" s="44">
        <v>2000</v>
      </c>
      <c r="F15" s="44">
        <v>8000</v>
      </c>
      <c r="G15" s="44">
        <v>0</v>
      </c>
      <c r="H15" s="44">
        <v>0</v>
      </c>
      <c r="I15" s="44">
        <v>0</v>
      </c>
      <c r="J15" s="24"/>
      <c r="K15" s="24"/>
      <c r="L15" s="24"/>
      <c r="M15" s="24"/>
      <c r="N15" s="24"/>
      <c r="O15" s="24"/>
      <c r="P15" s="24"/>
      <c r="Q15" s="25"/>
      <c r="R15" s="50">
        <f t="shared" ref="R15:R23" si="2">SUM(D15:P15)</f>
        <v>10000</v>
      </c>
      <c r="S15" s="26"/>
    </row>
    <row r="16" spans="2:19" ht="17.25" customHeight="1" thickBot="1" x14ac:dyDescent="0.5">
      <c r="B16" s="23" t="s">
        <v>10</v>
      </c>
      <c r="C16" s="12"/>
      <c r="D16" s="44"/>
      <c r="E16" s="44">
        <v>0</v>
      </c>
      <c r="F16" s="44">
        <v>0</v>
      </c>
      <c r="G16" s="44">
        <v>0</v>
      </c>
      <c r="H16" s="44">
        <v>400000</v>
      </c>
      <c r="I16" s="44">
        <v>400000</v>
      </c>
      <c r="J16" s="24"/>
      <c r="K16" s="24"/>
      <c r="L16" s="24"/>
      <c r="M16" s="24"/>
      <c r="N16" s="24"/>
      <c r="O16" s="24"/>
      <c r="P16" s="24"/>
      <c r="Q16" s="25"/>
      <c r="R16" s="50">
        <f t="shared" si="2"/>
        <v>800000</v>
      </c>
      <c r="S16" s="26"/>
    </row>
    <row r="17" spans="2:19" ht="17.25" customHeight="1" thickBot="1" x14ac:dyDescent="0.5">
      <c r="B17" s="23" t="s">
        <v>4</v>
      </c>
      <c r="C17" s="12"/>
      <c r="D17" s="44"/>
      <c r="E17" s="44">
        <f>970300-32000</f>
        <v>938300</v>
      </c>
      <c r="F17" s="44">
        <f>1246300-32000-8000</f>
        <v>1206300</v>
      </c>
      <c r="G17" s="44">
        <f>1046300-31500</f>
        <v>1014800</v>
      </c>
      <c r="H17" s="44">
        <f>1153300-32000</f>
        <v>1121300</v>
      </c>
      <c r="I17" s="44">
        <f>1173400-32000</f>
        <v>1141400</v>
      </c>
      <c r="J17" s="24"/>
      <c r="K17" s="24"/>
      <c r="L17" s="24"/>
      <c r="M17" s="24"/>
      <c r="N17" s="24"/>
      <c r="O17" s="24"/>
      <c r="P17" s="24"/>
      <c r="Q17" s="25"/>
      <c r="R17" s="50">
        <f t="shared" si="2"/>
        <v>5422100</v>
      </c>
      <c r="S17" s="26"/>
    </row>
    <row r="18" spans="2:19" ht="17.25" customHeight="1" thickBot="1" x14ac:dyDescent="0.5">
      <c r="B18" s="23" t="s">
        <v>39</v>
      </c>
      <c r="C18" s="12"/>
      <c r="D18" s="44"/>
      <c r="E18" s="44">
        <v>30000</v>
      </c>
      <c r="F18" s="44">
        <v>32000</v>
      </c>
      <c r="G18" s="44">
        <v>31500</v>
      </c>
      <c r="H18" s="44">
        <v>32000</v>
      </c>
      <c r="I18" s="44">
        <v>32000</v>
      </c>
      <c r="J18" s="24"/>
      <c r="K18" s="24"/>
      <c r="L18" s="24"/>
      <c r="M18" s="24"/>
      <c r="N18" s="24"/>
      <c r="O18" s="24"/>
      <c r="P18" s="24"/>
      <c r="Q18" s="47"/>
      <c r="R18" s="50">
        <f t="shared" si="2"/>
        <v>157500</v>
      </c>
      <c r="S18" s="26"/>
    </row>
    <row r="19" spans="2:19" ht="17.25" customHeight="1" thickBot="1" x14ac:dyDescent="0.5">
      <c r="B19" s="23" t="s">
        <v>5</v>
      </c>
      <c r="C19" s="12"/>
      <c r="D19" s="44"/>
      <c r="E19" s="44">
        <f>195000+120000</f>
        <v>315000</v>
      </c>
      <c r="F19" s="44">
        <f>200000+120000</f>
        <v>320000</v>
      </c>
      <c r="G19" s="44">
        <f>220000+120000</f>
        <v>340000</v>
      </c>
      <c r="H19" s="44">
        <f>210000+120000</f>
        <v>330000</v>
      </c>
      <c r="I19" s="44">
        <f>205000+120000</f>
        <v>325000</v>
      </c>
      <c r="J19" s="24"/>
      <c r="K19" s="24"/>
      <c r="L19" s="24"/>
      <c r="M19" s="24"/>
      <c r="N19" s="24"/>
      <c r="O19" s="24"/>
      <c r="P19" s="24"/>
      <c r="Q19" s="25"/>
      <c r="R19" s="50">
        <f t="shared" si="2"/>
        <v>1630000</v>
      </c>
      <c r="S19" s="26"/>
    </row>
    <row r="20" spans="2:19" ht="16.899999999999999" customHeight="1" thickBot="1" x14ac:dyDescent="0.5">
      <c r="B20" s="23" t="s">
        <v>6</v>
      </c>
      <c r="C20" s="12"/>
      <c r="D20" s="44"/>
      <c r="E20" s="44">
        <v>80801.843904000008</v>
      </c>
      <c r="F20" s="44">
        <v>159395.63990400001</v>
      </c>
      <c r="G20" s="44">
        <v>385637.03510400001</v>
      </c>
      <c r="H20" s="44">
        <v>471858.859344</v>
      </c>
      <c r="I20" s="44">
        <v>618051.29861599999</v>
      </c>
      <c r="J20" s="24"/>
      <c r="K20" s="24"/>
      <c r="L20" s="24"/>
      <c r="M20" s="24"/>
      <c r="N20" s="24"/>
      <c r="O20" s="24"/>
      <c r="P20" s="24"/>
      <c r="Q20" s="25"/>
      <c r="R20" s="50">
        <f t="shared" si="2"/>
        <v>1715744.6768720001</v>
      </c>
      <c r="S20" s="26"/>
    </row>
    <row r="21" spans="2:19" ht="16.899999999999999" customHeight="1" thickBot="1" x14ac:dyDescent="0.5">
      <c r="B21" s="23" t="s">
        <v>7</v>
      </c>
      <c r="C21" s="12"/>
      <c r="D21" s="44"/>
      <c r="E21" s="44">
        <v>14026.240000000002</v>
      </c>
      <c r="F21" s="44">
        <v>12556.24</v>
      </c>
      <c r="G21" s="44">
        <v>11086.24</v>
      </c>
      <c r="H21" s="44">
        <v>9614.84</v>
      </c>
      <c r="I21" s="44">
        <v>8146.24</v>
      </c>
      <c r="J21" s="24"/>
      <c r="K21" s="24"/>
      <c r="L21" s="24"/>
      <c r="M21" s="24"/>
      <c r="N21" s="24"/>
      <c r="O21" s="24"/>
      <c r="P21" s="24"/>
      <c r="Q21" s="25"/>
      <c r="R21" s="50">
        <f t="shared" si="2"/>
        <v>55429.799999999996</v>
      </c>
      <c r="S21" s="26"/>
    </row>
    <row r="22" spans="2:19" ht="17.350000000000001" customHeight="1" thickBot="1" x14ac:dyDescent="0.5">
      <c r="B22" s="23" t="s">
        <v>11</v>
      </c>
      <c r="C22" s="12"/>
      <c r="D22" s="44">
        <v>800000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24"/>
      <c r="K22" s="24"/>
      <c r="L22" s="24"/>
      <c r="M22" s="24"/>
      <c r="N22" s="24"/>
      <c r="O22" s="24"/>
      <c r="P22" s="24"/>
      <c r="Q22" s="25"/>
      <c r="R22" s="50">
        <f t="shared" si="2"/>
        <v>800000</v>
      </c>
      <c r="S22" s="26"/>
    </row>
    <row r="23" spans="2:19" ht="45" customHeight="1" thickBot="1" x14ac:dyDescent="0.5">
      <c r="B23" s="27" t="s">
        <v>1</v>
      </c>
      <c r="C23" s="12"/>
      <c r="D23" s="45"/>
      <c r="E23" s="42">
        <f>SUM(CashPaidOut[Period 1])</f>
        <v>1380128.083904</v>
      </c>
      <c r="F23" s="42">
        <f>SUM(CashPaidOut[Period 2])</f>
        <v>1738251.8799040001</v>
      </c>
      <c r="G23" s="42">
        <f>SUM(CashPaidOut[Period 3])</f>
        <v>1833023.275104</v>
      </c>
      <c r="H23" s="45">
        <f>SUBTOTAL(109,CashPaidOut[Period 4])</f>
        <v>2364773.6993439998</v>
      </c>
      <c r="I23" s="45">
        <f>SUBTOTAL(109,CashPaidOut[Period 5])</f>
        <v>2524597.5386160002</v>
      </c>
      <c r="J23" s="28"/>
      <c r="K23" s="28"/>
      <c r="L23" s="28"/>
      <c r="M23" s="28"/>
      <c r="N23" s="28"/>
      <c r="O23" s="28"/>
      <c r="P23" s="28"/>
      <c r="Q23" s="29"/>
      <c r="R23" s="39">
        <f t="shared" si="2"/>
        <v>9840774.4768720008</v>
      </c>
      <c r="S23" s="65"/>
    </row>
    <row r="24" spans="2:19" ht="17.25" customHeight="1" x14ac:dyDescent="0.45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</row>
    <row r="25" spans="2:19" ht="17.25" customHeight="1" x14ac:dyDescent="0.5">
      <c r="B25" s="22" t="s">
        <v>12</v>
      </c>
      <c r="C25" s="21"/>
      <c r="Q25" s="12"/>
    </row>
    <row r="26" spans="2:19" ht="17.25" customHeight="1" thickBot="1" x14ac:dyDescent="0.5">
      <c r="B26" s="23" t="s">
        <v>13</v>
      </c>
      <c r="C26" s="12"/>
      <c r="D26" s="44"/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24"/>
      <c r="K26" s="24"/>
      <c r="L26" s="24"/>
      <c r="M26" s="24"/>
      <c r="N26" s="24"/>
      <c r="O26" s="24"/>
      <c r="P26" s="24"/>
      <c r="Q26" s="16"/>
      <c r="R26" s="50">
        <f t="shared" ref="R26:R30" si="3">SUM(D26:P26)</f>
        <v>0</v>
      </c>
      <c r="S26" s="26"/>
    </row>
    <row r="27" spans="2:19" ht="17.25" customHeight="1" thickBot="1" x14ac:dyDescent="0.5">
      <c r="B27" s="23" t="s">
        <v>86</v>
      </c>
      <c r="C27" s="12"/>
      <c r="D27" s="44">
        <v>1700000</v>
      </c>
      <c r="E27" s="44">
        <v>0</v>
      </c>
      <c r="F27" s="44">
        <v>500000</v>
      </c>
      <c r="G27" s="44">
        <v>0</v>
      </c>
      <c r="H27" s="44">
        <v>0</v>
      </c>
      <c r="I27" s="44">
        <v>0</v>
      </c>
      <c r="J27" s="24"/>
      <c r="K27" s="24"/>
      <c r="L27" s="24"/>
      <c r="M27" s="24"/>
      <c r="N27" s="24"/>
      <c r="O27" s="24"/>
      <c r="P27" s="24"/>
      <c r="Q27" s="16"/>
      <c r="R27" s="50">
        <f>SUM(D27:P27)</f>
        <v>2200000</v>
      </c>
      <c r="S27" s="26"/>
    </row>
    <row r="28" spans="2:19" ht="17.25" customHeight="1" x14ac:dyDescent="0.45">
      <c r="B28" s="23" t="s">
        <v>87</v>
      </c>
      <c r="C28" s="12"/>
      <c r="D28" s="44">
        <v>300000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24"/>
      <c r="K28" s="24"/>
      <c r="L28" s="24"/>
      <c r="M28" s="24"/>
      <c r="N28" s="24"/>
      <c r="O28" s="24"/>
      <c r="P28" s="24"/>
      <c r="Q28" s="16"/>
      <c r="R28" s="53">
        <f t="shared" si="3"/>
        <v>300000</v>
      </c>
      <c r="S28" s="26"/>
    </row>
    <row r="29" spans="2:19" ht="16.899999999999999" customHeight="1" x14ac:dyDescent="0.45">
      <c r="B29" s="23" t="s">
        <v>16</v>
      </c>
      <c r="C29" s="12"/>
      <c r="D29" s="44"/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24"/>
      <c r="K29" s="24"/>
      <c r="L29" s="24"/>
      <c r="M29" s="24"/>
      <c r="N29" s="24"/>
      <c r="O29" s="24"/>
      <c r="P29" s="24"/>
      <c r="Q29" s="16"/>
      <c r="R29" s="53">
        <f t="shared" si="3"/>
        <v>0</v>
      </c>
      <c r="S29" s="26"/>
    </row>
    <row r="30" spans="2:19" ht="13.9" x14ac:dyDescent="0.45">
      <c r="B30" s="14" t="s">
        <v>18</v>
      </c>
      <c r="C30" s="12"/>
      <c r="D30" s="44"/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24"/>
      <c r="K30" s="24"/>
      <c r="L30" s="24"/>
      <c r="M30" s="24"/>
      <c r="N30" s="24"/>
      <c r="O30" s="24"/>
      <c r="P30" s="24"/>
      <c r="Q30" s="16"/>
      <c r="R30" s="53">
        <f t="shared" si="3"/>
        <v>0</v>
      </c>
      <c r="S30" s="26"/>
    </row>
    <row r="31" spans="2:19" ht="45" customHeight="1" thickBot="1" x14ac:dyDescent="0.5">
      <c r="B31" s="27" t="s">
        <v>1</v>
      </c>
      <c r="C31" s="12"/>
      <c r="D31" s="45"/>
      <c r="E31" s="45">
        <f>SUM(CashPaidOut2[Period 1])</f>
        <v>0</v>
      </c>
      <c r="F31" s="45">
        <f>SUM(CashPaidOut2[Period 2])</f>
        <v>500000</v>
      </c>
      <c r="G31" s="45">
        <f>SUM(CashPaidOut2[Period 3])</f>
        <v>0</v>
      </c>
      <c r="H31" s="45">
        <f>SUM(CashPaidOut2[Period 4])</f>
        <v>0</v>
      </c>
      <c r="I31" s="45">
        <f>SUM(CashPaidOut2[Period 5])</f>
        <v>0</v>
      </c>
      <c r="J31" s="28"/>
      <c r="K31" s="28"/>
      <c r="L31" s="28"/>
      <c r="M31" s="28"/>
      <c r="N31" s="28"/>
      <c r="O31" s="28"/>
      <c r="P31" s="28"/>
      <c r="Q31" s="29"/>
      <c r="R31" s="39">
        <f>SUM(D31:P31)</f>
        <v>500000</v>
      </c>
      <c r="S31" s="68"/>
    </row>
    <row r="32" spans="2:19" ht="16.899999999999999" customHeight="1" x14ac:dyDescent="0.45"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</row>
    <row r="33" spans="1:19" s="30" customFormat="1" ht="17.25" customHeight="1" x14ac:dyDescent="0.5">
      <c r="B33" s="22" t="s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2"/>
      <c r="R33" s="4"/>
      <c r="S33" s="4"/>
    </row>
    <row r="34" spans="1:19" ht="17.25" customHeight="1" thickBot="1" x14ac:dyDescent="0.5">
      <c r="B34" s="14" t="s">
        <v>20</v>
      </c>
      <c r="C34" s="12"/>
      <c r="D34" s="41"/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/>
      <c r="K34" s="41"/>
      <c r="L34" s="41"/>
      <c r="M34" s="41"/>
      <c r="N34" s="41"/>
      <c r="O34" s="41"/>
      <c r="P34" s="41"/>
      <c r="Q34" s="48"/>
      <c r="R34" s="39">
        <f t="shared" ref="R34" si="4">SUM(D34:P34)</f>
        <v>0</v>
      </c>
    </row>
    <row r="35" spans="1:19" ht="17.25" customHeight="1" thickBot="1" x14ac:dyDescent="0.5">
      <c r="B35" s="14" t="s">
        <v>42</v>
      </c>
      <c r="C35" s="12"/>
      <c r="D35" s="41"/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/>
      <c r="K35" s="41"/>
      <c r="L35" s="41"/>
      <c r="M35" s="41"/>
      <c r="N35" s="41"/>
      <c r="O35" s="41"/>
      <c r="P35" s="41"/>
      <c r="Q35" s="48"/>
      <c r="R35" s="39">
        <f>SUM(D35:P35)</f>
        <v>0</v>
      </c>
    </row>
    <row r="36" spans="1:19" ht="17.25" customHeight="1" thickBot="1" x14ac:dyDescent="0.5">
      <c r="B36" s="14" t="s">
        <v>21</v>
      </c>
      <c r="C36" s="12"/>
      <c r="D36" s="41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/>
      <c r="K36" s="41"/>
      <c r="L36" s="41"/>
      <c r="M36" s="41"/>
      <c r="N36" s="41"/>
      <c r="O36" s="41"/>
      <c r="P36" s="41"/>
      <c r="Q36" s="48"/>
      <c r="R36" s="39">
        <f>SUM(D36:P36)</f>
        <v>0</v>
      </c>
    </row>
    <row r="37" spans="1:19" ht="14.25" thickBot="1" x14ac:dyDescent="0.5">
      <c r="B37" s="14" t="s">
        <v>43</v>
      </c>
      <c r="C37" s="18"/>
      <c r="D37" s="41"/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/>
      <c r="K37" s="41"/>
      <c r="L37" s="41"/>
      <c r="M37" s="41"/>
      <c r="N37" s="41"/>
      <c r="O37" s="41"/>
      <c r="P37" s="41"/>
      <c r="Q37" s="48"/>
      <c r="R37" s="39">
        <f>SUM(D37:P37)</f>
        <v>0</v>
      </c>
    </row>
    <row r="38" spans="1:19" ht="45" customHeight="1" thickBot="1" x14ac:dyDescent="0.5">
      <c r="B38" s="19" t="s">
        <v>1</v>
      </c>
      <c r="C38" s="20"/>
      <c r="D38" s="42"/>
      <c r="E38" s="42">
        <f>SUBTOTAL(109,CashReceipts5[Period 1])</f>
        <v>0</v>
      </c>
      <c r="F38" s="42">
        <f>SUBTOTAL(109,CashReceipts5[Period 2])</f>
        <v>0</v>
      </c>
      <c r="G38" s="42">
        <f>SUBTOTAL(109,CashReceipts5[Period 3])</f>
        <v>0</v>
      </c>
      <c r="H38" s="42">
        <f>SUBTOTAL(109,CashReceipts5[Period 4])</f>
        <v>0</v>
      </c>
      <c r="I38" s="42">
        <f>SUBTOTAL(109,CashReceipts5[Period 5])</f>
        <v>0</v>
      </c>
      <c r="J38" s="42"/>
      <c r="K38" s="42"/>
      <c r="L38" s="42"/>
      <c r="M38" s="42"/>
      <c r="N38" s="42"/>
      <c r="O38" s="42"/>
      <c r="P38" s="42"/>
      <c r="Q38" s="48"/>
      <c r="R38" s="39">
        <f>SUM(D38:P38)</f>
        <v>0</v>
      </c>
      <c r="S38" s="67"/>
    </row>
    <row r="39" spans="1:19" ht="17.25" customHeight="1" thickTop="1" x14ac:dyDescent="0.45"/>
    <row r="40" spans="1:19" ht="17.25" customHeight="1" x14ac:dyDescent="0.5">
      <c r="B40" s="22" t="s">
        <v>22</v>
      </c>
      <c r="C40" s="21"/>
      <c r="Q40" s="12"/>
    </row>
    <row r="41" spans="1:19" ht="17.25" customHeight="1" thickBot="1" x14ac:dyDescent="0.5">
      <c r="B41" s="23" t="s">
        <v>24</v>
      </c>
      <c r="C41" s="12"/>
      <c r="D41" s="44"/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/>
      <c r="K41" s="44"/>
      <c r="L41" s="44"/>
      <c r="M41" s="44"/>
      <c r="N41" s="44"/>
      <c r="O41" s="44"/>
      <c r="P41" s="44"/>
      <c r="Q41" s="48"/>
      <c r="R41" s="39">
        <f t="shared" ref="R41" si="5">SUM(D41:P41)</f>
        <v>0</v>
      </c>
      <c r="S41" s="26"/>
    </row>
    <row r="42" spans="1:19" ht="16.5" customHeight="1" thickBot="1" x14ac:dyDescent="0.5">
      <c r="B42" s="23" t="s">
        <v>25</v>
      </c>
      <c r="C42" s="12"/>
      <c r="D42" s="44"/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/>
      <c r="K42" s="44"/>
      <c r="L42" s="44"/>
      <c r="M42" s="44"/>
      <c r="N42" s="44"/>
      <c r="O42" s="44"/>
      <c r="P42" s="44"/>
      <c r="Q42" s="48"/>
      <c r="R42" s="39">
        <f>SUM(D42:P42)</f>
        <v>0</v>
      </c>
      <c r="S42" s="26"/>
    </row>
    <row r="43" spans="1:19" ht="14.25" thickBot="1" x14ac:dyDescent="0.5">
      <c r="B43" s="14" t="s">
        <v>29</v>
      </c>
      <c r="C43" s="12"/>
      <c r="D43" s="44"/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/>
      <c r="K43" s="44"/>
      <c r="L43" s="44"/>
      <c r="M43" s="44"/>
      <c r="N43" s="44"/>
      <c r="O43" s="44"/>
      <c r="P43" s="44"/>
      <c r="Q43" s="48"/>
      <c r="R43" s="39">
        <f>SUM(D43:P43)</f>
        <v>0</v>
      </c>
      <c r="S43" s="26"/>
    </row>
    <row r="44" spans="1:19" ht="45" customHeight="1" thickBot="1" x14ac:dyDescent="0.5">
      <c r="B44" s="27" t="s">
        <v>1</v>
      </c>
      <c r="C44" s="12"/>
      <c r="D44" s="45"/>
      <c r="E44" s="45">
        <f>SUBTOTAL(109,CashPaidOut26[Period 1])</f>
        <v>0</v>
      </c>
      <c r="F44" s="45">
        <f>SUBTOTAL(109,CashPaidOut26[Period 2])</f>
        <v>0</v>
      </c>
      <c r="G44" s="45">
        <f>SUBTOTAL(109,CashPaidOut26[Period 3])</f>
        <v>0</v>
      </c>
      <c r="H44" s="45">
        <f>SUBTOTAL(109,CashPaidOut26[Period 4])</f>
        <v>0</v>
      </c>
      <c r="I44" s="45">
        <f>SUBTOTAL(109,CashPaidOut26[Period 5])</f>
        <v>0</v>
      </c>
      <c r="J44" s="45"/>
      <c r="K44" s="45"/>
      <c r="L44" s="45"/>
      <c r="M44" s="45"/>
      <c r="N44" s="45"/>
      <c r="O44" s="45"/>
      <c r="P44" s="45"/>
      <c r="Q44" s="49"/>
      <c r="R44" s="39">
        <f>SUM(D44:P44)</f>
        <v>0</v>
      </c>
      <c r="S44" s="68"/>
    </row>
    <row r="45" spans="1:19" ht="17.25" customHeight="1" x14ac:dyDescent="0.45"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</row>
    <row r="46" spans="1:19" ht="17.25" customHeight="1" x14ac:dyDescent="0.5">
      <c r="B46" s="22" t="s">
        <v>23</v>
      </c>
      <c r="Q46" s="12"/>
    </row>
    <row r="47" spans="1:19" ht="17.25" customHeight="1" thickBot="1" x14ac:dyDescent="0.5">
      <c r="B47" s="14" t="s">
        <v>26</v>
      </c>
      <c r="C47" s="12"/>
      <c r="D47" s="41"/>
      <c r="E47" s="41">
        <f>2500*12</f>
        <v>30000</v>
      </c>
      <c r="F47" s="41">
        <f>2500*12</f>
        <v>30000</v>
      </c>
      <c r="G47" s="41">
        <f>2500*12</f>
        <v>30000</v>
      </c>
      <c r="H47" s="41">
        <f>2500*12</f>
        <v>30000</v>
      </c>
      <c r="I47" s="41">
        <f>2500*12</f>
        <v>30000</v>
      </c>
      <c r="J47" s="15"/>
      <c r="K47" s="15"/>
      <c r="L47" s="15"/>
      <c r="M47" s="15"/>
      <c r="N47" s="15"/>
      <c r="O47" s="15"/>
      <c r="P47" s="15"/>
      <c r="Q47" s="16"/>
      <c r="R47" s="50">
        <f t="shared" ref="R47" si="6">SUM(D47:P47)</f>
        <v>150000</v>
      </c>
    </row>
    <row r="48" spans="1:19" ht="17.25" customHeight="1" thickBot="1" x14ac:dyDescent="0.5">
      <c r="A48" s="30"/>
      <c r="B48" s="14" t="s">
        <v>27</v>
      </c>
      <c r="C48" s="12"/>
      <c r="D48" s="41"/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15"/>
      <c r="K48" s="15"/>
      <c r="L48" s="15"/>
      <c r="M48" s="15"/>
      <c r="N48" s="15"/>
      <c r="O48" s="15"/>
      <c r="P48" s="15"/>
      <c r="Q48" s="16"/>
      <c r="R48" s="50">
        <f>SUM(D48:P48)</f>
        <v>0</v>
      </c>
    </row>
    <row r="49" spans="2:19" ht="17.25" customHeight="1" thickBot="1" x14ac:dyDescent="0.5">
      <c r="B49" s="36" t="s">
        <v>28</v>
      </c>
      <c r="C49" s="12"/>
      <c r="D49" s="41"/>
      <c r="E49" s="41">
        <v>0</v>
      </c>
      <c r="F49" s="41">
        <v>100000</v>
      </c>
      <c r="G49" s="41">
        <v>200000</v>
      </c>
      <c r="H49" s="41">
        <v>20000</v>
      </c>
      <c r="I49" s="41">
        <v>500000</v>
      </c>
      <c r="J49" s="15"/>
      <c r="K49" s="15"/>
      <c r="L49" s="15"/>
      <c r="M49" s="15"/>
      <c r="N49" s="15"/>
      <c r="O49" s="15"/>
      <c r="P49" s="15"/>
      <c r="Q49" s="16"/>
      <c r="R49" s="50">
        <f>SUM(D49:P49)</f>
        <v>820000</v>
      </c>
    </row>
    <row r="50" spans="2:19" ht="14.25" thickBot="1" x14ac:dyDescent="0.5">
      <c r="B50" s="14" t="s">
        <v>44</v>
      </c>
      <c r="C50" s="18"/>
      <c r="D50" s="41"/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15"/>
      <c r="K50" s="15"/>
      <c r="L50" s="15"/>
      <c r="M50" s="15"/>
      <c r="N50" s="15"/>
      <c r="O50" s="15"/>
      <c r="P50" s="15"/>
      <c r="Q50" s="16"/>
      <c r="R50" s="50">
        <f>SUM(D50:P50)</f>
        <v>0</v>
      </c>
    </row>
    <row r="51" spans="2:19" ht="45" customHeight="1" thickBot="1" x14ac:dyDescent="0.5">
      <c r="B51" s="19" t="s">
        <v>1</v>
      </c>
      <c r="C51" s="20"/>
      <c r="D51" s="42"/>
      <c r="E51" s="42">
        <f>SUBTOTAL(109,CashReceipts57[Period 1])</f>
        <v>30000</v>
      </c>
      <c r="F51" s="42">
        <f>SUBTOTAL(109,CashReceipts57[Period 2])</f>
        <v>130000</v>
      </c>
      <c r="G51" s="42">
        <f>SUBTOTAL(109,CashReceipts57[Period 3])</f>
        <v>230000</v>
      </c>
      <c r="H51" s="42">
        <f>SUBTOTAL(109,CashReceipts57[Period 4])</f>
        <v>50000</v>
      </c>
      <c r="I51" s="42">
        <f>SUBTOTAL(109,CashReceipts57[Period 5])</f>
        <v>530000</v>
      </c>
      <c r="J51" s="17"/>
      <c r="K51" s="17"/>
      <c r="L51" s="17"/>
      <c r="M51" s="17"/>
      <c r="N51" s="17"/>
      <c r="O51" s="17"/>
      <c r="P51" s="17"/>
      <c r="Q51" s="16"/>
      <c r="R51" s="39">
        <f>SUM(D51:P51)</f>
        <v>970000</v>
      </c>
      <c r="S51" s="67"/>
    </row>
    <row r="52" spans="2:19" ht="14.25" thickTop="1" x14ac:dyDescent="0.45">
      <c r="D52" s="42"/>
      <c r="E52" s="42"/>
      <c r="F52" s="42"/>
      <c r="G52" s="42"/>
      <c r="H52" s="42"/>
      <c r="I52" s="42"/>
      <c r="R52" s="42"/>
    </row>
    <row r="53" spans="2:19" ht="45" customHeight="1" thickBot="1" x14ac:dyDescent="0.5">
      <c r="B53" s="37" t="s">
        <v>30</v>
      </c>
      <c r="C53" s="32"/>
      <c r="D53" s="46">
        <v>2000000</v>
      </c>
      <c r="E53" s="46">
        <f>E4+CashReceipts[[#Totals],[Period 1]]+CashPaidOut2[[#Totals],[Period 1]]+CashPaidOut26[[#Totals],[Period 1]]</f>
        <v>2675686.3263999997</v>
      </c>
      <c r="F53" s="46">
        <f>F4+CashReceipts[[#Totals],[Period 2]]+CashPaidOut2[[#Totals],[Period 2]]+CashPaidOut26[[#Totals],[Period 2]]</f>
        <v>3798613.1688959999</v>
      </c>
      <c r="G53" s="46">
        <f>G4+CashReceipts[[#Totals],[Period 3]]+CashPaidOut2[[#Totals],[Period 3]]+CashPaidOut26[[#Totals],[Period 3]]</f>
        <v>4332952.5353919994</v>
      </c>
      <c r="H53" s="46">
        <f>H4+CashReceipts[[#Totals],[Period 4]]+CashPaidOut2[[#Totals],[Period 4]]+CashPaidOut26[[#Totals],[Period 4]]</f>
        <v>5099466.5906879995</v>
      </c>
      <c r="I53" s="46">
        <f>I4+CashReceipts[[#Totals],[Period 5]]+CashPaidOut2[[#Totals],[Period 5]]+CashPaidOut26[[#Totals],[Period 5]]</f>
        <v>6078956.2469439991</v>
      </c>
      <c r="J53" s="38"/>
      <c r="K53" s="38"/>
      <c r="L53" s="38"/>
      <c r="M53" s="38"/>
      <c r="N53" s="38"/>
      <c r="O53" s="38"/>
      <c r="P53" s="38"/>
      <c r="Q53" s="34"/>
      <c r="R53" s="54">
        <f>SUM(D53:P53)</f>
        <v>23985674.868319999</v>
      </c>
      <c r="S53" s="35"/>
    </row>
    <row r="54" spans="2:19" ht="45" customHeight="1" thickBot="1" x14ac:dyDescent="0.5">
      <c r="B54" s="37" t="s">
        <v>31</v>
      </c>
      <c r="C54" s="32"/>
      <c r="D54" s="46"/>
      <c r="E54" s="46">
        <f>CashPaidOut[[#Totals],[Period 1]]+CashReceipts5[[#Totals],[Period 1]]+CashReceipts57[[#Totals],[Period 1]]</f>
        <v>1410128.083904</v>
      </c>
      <c r="F54" s="46">
        <f>CashPaidOut[[#Totals],[Period 2]]+CashReceipts5[[#Totals],[Period 2]]+CashReceipts57[[#Totals],[Period 2]]</f>
        <v>1868251.8799040001</v>
      </c>
      <c r="G54" s="46">
        <f>CashPaidOut[[#Totals],[Period 3]]+CashReceipts5[[#Totals],[Period 3]]+CashReceipts57[[#Totals],[Period 3]]</f>
        <v>2063023.275104</v>
      </c>
      <c r="H54" s="46">
        <f>CashPaidOut[[#Totals],[Period 4]]+CashReceipts5[[#Totals],[Period 4]]+CashReceipts57[[#Totals],[Period 4]]</f>
        <v>2414773.6993439998</v>
      </c>
      <c r="I54" s="46">
        <f>CashPaidOut[[#Totals],[Period 5]]+CashReceipts5[[#Totals],[Period 5]]+CashReceipts57[[#Totals],[Period 5]]</f>
        <v>3054597.5386160002</v>
      </c>
      <c r="J54" s="38"/>
      <c r="K54" s="38"/>
      <c r="L54" s="38"/>
      <c r="M54" s="38"/>
      <c r="N54" s="38"/>
      <c r="O54" s="38"/>
      <c r="P54" s="38"/>
      <c r="Q54" s="34"/>
      <c r="R54" s="54">
        <f>SUM(D54:P54)</f>
        <v>10810774.476872001</v>
      </c>
      <c r="S54" s="35"/>
    </row>
    <row r="55" spans="2:19" ht="45" customHeight="1" thickBot="1" x14ac:dyDescent="0.5">
      <c r="B55" s="31" t="s">
        <v>32</v>
      </c>
      <c r="C55" s="32"/>
      <c r="D55" s="43"/>
      <c r="E55" s="43">
        <f t="shared" ref="E55:I55" si="7">E53-E54</f>
        <v>1265558.2424959997</v>
      </c>
      <c r="F55" s="43">
        <f t="shared" si="7"/>
        <v>1930361.2889919998</v>
      </c>
      <c r="G55" s="43">
        <f t="shared" si="7"/>
        <v>2269929.2602879992</v>
      </c>
      <c r="H55" s="43">
        <f t="shared" si="7"/>
        <v>2684692.8913439997</v>
      </c>
      <c r="I55" s="43">
        <f t="shared" si="7"/>
        <v>3024358.7083279989</v>
      </c>
      <c r="J55" s="33"/>
      <c r="K55" s="33"/>
      <c r="L55" s="33"/>
      <c r="M55" s="33"/>
      <c r="N55" s="33"/>
      <c r="O55" s="33"/>
      <c r="P55" s="33"/>
      <c r="Q55" s="34"/>
      <c r="R55" s="52">
        <f>SUM(D55:P55)</f>
        <v>11174900.391447997</v>
      </c>
      <c r="S55" s="35"/>
    </row>
    <row r="57" spans="2:19" ht="17.25" customHeight="1" x14ac:dyDescent="0.45">
      <c r="E57" s="42"/>
      <c r="F57" s="42"/>
      <c r="G57" s="42"/>
      <c r="H57" s="42"/>
    </row>
    <row r="58" spans="2:19" ht="17.25" customHeight="1" thickBot="1" x14ac:dyDescent="0.5">
      <c r="E58" s="46"/>
      <c r="F58" s="46"/>
      <c r="G58" s="46"/>
      <c r="H58" s="46"/>
      <c r="I58" s="46"/>
    </row>
    <row r="60" spans="2:19" ht="17.25" customHeight="1" x14ac:dyDescent="0.45">
      <c r="D60" s="55"/>
    </row>
  </sheetData>
  <mergeCells count="4">
    <mergeCell ref="B12:S12"/>
    <mergeCell ref="B24:S24"/>
    <mergeCell ref="B32:S32"/>
    <mergeCell ref="B45:S45"/>
  </mergeCells>
  <phoneticPr fontId="7" type="noConversion"/>
  <conditionalFormatting sqref="E4:P4">
    <cfRule type="expression" dxfId="399" priority="36">
      <formula>E4&lt;0</formula>
    </cfRule>
  </conditionalFormatting>
  <printOptions horizontalCentered="1" verticalCentered="1"/>
  <pageMargins left="0.5" right="0.5" top="0.5" bottom="0.5" header="0.3" footer="0.3"/>
  <pageSetup scale="84" orientation="landscape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2" id="{2A825BFE-E693-4238-8389-5BCCFE76FDD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E4:R4</xm:sqref>
        </x14:conditionalFormatting>
        <x14:conditionalFormatting xmlns:xm="http://schemas.microsoft.com/office/excel/2006/main">
          <x14:cfRule type="iconSet" priority="33" id="{BB84A2F1-BDF1-489E-9805-33D0824F24DE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R7</xm:sqref>
        </x14:conditionalFormatting>
        <x14:conditionalFormatting xmlns:xm="http://schemas.microsoft.com/office/excel/2006/main">
          <x14:cfRule type="iconSet" priority="32" id="{8872B00B-1A59-400D-B318-E6F927A5E759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R8:R9</xm:sqref>
        </x14:conditionalFormatting>
        <x14:conditionalFormatting xmlns:xm="http://schemas.microsoft.com/office/excel/2006/main">
          <x14:cfRule type="iconSet" priority="31" id="{269AF8C0-465E-4D9A-AE39-61FE0A57D6C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R10</xm:sqref>
        </x14:conditionalFormatting>
        <x14:conditionalFormatting xmlns:xm="http://schemas.microsoft.com/office/excel/2006/main">
          <x14:cfRule type="iconSet" priority="30" id="{8C2DA4F6-32C7-4A87-A471-00986A7A1E56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R11</xm:sqref>
        </x14:conditionalFormatting>
        <x14:conditionalFormatting xmlns:xm="http://schemas.microsoft.com/office/excel/2006/main">
          <x14:cfRule type="iconSet" priority="29" id="{C97A42C4-7DFE-49BB-809A-770938B0C856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R14</xm:sqref>
        </x14:conditionalFormatting>
        <x14:conditionalFormatting xmlns:xm="http://schemas.microsoft.com/office/excel/2006/main">
          <x14:cfRule type="iconSet" priority="28" id="{BF5D028C-3E67-4677-B0B8-FE65F64F686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R15</xm:sqref>
        </x14:conditionalFormatting>
        <x14:conditionalFormatting xmlns:xm="http://schemas.microsoft.com/office/excel/2006/main">
          <x14:cfRule type="iconSet" priority="27" id="{A5BC5CFE-5AE3-4DEA-AB42-D81FA555C64E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R16</xm:sqref>
        </x14:conditionalFormatting>
        <x14:conditionalFormatting xmlns:xm="http://schemas.microsoft.com/office/excel/2006/main">
          <x14:cfRule type="iconSet" priority="26" id="{CBE369DD-3757-43A7-943B-9B972F6BC00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R17:R18</xm:sqref>
        </x14:conditionalFormatting>
        <x14:conditionalFormatting xmlns:xm="http://schemas.microsoft.com/office/excel/2006/main">
          <x14:cfRule type="iconSet" priority="25" id="{9E994387-10D3-4993-B1A8-A091FADC544F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R19</xm:sqref>
        </x14:conditionalFormatting>
        <x14:conditionalFormatting xmlns:xm="http://schemas.microsoft.com/office/excel/2006/main">
          <x14:cfRule type="iconSet" priority="24" id="{6D7B9BC8-1540-4FF4-A7B5-A25A2A887A7F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R20</xm:sqref>
        </x14:conditionalFormatting>
        <x14:conditionalFormatting xmlns:xm="http://schemas.microsoft.com/office/excel/2006/main">
          <x14:cfRule type="iconSet" priority="23" id="{A6BFCD9C-D146-41FF-857B-EF920E4703FE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R21</xm:sqref>
        </x14:conditionalFormatting>
        <x14:conditionalFormatting xmlns:xm="http://schemas.microsoft.com/office/excel/2006/main">
          <x14:cfRule type="iconSet" priority="22" id="{1B671BF5-57DE-415A-8AE7-3504EE6BD5EE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R22</xm:sqref>
        </x14:conditionalFormatting>
        <x14:conditionalFormatting xmlns:xm="http://schemas.microsoft.com/office/excel/2006/main">
          <x14:cfRule type="iconSet" priority="21" id="{43B8B6E9-16EC-4531-86B4-EB55FAD1A943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R23</xm:sqref>
        </x14:conditionalFormatting>
        <x14:conditionalFormatting xmlns:xm="http://schemas.microsoft.com/office/excel/2006/main">
          <x14:cfRule type="iconSet" priority="20" id="{455AAD23-1B11-4C51-8CB1-79A97B391BD7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R26</xm:sqref>
        </x14:conditionalFormatting>
        <x14:conditionalFormatting xmlns:xm="http://schemas.microsoft.com/office/excel/2006/main">
          <x14:cfRule type="iconSet" priority="19" id="{88C954EB-7EE4-40C8-8EBF-EDE65B9B4D1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R27</xm:sqref>
        </x14:conditionalFormatting>
        <x14:conditionalFormatting xmlns:xm="http://schemas.microsoft.com/office/excel/2006/main">
          <x14:cfRule type="iconSet" priority="18" id="{33C7DFEA-94F6-47C1-B445-AD84C9A90FAC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R31</xm:sqref>
        </x14:conditionalFormatting>
        <x14:conditionalFormatting xmlns:xm="http://schemas.microsoft.com/office/excel/2006/main">
          <x14:cfRule type="iconSet" priority="17" id="{DA205BC1-F0D2-4233-8D79-5736F73877B5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R34</xm:sqref>
        </x14:conditionalFormatting>
        <x14:conditionalFormatting xmlns:xm="http://schemas.microsoft.com/office/excel/2006/main">
          <x14:cfRule type="iconSet" priority="16" id="{B53A7B89-E35E-408D-97B8-65D9B068ACA9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R35</xm:sqref>
        </x14:conditionalFormatting>
        <x14:conditionalFormatting xmlns:xm="http://schemas.microsoft.com/office/excel/2006/main">
          <x14:cfRule type="iconSet" priority="15" id="{7196FE99-F9A4-439A-8172-D11824B52091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R36</xm:sqref>
        </x14:conditionalFormatting>
        <x14:conditionalFormatting xmlns:xm="http://schemas.microsoft.com/office/excel/2006/main">
          <x14:cfRule type="iconSet" priority="14" id="{10FEDD63-4EB7-42EC-B5AF-0E19D93DED0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R37</xm:sqref>
        </x14:conditionalFormatting>
        <x14:conditionalFormatting xmlns:xm="http://schemas.microsoft.com/office/excel/2006/main">
          <x14:cfRule type="iconSet" priority="13" id="{C9A782FC-DF83-4371-8DF5-7D043D6DF54B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R38</xm:sqref>
        </x14:conditionalFormatting>
        <x14:conditionalFormatting xmlns:xm="http://schemas.microsoft.com/office/excel/2006/main">
          <x14:cfRule type="iconSet" priority="12" id="{C3A9993D-426D-4191-A253-31F5D3F9E158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R41</xm:sqref>
        </x14:conditionalFormatting>
        <x14:conditionalFormatting xmlns:xm="http://schemas.microsoft.com/office/excel/2006/main">
          <x14:cfRule type="iconSet" priority="11" id="{374A2B09-3167-466D-BF18-F872B99B0E23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R42</xm:sqref>
        </x14:conditionalFormatting>
        <x14:conditionalFormatting xmlns:xm="http://schemas.microsoft.com/office/excel/2006/main">
          <x14:cfRule type="iconSet" priority="10" id="{2CE693D8-7543-4937-AE4E-36A2B1A7CBB3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R43</xm:sqref>
        </x14:conditionalFormatting>
        <x14:conditionalFormatting xmlns:xm="http://schemas.microsoft.com/office/excel/2006/main">
          <x14:cfRule type="iconSet" priority="9" id="{A97D342F-A807-4010-86E9-A8EF1AD4B1C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R44</xm:sqref>
        </x14:conditionalFormatting>
        <x14:conditionalFormatting xmlns:xm="http://schemas.microsoft.com/office/excel/2006/main">
          <x14:cfRule type="iconSet" priority="8" id="{D635FE71-745F-45CA-ACAB-4B9E4439E5E6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R47</xm:sqref>
        </x14:conditionalFormatting>
        <x14:conditionalFormatting xmlns:xm="http://schemas.microsoft.com/office/excel/2006/main">
          <x14:cfRule type="iconSet" priority="7" id="{651E50BB-7C00-432E-A53A-CA30F2C8BD2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R48</xm:sqref>
        </x14:conditionalFormatting>
        <x14:conditionalFormatting xmlns:xm="http://schemas.microsoft.com/office/excel/2006/main">
          <x14:cfRule type="iconSet" priority="6" id="{6A6BA711-0A9B-49D4-ACFC-8F5BFCCF225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R49</xm:sqref>
        </x14:conditionalFormatting>
        <x14:conditionalFormatting xmlns:xm="http://schemas.microsoft.com/office/excel/2006/main">
          <x14:cfRule type="iconSet" priority="5" id="{4223F4BC-80DE-4C63-8F67-AB86CD8C14DA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R50</xm:sqref>
        </x14:conditionalFormatting>
        <x14:conditionalFormatting xmlns:xm="http://schemas.microsoft.com/office/excel/2006/main">
          <x14:cfRule type="iconSet" priority="4" id="{A3C68D4F-379E-485D-8B94-30AE08DA6965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R51</xm:sqref>
        </x14:conditionalFormatting>
        <x14:conditionalFormatting xmlns:xm="http://schemas.microsoft.com/office/excel/2006/main">
          <x14:cfRule type="iconSet" priority="3" id="{9A465E39-0600-4B01-87F6-26EA887BF23B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R53</xm:sqref>
        </x14:conditionalFormatting>
        <x14:conditionalFormatting xmlns:xm="http://schemas.microsoft.com/office/excel/2006/main">
          <x14:cfRule type="iconSet" priority="2" id="{2E1CA958-DEFE-4BF4-AC83-67AD1F0EF05E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R54</xm:sqref>
        </x14:conditionalFormatting>
        <x14:conditionalFormatting xmlns:xm="http://schemas.microsoft.com/office/excel/2006/main">
          <x14:cfRule type="iconSet" priority="1" id="{7BB78BF1-6061-4FBB-92FE-9EED9DD00A05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R55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43B2BB01-5986-403B-B1F3-D44A8E89CF56}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Cashflow!D38:P38</xm:f>
              <xm:sqref>S38</xm:sqref>
            </x14:sparkline>
          </x14:sparklines>
        </x14:sparklineGroup>
        <x14:sparklineGroup displayEmptyCellsAs="gap" markers="1" xr2:uid="{1D0912F2-4251-4A44-B271-5B61154D81B2}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Cashflow!D51:P51</xm:f>
              <xm:sqref>S51</xm:sqref>
            </x14:sparkline>
          </x14:sparklines>
        </x14:sparklineGroup>
        <x14:sparklineGroup displayEmptyCellsAs="gap" markers="1" xr2:uid="{9F5222D4-AC32-43C8-B2D8-8CE26E0BFA6D}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Cashflow!D44:P44</xm:f>
              <xm:sqref>S44</xm:sqref>
            </x14:sparkline>
          </x14:sparklines>
        </x14:sparklineGroup>
        <x14:sparklineGroup displayEmptyCellsAs="gap" markers="1" xr2:uid="{5B26344B-D03B-4E4E-8968-2319959DFCDC}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Cashflow!D53:P53</xm:f>
              <xm:sqref>S53</xm:sqref>
            </x14:sparkline>
          </x14:sparklines>
        </x14:sparklineGroup>
        <x14:sparklineGroup displayEmptyCellsAs="gap" markers="1" xr2:uid="{0335346B-D28B-47C8-BB07-908012DF3A1D}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Cashflow!D54:P54</xm:f>
              <xm:sqref>S54</xm:sqref>
            </x14:sparkline>
          </x14:sparklines>
        </x14:sparklineGroup>
        <x14:sparklineGroup displayEmptyCellsAs="gap" markers="1" xr2:uid="{7EB2DFCB-3817-44C1-84BB-FD38B621C2E0}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Cashflow!D55:P55</xm:f>
              <xm:sqref>S55</xm:sqref>
            </x14:sparkline>
          </x14:sparklines>
        </x14:sparklineGroup>
        <x14:sparklineGroup displayEmptyCellsAs="gap" markers="1" xr2:uid="{00000000-0003-0000-0000-000000000000}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Cashflow!D31:P31</xm:f>
              <xm:sqref>S31</xm:sqref>
            </x14:sparkline>
            <x14:sparkline>
              <xm:f>Cashflow!D23:P23</xm:f>
              <xm:sqref>S23</xm:sqref>
            </x14:sparkline>
            <x14:sparkline>
              <xm:f>Cashflow!D4:P4</xm:f>
              <xm:sqref>S4</xm:sqref>
            </x14:sparkline>
            <x14:sparkline>
              <xm:f>Cashflow!D11:P11</xm:f>
              <xm:sqref>S11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0A1D-C83C-4CA2-BB22-8D9B1A5A86BA}">
  <sheetPr>
    <tabColor theme="4" tint="0.79998168889431442"/>
    <pageSetUpPr fitToPage="1"/>
  </sheetPr>
  <dimension ref="B1:H63"/>
  <sheetViews>
    <sheetView showGridLines="0" tabSelected="1" zoomScaleNormal="100" workbookViewId="0">
      <pane ySplit="3" topLeftCell="A16" activePane="bottomLeft" state="frozen"/>
      <selection pane="bottomLeft" activeCell="I25" sqref="I25"/>
    </sheetView>
  </sheetViews>
  <sheetFormatPr defaultRowHeight="17.25" customHeight="1" x14ac:dyDescent="0.45"/>
  <cols>
    <col min="1" max="1" width="2.25" style="58" customWidth="1"/>
    <col min="2" max="2" width="47.75" style="58" customWidth="1"/>
    <col min="3" max="9" width="15.5625" style="58" customWidth="1"/>
    <col min="10" max="16384" width="9" style="58"/>
  </cols>
  <sheetData>
    <row r="1" spans="2:8" ht="42" customHeight="1" thickBot="1" x14ac:dyDescent="0.9">
      <c r="B1" s="56" t="s">
        <v>85</v>
      </c>
      <c r="C1" s="57"/>
      <c r="D1" s="57"/>
      <c r="E1" s="57"/>
      <c r="F1" s="57"/>
      <c r="G1" s="57"/>
      <c r="H1" s="73" t="s">
        <v>91</v>
      </c>
    </row>
    <row r="2" spans="2:8" ht="17.25" customHeight="1" thickTop="1" x14ac:dyDescent="0.45"/>
    <row r="3" spans="2:8" ht="17.25" customHeight="1" thickBot="1" x14ac:dyDescent="0.5">
      <c r="C3" s="64" t="s">
        <v>46</v>
      </c>
      <c r="D3" s="64" t="s">
        <v>47</v>
      </c>
      <c r="E3" s="64" t="s">
        <v>48</v>
      </c>
      <c r="F3" s="64" t="s">
        <v>49</v>
      </c>
      <c r="G3" s="64" t="s">
        <v>50</v>
      </c>
      <c r="H3" s="64" t="s">
        <v>51</v>
      </c>
    </row>
    <row r="4" spans="2:8" ht="17.25" customHeight="1" thickTop="1" x14ac:dyDescent="0.45">
      <c r="B4" s="59" t="s">
        <v>76</v>
      </c>
    </row>
    <row r="5" spans="2:8" ht="17.25" customHeight="1" x14ac:dyDescent="0.45">
      <c r="B5" s="27" t="s">
        <v>75</v>
      </c>
      <c r="C5" s="69">
        <v>1100000</v>
      </c>
      <c r="D5" s="69">
        <v>1265558.2424959997</v>
      </c>
      <c r="E5" s="69">
        <v>1930361.2889919998</v>
      </c>
      <c r="F5" s="69">
        <v>2269929.2602879992</v>
      </c>
      <c r="G5" s="69">
        <v>2684692.8913439997</v>
      </c>
      <c r="H5" s="69">
        <v>3024358.7083279989</v>
      </c>
    </row>
    <row r="6" spans="2:8" ht="17.25" customHeight="1" x14ac:dyDescent="0.45">
      <c r="B6" s="27" t="s">
        <v>62</v>
      </c>
      <c r="C6" s="69">
        <v>0</v>
      </c>
      <c r="D6" s="69">
        <v>0</v>
      </c>
      <c r="E6" s="69">
        <v>0</v>
      </c>
      <c r="F6" s="69">
        <v>0</v>
      </c>
      <c r="G6" s="69">
        <v>400000</v>
      </c>
      <c r="H6" s="69">
        <v>800000</v>
      </c>
    </row>
    <row r="7" spans="2:8" ht="17.25" customHeight="1" x14ac:dyDescent="0.45">
      <c r="B7" s="27" t="s">
        <v>52</v>
      </c>
      <c r="C7" s="69">
        <v>0</v>
      </c>
      <c r="D7" s="69">
        <v>240000.00140800048</v>
      </c>
      <c r="E7" s="69">
        <v>210000.00091200043</v>
      </c>
      <c r="F7" s="69">
        <v>180000.00481600128</v>
      </c>
      <c r="G7" s="69">
        <v>149999.99800000014</v>
      </c>
      <c r="H7" s="69">
        <v>119999.99528800044</v>
      </c>
    </row>
    <row r="8" spans="2:8" ht="17.25" customHeight="1" x14ac:dyDescent="0.45">
      <c r="B8" s="27" t="s">
        <v>53</v>
      </c>
      <c r="C8" s="69">
        <v>0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</row>
    <row r="9" spans="2:8" ht="17.25" customHeight="1" x14ac:dyDescent="0.45">
      <c r="B9" s="27" t="s">
        <v>54</v>
      </c>
      <c r="C9" s="69">
        <v>800000</v>
      </c>
      <c r="D9" s="69">
        <v>680000</v>
      </c>
      <c r="E9" s="69">
        <v>560000</v>
      </c>
      <c r="F9" s="69">
        <v>440000</v>
      </c>
      <c r="G9" s="69">
        <v>320000</v>
      </c>
      <c r="H9" s="69">
        <v>200000</v>
      </c>
    </row>
    <row r="10" spans="2:8" ht="17.25" customHeight="1" x14ac:dyDescent="0.45">
      <c r="B10" s="27" t="s">
        <v>55</v>
      </c>
      <c r="C10" s="69">
        <v>0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</row>
    <row r="11" spans="2:8" ht="17.25" customHeight="1" x14ac:dyDescent="0.45">
      <c r="B11" s="60" t="s">
        <v>59</v>
      </c>
      <c r="C11" s="45">
        <f>SUBTOTAL(109,CurrentAssets[Previous Year])</f>
        <v>1900000</v>
      </c>
      <c r="D11" s="45">
        <f>SUBTOTAL(109,CurrentAssets[Current Year])</f>
        <v>2185558.2439040001</v>
      </c>
      <c r="E11" s="70">
        <f>SUM(CurrentAssets[列1])</f>
        <v>2700361.2899040002</v>
      </c>
      <c r="F11" s="70">
        <f>SUM(CurrentAssets[列2])</f>
        <v>2889929.2651040005</v>
      </c>
      <c r="G11" s="70">
        <f>SUM(CurrentAssets[列3])</f>
        <v>3554692.8893439998</v>
      </c>
      <c r="H11" s="70">
        <f>SUM(CurrentAssets[列4])</f>
        <v>4144358.7036159993</v>
      </c>
    </row>
    <row r="12" spans="2:8" ht="17.25" customHeight="1" x14ac:dyDescent="0.45">
      <c r="B12" s="78"/>
      <c r="C12" s="78"/>
      <c r="D12" s="78"/>
    </row>
    <row r="13" spans="2:8" ht="17.25" customHeight="1" x14ac:dyDescent="0.45">
      <c r="B13" s="59" t="s">
        <v>74</v>
      </c>
    </row>
    <row r="14" spans="2:8" ht="17.25" customHeight="1" x14ac:dyDescent="0.45">
      <c r="B14" s="27" t="s">
        <v>63</v>
      </c>
      <c r="C14" s="69">
        <v>0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</row>
    <row r="15" spans="2:8" ht="17.25" customHeight="1" x14ac:dyDescent="0.45">
      <c r="B15" s="27" t="s">
        <v>55</v>
      </c>
      <c r="C15" s="69">
        <v>0</v>
      </c>
      <c r="D15" s="69">
        <v>0</v>
      </c>
      <c r="E15" s="69">
        <v>0</v>
      </c>
      <c r="F15" s="69">
        <v>0</v>
      </c>
      <c r="G15" s="69">
        <v>0</v>
      </c>
      <c r="H15" s="69">
        <v>0</v>
      </c>
    </row>
    <row r="16" spans="2:8" ht="17.25" customHeight="1" x14ac:dyDescent="0.45">
      <c r="B16" s="60" t="s">
        <v>59</v>
      </c>
      <c r="C16" s="45">
        <f>SUBTOTAL(109,FixedAssets[Previous Year])</f>
        <v>0</v>
      </c>
      <c r="D16" s="45">
        <f>SUBTOTAL(109,FixedAssets[Current Year])</f>
        <v>0</v>
      </c>
      <c r="E16" s="70">
        <f>SUM(FixedAssets[列1])</f>
        <v>0</v>
      </c>
      <c r="F16" s="70">
        <f>SUM(FixedAssets[列2])</f>
        <v>0</v>
      </c>
      <c r="G16" s="70">
        <f>SUM(FixedAssets[列3])</f>
        <v>0</v>
      </c>
      <c r="H16" s="70">
        <f>SUM(FixedAssets[列4])</f>
        <v>0</v>
      </c>
    </row>
    <row r="17" spans="2:8" ht="17.25" customHeight="1" x14ac:dyDescent="0.45">
      <c r="B17" s="78"/>
      <c r="C17" s="78"/>
      <c r="D17" s="78"/>
    </row>
    <row r="18" spans="2:8" ht="17.25" customHeight="1" x14ac:dyDescent="0.45">
      <c r="B18" s="59" t="s">
        <v>57</v>
      </c>
    </row>
    <row r="19" spans="2:8" ht="17.25" customHeight="1" x14ac:dyDescent="0.45">
      <c r="B19" s="27" t="s">
        <v>56</v>
      </c>
      <c r="C19" s="71">
        <v>100000</v>
      </c>
      <c r="D19" s="71">
        <v>100000</v>
      </c>
      <c r="E19" s="71">
        <v>100000</v>
      </c>
      <c r="F19" s="71">
        <v>100000</v>
      </c>
      <c r="G19" s="71">
        <v>150000</v>
      </c>
      <c r="H19" s="71">
        <v>150000</v>
      </c>
    </row>
    <row r="20" spans="2:8" ht="17.25" customHeight="1" x14ac:dyDescent="0.45">
      <c r="B20" s="27" t="s">
        <v>66</v>
      </c>
      <c r="C20" s="71">
        <v>0</v>
      </c>
      <c r="D20" s="71">
        <v>-67000</v>
      </c>
      <c r="E20" s="71">
        <v>-22000</v>
      </c>
      <c r="F20" s="71">
        <v>-6000</v>
      </c>
      <c r="G20" s="71">
        <v>-36667</v>
      </c>
      <c r="H20" s="71">
        <v>-12222</v>
      </c>
    </row>
    <row r="21" spans="2:8" ht="17.25" customHeight="1" x14ac:dyDescent="0.45">
      <c r="B21" s="27" t="s">
        <v>58</v>
      </c>
      <c r="C21" s="71">
        <v>0</v>
      </c>
      <c r="D21" s="71">
        <v>0</v>
      </c>
      <c r="E21" s="71">
        <v>0</v>
      </c>
      <c r="F21" s="71">
        <v>0</v>
      </c>
      <c r="G21" s="71">
        <v>0</v>
      </c>
      <c r="H21" s="71">
        <v>0</v>
      </c>
    </row>
    <row r="22" spans="2:8" ht="17.25" customHeight="1" x14ac:dyDescent="0.45">
      <c r="B22" s="27" t="s">
        <v>55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</row>
    <row r="23" spans="2:8" ht="17.25" customHeight="1" x14ac:dyDescent="0.45">
      <c r="B23" s="60" t="s">
        <v>59</v>
      </c>
      <c r="C23" s="45">
        <f>SUBTOTAL(109,OtherAssets[Previous Year])</f>
        <v>100000</v>
      </c>
      <c r="D23" s="45">
        <f>SUBTOTAL(109,OtherAssets[Current Year])</f>
        <v>33000</v>
      </c>
      <c r="E23" s="70">
        <f>SUM(OtherAssets[列1])</f>
        <v>78000</v>
      </c>
      <c r="F23" s="70">
        <f>SUM(OtherAssets[列2])</f>
        <v>94000</v>
      </c>
      <c r="G23" s="70">
        <f>SUM(OtherAssets[列3])</f>
        <v>113333</v>
      </c>
      <c r="H23" s="70">
        <f>SUM(OtherAssets[列4])</f>
        <v>137778</v>
      </c>
    </row>
    <row r="24" spans="2:8" ht="17.25" customHeight="1" x14ac:dyDescent="0.45">
      <c r="B24" s="60"/>
      <c r="C24" s="62"/>
      <c r="D24" s="62"/>
      <c r="E24" s="30"/>
      <c r="F24" s="30"/>
      <c r="G24" s="30"/>
      <c r="H24" s="30"/>
    </row>
    <row r="25" spans="2:8" ht="17.25" customHeight="1" x14ac:dyDescent="0.45">
      <c r="B25" s="59" t="s">
        <v>64</v>
      </c>
    </row>
    <row r="26" spans="2:8" ht="17.25" customHeight="1" x14ac:dyDescent="0.45">
      <c r="B26" s="27" t="s">
        <v>90</v>
      </c>
      <c r="C26" s="75">
        <v>0</v>
      </c>
      <c r="D26" s="75">
        <v>0</v>
      </c>
      <c r="E26" s="75">
        <v>0</v>
      </c>
      <c r="F26" s="75">
        <v>0</v>
      </c>
      <c r="G26" s="75">
        <v>0</v>
      </c>
      <c r="H26" s="75">
        <v>0</v>
      </c>
    </row>
    <row r="27" spans="2:8" ht="17.25" customHeight="1" x14ac:dyDescent="0.45">
      <c r="B27" s="27" t="s">
        <v>65</v>
      </c>
      <c r="C27" s="69">
        <v>0</v>
      </c>
      <c r="D27" s="69">
        <f>2000</f>
        <v>2000</v>
      </c>
      <c r="E27" s="69">
        <f>2000</f>
        <v>2000</v>
      </c>
      <c r="F27" s="69">
        <f>10000</f>
        <v>10000</v>
      </c>
      <c r="G27" s="69">
        <f>10000</f>
        <v>10000</v>
      </c>
      <c r="H27" s="69">
        <f>10000</f>
        <v>10000</v>
      </c>
    </row>
    <row r="28" spans="2:8" ht="17.25" customHeight="1" x14ac:dyDescent="0.45">
      <c r="B28" s="27" t="s">
        <v>67</v>
      </c>
      <c r="C28" s="69">
        <v>0</v>
      </c>
      <c r="D28" s="69">
        <f>-200</f>
        <v>-200</v>
      </c>
      <c r="E28" s="69">
        <f>-180+OtherAssets8[[#This Row],[Current Year]]</f>
        <v>-380</v>
      </c>
      <c r="F28" s="69">
        <f>-962+OtherAssets8[[#This Row],[列1]]</f>
        <v>-1342</v>
      </c>
      <c r="G28" s="69">
        <f>-865.8+OtherAssets8[[#This Row],[列2]]</f>
        <v>-2207.8000000000002</v>
      </c>
      <c r="H28" s="69">
        <f>-779.22+OtherAssets8[[#This Row],[列3]]</f>
        <v>-2987.0200000000004</v>
      </c>
    </row>
    <row r="29" spans="2:8" ht="17.25" customHeight="1" x14ac:dyDescent="0.45">
      <c r="B29" s="27" t="s">
        <v>55</v>
      </c>
      <c r="C29" s="71">
        <v>0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</row>
    <row r="30" spans="2:8" ht="17.25" customHeight="1" x14ac:dyDescent="0.45">
      <c r="B30" s="60" t="s">
        <v>59</v>
      </c>
      <c r="C30" s="45">
        <f>SUBTOTAL(109,OtherAssets8[Previous Year])</f>
        <v>0</v>
      </c>
      <c r="D30" s="45">
        <f>SUBTOTAL(109,OtherAssets8[Current Year])</f>
        <v>1800</v>
      </c>
      <c r="E30" s="70">
        <f>SUM(OtherAssets8[列1])</f>
        <v>1620</v>
      </c>
      <c r="F30" s="70">
        <f>SUM(OtherAssets8[列2])</f>
        <v>8658</v>
      </c>
      <c r="G30" s="70">
        <f>SUM(OtherAssets8[列3])</f>
        <v>7792.2</v>
      </c>
      <c r="H30" s="70">
        <f>SUM(OtherAssets8[列4])</f>
        <v>7012.98</v>
      </c>
    </row>
    <row r="31" spans="2:8" ht="17.25" customHeight="1" x14ac:dyDescent="0.45">
      <c r="B31" s="60"/>
      <c r="C31" s="45"/>
      <c r="D31" s="45"/>
      <c r="E31" s="70"/>
      <c r="F31" s="70"/>
      <c r="G31" s="70"/>
      <c r="H31" s="70"/>
    </row>
    <row r="32" spans="2:8" ht="17.25" customHeight="1" x14ac:dyDescent="0.45">
      <c r="B32" s="59" t="s">
        <v>90</v>
      </c>
      <c r="C32" s="74">
        <v>0</v>
      </c>
      <c r="D32" s="74">
        <v>145819.51999999999</v>
      </c>
      <c r="E32" s="74">
        <v>174983.42399999997</v>
      </c>
      <c r="F32" s="74">
        <v>209980.10879999999</v>
      </c>
      <c r="G32" s="74">
        <v>251976.13055999996</v>
      </c>
      <c r="H32" s="74">
        <v>302371.35667199997</v>
      </c>
    </row>
    <row r="33" spans="2:8" ht="17.25" customHeight="1" x14ac:dyDescent="0.45">
      <c r="B33" s="78"/>
      <c r="C33" s="78"/>
      <c r="D33" s="78"/>
    </row>
    <row r="34" spans="2:8" ht="17.25" customHeight="1" thickBot="1" x14ac:dyDescent="0.5">
      <c r="B34" s="63" t="s">
        <v>60</v>
      </c>
      <c r="C34" s="72">
        <f>CurrentAssets[[#Totals],[Previous Year]]+FixedAssets[[#Totals],[Previous Year]]+OtherAssets[[#Totals],[Previous Year]]+OtherAssets8[[#Totals],[Previous Year]]</f>
        <v>2000000</v>
      </c>
      <c r="D34" s="72">
        <f>CurrentAssets[[#Totals],[Current Year]]+FixedAssets[[#Totals],[Current Year]]+OtherAssets[[#Totals],[Current Year]]+OtherAssets8[[#Totals],[Current Year]]+D32</f>
        <v>2366177.7639040002</v>
      </c>
      <c r="E34" s="72">
        <f>CurrentAssets[[#Totals],[列1]]+FixedAssets[[#Totals],[列1]]+OtherAssets[[#Totals],[列1]]+OtherAssets8[[#Totals],[列1]]+E32</f>
        <v>2954964.7139040004</v>
      </c>
      <c r="F34" s="72">
        <f>CurrentAssets[[#Totals],[列2]]+FixedAssets[[#Totals],[列2]]+OtherAssets[[#Totals],[列2]]+OtherAssets8[[#Totals],[列2]]+F32</f>
        <v>3202567.3739040005</v>
      </c>
      <c r="G34" s="72">
        <f>CurrentAssets[[#Totals],[列3]]+FixedAssets[[#Totals],[列3]]+OtherAssets[[#Totals],[列3]]+OtherAssets8[[#Totals],[列3]]+G32</f>
        <v>3927794.2199039999</v>
      </c>
      <c r="H34" s="72">
        <f>CurrentAssets[[#Totals],[列4]]+FixedAssets[[#Totals],[列4]]+OtherAssets[[#Totals],[列4]]+OtherAssets8[[#Totals],[列4]]+H32</f>
        <v>4591521.0402879994</v>
      </c>
    </row>
    <row r="36" spans="2:8" ht="17.25" customHeight="1" x14ac:dyDescent="0.45">
      <c r="B36" s="59" t="s">
        <v>78</v>
      </c>
    </row>
    <row r="37" spans="2:8" ht="17.25" customHeight="1" x14ac:dyDescent="0.45">
      <c r="B37" s="27" t="s">
        <v>70</v>
      </c>
      <c r="C37" s="70">
        <v>0</v>
      </c>
      <c r="D37" s="70">
        <v>938300</v>
      </c>
      <c r="E37" s="70">
        <v>1206300</v>
      </c>
      <c r="F37" s="70">
        <v>1014800</v>
      </c>
      <c r="G37" s="70">
        <v>1121300</v>
      </c>
      <c r="H37" s="70">
        <v>1141400</v>
      </c>
    </row>
    <row r="38" spans="2:8" ht="17.25" customHeight="1" x14ac:dyDescent="0.45">
      <c r="B38" s="27" t="s">
        <v>61</v>
      </c>
      <c r="C38" s="70">
        <v>0</v>
      </c>
      <c r="D38" s="69">
        <v>345000</v>
      </c>
      <c r="E38" s="69">
        <v>352000</v>
      </c>
      <c r="F38" s="69">
        <v>371500</v>
      </c>
      <c r="G38" s="69">
        <v>362000</v>
      </c>
      <c r="H38" s="69">
        <v>357000</v>
      </c>
    </row>
    <row r="39" spans="2:8" ht="17.25" customHeight="1" x14ac:dyDescent="0.45">
      <c r="B39" s="27" t="s">
        <v>77</v>
      </c>
      <c r="C39" s="71">
        <v>0</v>
      </c>
      <c r="D39" s="71">
        <v>0</v>
      </c>
      <c r="E39" s="71">
        <v>0</v>
      </c>
      <c r="F39" s="71">
        <v>0</v>
      </c>
      <c r="G39" s="71">
        <v>0</v>
      </c>
      <c r="H39" s="71">
        <v>0</v>
      </c>
    </row>
    <row r="40" spans="2:8" ht="17.25" customHeight="1" x14ac:dyDescent="0.45">
      <c r="B40" s="27" t="s">
        <v>88</v>
      </c>
      <c r="C40" s="71">
        <v>0</v>
      </c>
      <c r="D40" s="71">
        <v>0</v>
      </c>
      <c r="E40" s="71">
        <v>100000</v>
      </c>
      <c r="F40" s="71">
        <v>200000</v>
      </c>
      <c r="G40" s="71">
        <v>20000</v>
      </c>
      <c r="H40" s="71">
        <v>500000</v>
      </c>
    </row>
    <row r="41" spans="2:8" ht="17.25" customHeight="1" x14ac:dyDescent="0.45">
      <c r="B41" s="27" t="s">
        <v>68</v>
      </c>
      <c r="C41" s="70">
        <v>0</v>
      </c>
      <c r="D41" s="44">
        <v>80801.843904000008</v>
      </c>
      <c r="E41" s="44">
        <v>159395.63990400001</v>
      </c>
      <c r="F41" s="44">
        <v>385637.03510400001</v>
      </c>
      <c r="G41" s="44">
        <v>471858.859344</v>
      </c>
      <c r="H41" s="44">
        <v>618051.29861599999</v>
      </c>
    </row>
    <row r="42" spans="2:8" ht="17.25" customHeight="1" x14ac:dyDescent="0.45">
      <c r="B42" s="27" t="s">
        <v>69</v>
      </c>
      <c r="C42" s="71">
        <v>0</v>
      </c>
      <c r="D42" s="71">
        <v>0</v>
      </c>
      <c r="E42" s="71">
        <v>0</v>
      </c>
      <c r="F42" s="71">
        <v>0</v>
      </c>
      <c r="G42" s="71">
        <v>0</v>
      </c>
      <c r="H42" s="71">
        <v>0</v>
      </c>
    </row>
    <row r="43" spans="2:8" ht="17.25" customHeight="1" x14ac:dyDescent="0.45">
      <c r="B43" s="27" t="s">
        <v>55</v>
      </c>
      <c r="C43" s="71">
        <v>0</v>
      </c>
      <c r="D43" s="71">
        <f>9312-8912</f>
        <v>400</v>
      </c>
      <c r="E43" s="71">
        <v>0</v>
      </c>
      <c r="F43" s="41">
        <v>8000</v>
      </c>
      <c r="G43" s="41">
        <v>8000</v>
      </c>
      <c r="H43" s="41">
        <v>10000</v>
      </c>
    </row>
    <row r="44" spans="2:8" ht="17.25" customHeight="1" x14ac:dyDescent="0.45">
      <c r="B44" s="60" t="s">
        <v>59</v>
      </c>
      <c r="C44" s="45">
        <f>SUBTOTAL(109,CurrentLiabilities[Previous Year])</f>
        <v>0</v>
      </c>
      <c r="D44" s="45">
        <f>SUBTOTAL(109,CurrentLiabilities[Current Year])</f>
        <v>1364501.843904</v>
      </c>
      <c r="E44" s="70">
        <f>SUM(CurrentLiabilities[列1])</f>
        <v>1817695.6399040001</v>
      </c>
      <c r="F44" s="70">
        <f>SUM(CurrentLiabilities[列2])</f>
        <v>1979937.035104</v>
      </c>
      <c r="G44" s="70">
        <f>SUM(CurrentLiabilities[列3])</f>
        <v>1983158.859344</v>
      </c>
      <c r="H44" s="70">
        <f>SUM(CurrentLiabilities[列4])</f>
        <v>2626451.298616</v>
      </c>
    </row>
    <row r="45" spans="2:8" ht="17.25" customHeight="1" x14ac:dyDescent="0.45">
      <c r="B45" s="60"/>
      <c r="C45" s="61"/>
      <c r="D45" s="61"/>
      <c r="E45" s="30"/>
      <c r="F45" s="30"/>
      <c r="G45" s="30"/>
      <c r="H45" s="30"/>
    </row>
    <row r="46" spans="2:8" ht="17.25" customHeight="1" x14ac:dyDescent="0.45">
      <c r="B46" s="59" t="s">
        <v>73</v>
      </c>
    </row>
    <row r="47" spans="2:8" ht="17.25" customHeight="1" x14ac:dyDescent="0.45">
      <c r="B47" s="27" t="s">
        <v>71</v>
      </c>
      <c r="C47" s="69">
        <v>300000</v>
      </c>
      <c r="D47" s="69">
        <v>270000</v>
      </c>
      <c r="E47" s="69">
        <v>240000</v>
      </c>
      <c r="F47" s="69">
        <v>210000</v>
      </c>
      <c r="G47" s="69">
        <v>180000</v>
      </c>
      <c r="H47" s="69">
        <v>150000</v>
      </c>
    </row>
    <row r="48" spans="2:8" ht="17.25" customHeight="1" x14ac:dyDescent="0.45">
      <c r="B48" s="27" t="s">
        <v>72</v>
      </c>
      <c r="C48" s="69">
        <v>0</v>
      </c>
      <c r="D48" s="69">
        <v>14026.240000000002</v>
      </c>
      <c r="E48" s="69">
        <v>12556.24</v>
      </c>
      <c r="F48" s="69">
        <v>11086.24</v>
      </c>
      <c r="G48" s="69">
        <v>9614.84</v>
      </c>
      <c r="H48" s="69">
        <v>8146.24</v>
      </c>
    </row>
    <row r="49" spans="2:8" ht="17.25" customHeight="1" x14ac:dyDescent="0.45">
      <c r="B49" s="27" t="s">
        <v>55</v>
      </c>
      <c r="C49" s="71">
        <v>0</v>
      </c>
      <c r="D49" s="71">
        <v>0</v>
      </c>
      <c r="E49" s="71">
        <v>0</v>
      </c>
      <c r="F49" s="71">
        <v>0</v>
      </c>
      <c r="G49" s="71">
        <v>0</v>
      </c>
      <c r="H49" s="71">
        <v>0</v>
      </c>
    </row>
    <row r="50" spans="2:8" ht="17.25" customHeight="1" x14ac:dyDescent="0.45">
      <c r="B50" s="60" t="s">
        <v>59</v>
      </c>
      <c r="C50" s="45">
        <f>SUBTOTAL(109,LongtermLiabilities[Previous Year])</f>
        <v>300000</v>
      </c>
      <c r="D50" s="45">
        <f>SUBTOTAL(109,LongtermLiabilities[Current Year])</f>
        <v>284026.23999999999</v>
      </c>
      <c r="E50" s="70">
        <f>SUM(LongtermLiabilities[列1])</f>
        <v>252556.24</v>
      </c>
      <c r="F50" s="70">
        <f>SUM(LongtermLiabilities[列2])</f>
        <v>221086.24</v>
      </c>
      <c r="G50" s="70">
        <f>SUM(LongtermLiabilities[列3])</f>
        <v>189614.84</v>
      </c>
      <c r="H50" s="70">
        <f>SUM(LongtermLiabilities[列4])</f>
        <v>158146.23999999999</v>
      </c>
    </row>
    <row r="51" spans="2:8" ht="17.25" customHeight="1" x14ac:dyDescent="0.45">
      <c r="B51" s="60"/>
      <c r="C51" s="61"/>
      <c r="D51" s="61"/>
      <c r="E51" s="30"/>
      <c r="F51" s="30"/>
      <c r="G51" s="30"/>
      <c r="H51" s="30"/>
    </row>
    <row r="52" spans="2:8" ht="17.25" customHeight="1" thickBot="1" x14ac:dyDescent="0.5">
      <c r="B52" s="63" t="s">
        <v>79</v>
      </c>
      <c r="C52" s="72">
        <f>CurrentLiabilities[[#Totals],[Previous Year]]+LongtermLiabilities[[#Totals],[Previous Year]]</f>
        <v>300000</v>
      </c>
      <c r="D52" s="72">
        <f>CurrentLiabilities[[#Totals],[Current Year]]+LongtermLiabilities[[#Totals],[Current Year]]</f>
        <v>1648528.083904</v>
      </c>
      <c r="E52" s="72">
        <f>CurrentLiabilities[[#Totals],[列1]]+LongtermLiabilities[[#Totals],[列1]]</f>
        <v>2070251.8799040001</v>
      </c>
      <c r="F52" s="72">
        <f>CurrentLiabilities[[#Totals],[列2]]+LongtermLiabilities[[#Totals],[列2]]</f>
        <v>2201023.2751040002</v>
      </c>
      <c r="G52" s="72">
        <f>CurrentLiabilities[[#Totals],[列3]]+LongtermLiabilities[[#Totals],[列3]]</f>
        <v>2172773.6993439998</v>
      </c>
      <c r="H52" s="72">
        <f>CurrentLiabilities[[#Totals],[列4]]+LongtermLiabilities[[#Totals],[列4]]</f>
        <v>2784597.5386159997</v>
      </c>
    </row>
    <row r="53" spans="2:8" ht="17.25" customHeight="1" x14ac:dyDescent="0.45">
      <c r="B53" s="60"/>
      <c r="C53" s="61"/>
      <c r="D53" s="61"/>
      <c r="E53" s="30"/>
      <c r="F53" s="30"/>
      <c r="G53" s="30"/>
      <c r="H53" s="30"/>
    </row>
    <row r="54" spans="2:8" ht="17.25" customHeight="1" x14ac:dyDescent="0.45">
      <c r="B54" s="59" t="s">
        <v>80</v>
      </c>
    </row>
    <row r="55" spans="2:8" ht="17.25" customHeight="1" x14ac:dyDescent="0.45">
      <c r="B55" s="27" t="s">
        <v>81</v>
      </c>
      <c r="C55" s="69">
        <v>1700000</v>
      </c>
      <c r="D55" s="69">
        <v>0</v>
      </c>
      <c r="E55" s="69">
        <v>500000</v>
      </c>
      <c r="F55" s="69">
        <v>0</v>
      </c>
      <c r="G55" s="69">
        <v>0</v>
      </c>
      <c r="H55" s="69">
        <v>0</v>
      </c>
    </row>
    <row r="56" spans="2:8" ht="17.25" customHeight="1" x14ac:dyDescent="0.45">
      <c r="B56" s="27" t="s">
        <v>82</v>
      </c>
      <c r="C56" s="71">
        <v>0</v>
      </c>
      <c r="D56" s="71">
        <v>0</v>
      </c>
      <c r="E56" s="71">
        <v>0</v>
      </c>
      <c r="F56" s="71">
        <v>0</v>
      </c>
      <c r="G56" s="71">
        <v>0</v>
      </c>
      <c r="H56" s="71">
        <v>0</v>
      </c>
    </row>
    <row r="57" spans="2:8" ht="17.25" customHeight="1" x14ac:dyDescent="0.45">
      <c r="B57" s="27" t="s">
        <v>83</v>
      </c>
      <c r="C57" s="69">
        <v>0</v>
      </c>
      <c r="D57" s="69">
        <f>57605.32+145819.52*2</f>
        <v>349244.36</v>
      </c>
      <c r="E57" s="69">
        <f>31722.82+129498.45*2+45484.97</f>
        <v>336204.68999999994</v>
      </c>
      <c r="F57" s="69">
        <f>406738.82-9203.79+209980.11</f>
        <v>607515.14</v>
      </c>
      <c r="G57" s="69">
        <f>59664.27+453116.09*2-201139.96</f>
        <v>764756.49000000011</v>
      </c>
      <c r="H57" s="69">
        <f>446839.405+216845.24</f>
        <v>663684.64500000002</v>
      </c>
    </row>
    <row r="58" spans="2:8" ht="17.25" customHeight="1" x14ac:dyDescent="0.45">
      <c r="B58" s="60" t="s">
        <v>59</v>
      </c>
      <c r="C58" s="45">
        <f>SUBTOTAL(109,OwnerEquity[Previous Year])</f>
        <v>1700000</v>
      </c>
      <c r="D58" s="45">
        <f>SUBTOTAL(109,OwnerEquity[Current Year])+368405.32</f>
        <v>717649.67999999993</v>
      </c>
      <c r="E58" s="70">
        <f>SUM(OwnerEquity[列1])+48508.14</f>
        <v>884712.83</v>
      </c>
      <c r="F58" s="70">
        <f>SUM(OwnerEquity[列2])+394028.96</f>
        <v>1001544.1000000001</v>
      </c>
      <c r="G58" s="70">
        <f>SUM(OwnerEquity[列3])+990264.03</f>
        <v>1755020.52</v>
      </c>
      <c r="H58" s="70">
        <f>SUM(OwnerEquity[列4])+1143238.86</f>
        <v>1806923.5050000001</v>
      </c>
    </row>
    <row r="59" spans="2:8" ht="17.25" customHeight="1" x14ac:dyDescent="0.45">
      <c r="B59" s="78"/>
      <c r="C59" s="78"/>
      <c r="D59" s="78"/>
    </row>
    <row r="60" spans="2:8" ht="17.25" customHeight="1" thickBot="1" x14ac:dyDescent="0.5">
      <c r="B60" s="63" t="s">
        <v>84</v>
      </c>
      <c r="C60" s="72">
        <f>C52+OwnerEquity[[#Totals],[Previous Year]]</f>
        <v>2000000</v>
      </c>
      <c r="D60" s="72">
        <f>D52+OwnerEquity[[#Totals],[Current Year]]</f>
        <v>2366177.7639039997</v>
      </c>
      <c r="E60" s="72">
        <f>E52+OwnerEquity[[#Totals],[列1]]</f>
        <v>2954964.7099040002</v>
      </c>
      <c r="F60" s="72">
        <f>F52+OwnerEquity[[#Totals],[列2]]</f>
        <v>3202567.3751040003</v>
      </c>
      <c r="G60" s="72">
        <f>G52+OwnerEquity[[#Totals],[列3]]</f>
        <v>3927794.2193439999</v>
      </c>
      <c r="H60" s="72">
        <f>H52+OwnerEquity[[#Totals],[列4]]</f>
        <v>4591521.0436159996</v>
      </c>
    </row>
    <row r="61" spans="2:8" ht="17.25" customHeight="1" x14ac:dyDescent="0.45">
      <c r="D61" s="74"/>
      <c r="E61" s="74"/>
      <c r="F61" s="74"/>
      <c r="G61" s="74"/>
      <c r="H61" s="74"/>
    </row>
    <row r="62" spans="2:8" ht="17.25" customHeight="1" x14ac:dyDescent="0.45">
      <c r="C62" s="74"/>
      <c r="D62" s="74"/>
      <c r="E62" s="74"/>
      <c r="F62" s="74"/>
      <c r="G62" s="74"/>
      <c r="H62" s="74"/>
    </row>
    <row r="63" spans="2:8" ht="17.25" customHeight="1" x14ac:dyDescent="0.45">
      <c r="D63" s="74"/>
      <c r="E63" s="74"/>
      <c r="F63" s="74"/>
      <c r="G63" s="74"/>
      <c r="H63" s="74"/>
    </row>
  </sheetData>
  <mergeCells count="4">
    <mergeCell ref="B59:D59"/>
    <mergeCell ref="B12:D12"/>
    <mergeCell ref="B17:D17"/>
    <mergeCell ref="B33:D33"/>
  </mergeCells>
  <phoneticPr fontId="20" type="noConversion"/>
  <printOptions horizontalCentered="1" verticalCentered="1"/>
  <pageMargins left="0.5" right="0.5" top="0.5" bottom="0.5" header="0.3" footer="0.3"/>
  <pageSetup scale="84" orientation="landscape" r:id="rId1"/>
  <ignoredErrors>
    <ignoredError sqref="D43 D27:H28 D57:H57" unlockedFormula="1"/>
  </ignoredError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84A6592-B3DF-4E49-A978-FDD19C943E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Cashflow</vt:lpstr>
      <vt:lpstr>Balance</vt:lpstr>
      <vt:lpstr>Balance!Print_Area</vt:lpstr>
      <vt:lpstr>Cashflow!Print_Area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2018-06-05T01:29:54Z</dcterms:created>
  <dcterms:modified xsi:type="dcterms:W3CDTF">2018-06-26T01:26:13Z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TC031076379991</vt:lpwstr>
  </property>
</Properties>
</file>