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Liana\Desktop\study\SM\DataExcel\"/>
    </mc:Choice>
  </mc:AlternateContent>
  <xr:revisionPtr revIDLastSave="0" documentId="10_ncr:8100000_{3CDC3399-F979-47BE-A408-0BD5AE8B7008}" xr6:coauthVersionLast="33" xr6:coauthVersionMax="33" xr10:uidLastSave="{00000000-0000-0000-0000-000000000000}"/>
  <bookViews>
    <workbookView xWindow="0" yWindow="0" windowWidth="28800" windowHeight="12450" tabRatio="749" xr2:uid="{00000000-000D-0000-FFFF-FFFF00000000}"/>
  </bookViews>
  <sheets>
    <sheet name="YearProfit" sheetId="13" r:id="rId1"/>
    <sheet name="12monthProfit" sheetId="18" r:id="rId2"/>
    <sheet name="EarnedValue" sheetId="11" r:id="rId3"/>
    <sheet name="ActualCost" sheetId="8" r:id="rId4"/>
    <sheet name="EstimatedCost" sheetId="7" r:id="rId5"/>
    <sheet name="EVChart" sheetId="12" r:id="rId6"/>
    <sheet name="DateSheet" sheetId="9" r:id="rId7"/>
    <sheet name="Break-Even" sheetId="10" r:id="rId8"/>
    <sheet name="Sensitivity" sheetId="19" r:id="rId9"/>
  </sheets>
  <definedNames>
    <definedName name="EarnedValue" localSheetId="1">#REF!</definedName>
    <definedName name="EarnedValue" localSheetId="5">#REF!</definedName>
    <definedName name="EarnedValue" localSheetId="8">#REF!</definedName>
    <definedName name="EarnedValue" localSheetId="0">#REF!</definedName>
    <definedName name="EarnedValue">#REF!</definedName>
    <definedName name="option2" localSheetId="1">#REF!</definedName>
    <definedName name="option2" localSheetId="8">#REF!</definedName>
    <definedName name="option2">#REF!</definedName>
    <definedName name="TestTotal" localSheetId="1">#REF!</definedName>
    <definedName name="TestTotal" localSheetId="3">#REF!</definedName>
    <definedName name="TestTotal" localSheetId="7">#REF!</definedName>
    <definedName name="TestTotal" localSheetId="6">#REF!</definedName>
    <definedName name="TestTotal" localSheetId="2">#REF!</definedName>
    <definedName name="TestTotal" localSheetId="5">#REF!</definedName>
    <definedName name="TestTotal" localSheetId="8">#REF!</definedName>
    <definedName name="TestTotal" localSheetId="0">#REF!</definedName>
    <definedName name="TestTotal">#REF!</definedName>
    <definedName name="阿布" localSheetId="1">#REF!</definedName>
    <definedName name="阿布" localSheetId="8">#REF!</definedName>
    <definedName name="阿布">#REF!</definedName>
    <definedName name="安装合计" localSheetId="1">#REF!</definedName>
    <definedName name="安装合计" localSheetId="3">#REF!</definedName>
    <definedName name="安装合计" localSheetId="7">#REF!</definedName>
    <definedName name="安装合计" localSheetId="6">#REF!</definedName>
    <definedName name="安装合计" localSheetId="2">#REF!</definedName>
    <definedName name="安装合计" localSheetId="5">#REF!</definedName>
    <definedName name="安装合计" localSheetId="8">#REF!</definedName>
    <definedName name="安装合计" localSheetId="0">#REF!</definedName>
    <definedName name="安装合计">#REF!</definedName>
    <definedName name="打印标题" localSheetId="6">DateSheet!$4:$4</definedName>
    <definedName name="打印标题" localSheetId="5">EVChart!$4:$4</definedName>
    <definedName name="构建合计" localSheetId="1">#REF!</definedName>
    <definedName name="构建合计" localSheetId="3">#REF!</definedName>
    <definedName name="构建合计" localSheetId="7">#REF!</definedName>
    <definedName name="构建合计" localSheetId="6">#REF!</definedName>
    <definedName name="构建合计" localSheetId="2">#REF!</definedName>
    <definedName name="构建合计" localSheetId="5">#REF!</definedName>
    <definedName name="构建合计" localSheetId="8">#REF!</definedName>
    <definedName name="构建合计" localSheetId="0">#REF!</definedName>
    <definedName name="构建合计">#REF!</definedName>
    <definedName name="规划_2_合计" localSheetId="1">#REF!</definedName>
    <definedName name="规划_2_合计" localSheetId="3">#REF!</definedName>
    <definedName name="规划_2_合计" localSheetId="7">#REF!</definedName>
    <definedName name="规划_2_合计" localSheetId="6">#REF!</definedName>
    <definedName name="规划_2_合计" localSheetId="2">#REF!</definedName>
    <definedName name="规划_2_合计" localSheetId="5">#REF!</definedName>
    <definedName name="规划_2_合计" localSheetId="8">#REF!</definedName>
    <definedName name="规划_2_合计" localSheetId="0">#REF!</definedName>
    <definedName name="规划_2_合计">#REF!</definedName>
    <definedName name="规划合计" localSheetId="1">#REF!</definedName>
    <definedName name="规划合计" localSheetId="3">#REF!</definedName>
    <definedName name="规划合计" localSheetId="7">#REF!</definedName>
    <definedName name="规划合计" localSheetId="6">#REF!</definedName>
    <definedName name="规划合计" localSheetId="2">#REF!</definedName>
    <definedName name="规划合计" localSheetId="5">#REF!</definedName>
    <definedName name="规划合计" localSheetId="8">#REF!</definedName>
    <definedName name="规划合计" localSheetId="0">#REF!</definedName>
    <definedName name="规划合计">#REF!</definedName>
    <definedName name="画" localSheetId="1">#REF!</definedName>
    <definedName name="画" localSheetId="8">#REF!</definedName>
    <definedName name="画">#REF!</definedName>
    <definedName name="加" localSheetId="1">#REF!</definedName>
    <definedName name="加" localSheetId="8">#REF!</definedName>
    <definedName name="加">#REF!</definedName>
    <definedName name="有" localSheetId="1">#REF!</definedName>
    <definedName name="有" localSheetId="8">#REF!</definedName>
    <definedName name="有">#REF!</definedName>
  </definedNames>
  <calcPr calcId="162913"/>
</workbook>
</file>

<file path=xl/calcChain.xml><?xml version="1.0" encoding="utf-8"?>
<calcChain xmlns="http://schemas.openxmlformats.org/spreadsheetml/2006/main">
  <c r="I11" i="10" l="1"/>
  <c r="H11" i="10"/>
  <c r="G11" i="10"/>
  <c r="F11" i="10"/>
  <c r="I6" i="10"/>
  <c r="H6" i="10"/>
  <c r="G6" i="10"/>
  <c r="F6" i="10"/>
  <c r="C21" i="19" l="1"/>
  <c r="C20" i="19"/>
  <c r="C18" i="19"/>
  <c r="C17" i="19"/>
  <c r="F21" i="19"/>
  <c r="F20" i="19"/>
  <c r="F18" i="19"/>
  <c r="F17" i="19"/>
  <c r="F12" i="19"/>
  <c r="C15" i="19"/>
  <c r="C14" i="19"/>
  <c r="C12" i="19"/>
  <c r="C11" i="19"/>
  <c r="F15" i="19"/>
  <c r="F14" i="19"/>
  <c r="F11" i="19"/>
  <c r="F9" i="19"/>
  <c r="F8" i="19"/>
  <c r="F6" i="19"/>
  <c r="F5" i="19"/>
  <c r="C9" i="19"/>
  <c r="C8" i="19"/>
  <c r="C6" i="19"/>
  <c r="C5" i="19"/>
  <c r="F16" i="10"/>
  <c r="I21" i="13" l="1"/>
  <c r="P9" i="18" l="1"/>
  <c r="O9" i="18"/>
  <c r="N9" i="18"/>
  <c r="M9" i="18"/>
  <c r="L9" i="18"/>
  <c r="K9" i="18"/>
  <c r="J9" i="18"/>
  <c r="I9" i="18"/>
  <c r="H9" i="18"/>
  <c r="G9" i="18"/>
  <c r="F9" i="18"/>
  <c r="E9" i="18"/>
  <c r="E7" i="13" l="1"/>
  <c r="E13" i="13" s="1"/>
  <c r="Q7" i="18"/>
  <c r="P6" i="18"/>
  <c r="O6" i="18"/>
  <c r="N6" i="18"/>
  <c r="M6" i="18"/>
  <c r="L6" i="18"/>
  <c r="K6" i="18"/>
  <c r="J6" i="18"/>
  <c r="I6" i="18"/>
  <c r="H6" i="18"/>
  <c r="G6" i="18"/>
  <c r="F6" i="18"/>
  <c r="E6" i="18"/>
  <c r="Q14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43" i="11"/>
  <c r="Y10" i="11"/>
  <c r="Y9" i="11"/>
  <c r="Y8" i="11"/>
  <c r="X12" i="11"/>
  <c r="Y7" i="11"/>
  <c r="Y6" i="11"/>
  <c r="Y5" i="11"/>
  <c r="Y4" i="11"/>
  <c r="H5" i="12"/>
  <c r="D36" i="11"/>
  <c r="J15" i="11"/>
  <c r="J14" i="11"/>
  <c r="I14" i="11"/>
  <c r="I13" i="11"/>
  <c r="T13" i="11" s="1"/>
  <c r="H13" i="11"/>
  <c r="H12" i="11"/>
  <c r="G10" i="11"/>
  <c r="G9" i="11"/>
  <c r="F9" i="11"/>
  <c r="T9" i="11" s="1"/>
  <c r="F8" i="11"/>
  <c r="E8" i="11"/>
  <c r="D8" i="11"/>
  <c r="F3" i="9"/>
  <c r="D6" i="11"/>
  <c r="T15" i="11"/>
  <c r="T10" i="11"/>
  <c r="T14" i="11"/>
  <c r="T12" i="11"/>
  <c r="T8" i="11"/>
  <c r="T6" i="11"/>
  <c r="T5" i="11"/>
  <c r="T4" i="11"/>
  <c r="D5" i="11"/>
  <c r="D4" i="11"/>
  <c r="F20" i="9"/>
  <c r="D20" i="9"/>
  <c r="D19" i="9"/>
  <c r="D18" i="9"/>
  <c r="D17" i="9"/>
  <c r="D16" i="9"/>
  <c r="D15" i="9"/>
  <c r="D14" i="9"/>
  <c r="D13" i="9"/>
  <c r="D9" i="9"/>
  <c r="D12" i="9"/>
  <c r="D11" i="9"/>
  <c r="D10" i="9"/>
  <c r="D8" i="9"/>
  <c r="D7" i="9"/>
  <c r="F5" i="9"/>
  <c r="D6" i="9"/>
  <c r="D5" i="9"/>
  <c r="E20" i="9"/>
  <c r="C20" i="9"/>
  <c r="C19" i="9"/>
  <c r="C18" i="9"/>
  <c r="C17" i="9"/>
  <c r="C16" i="9"/>
  <c r="C15" i="9"/>
  <c r="C14" i="9"/>
  <c r="C13" i="9"/>
  <c r="C12" i="9"/>
  <c r="C11" i="9"/>
  <c r="C10" i="9"/>
  <c r="C9" i="9"/>
  <c r="C5" i="9"/>
  <c r="C6" i="9"/>
  <c r="C7" i="9"/>
  <c r="C8" i="9"/>
  <c r="E5" i="9"/>
  <c r="F43" i="7"/>
  <c r="F43" i="8"/>
  <c r="D43" i="8"/>
  <c r="K43" i="7"/>
  <c r="H43" i="7"/>
  <c r="G43" i="7"/>
  <c r="D43" i="7"/>
  <c r="H43" i="8" l="1"/>
  <c r="G43" i="8"/>
  <c r="K43" i="8" s="1"/>
  <c r="Q12" i="18" l="1"/>
  <c r="D8" i="10"/>
  <c r="D12" i="10"/>
  <c r="D13" i="10" s="1"/>
  <c r="D15" i="10"/>
  <c r="D16" i="10"/>
  <c r="E12" i="10"/>
  <c r="Q6" i="18"/>
  <c r="E13" i="10" l="1"/>
  <c r="D17" i="10"/>
  <c r="Q5" i="18" l="1"/>
  <c r="E7" i="18"/>
  <c r="E12" i="18" s="1"/>
  <c r="E15" i="18" s="1"/>
  <c r="E18" i="18" s="1"/>
  <c r="E21" i="18" s="1"/>
  <c r="P7" i="18"/>
  <c r="P12" i="18" s="1"/>
  <c r="P15" i="18" s="1"/>
  <c r="O7" i="18"/>
  <c r="O12" i="18" s="1"/>
  <c r="O15" i="18" s="1"/>
  <c r="N7" i="18"/>
  <c r="N12" i="18" s="1"/>
  <c r="N15" i="18" s="1"/>
  <c r="M7" i="18"/>
  <c r="M12" i="18" s="1"/>
  <c r="M15" i="18" s="1"/>
  <c r="L7" i="18"/>
  <c r="L12" i="18" s="1"/>
  <c r="L15" i="18" s="1"/>
  <c r="K7" i="18"/>
  <c r="K12" i="18" s="1"/>
  <c r="K15" i="18" s="1"/>
  <c r="J7" i="18"/>
  <c r="J12" i="18" s="1"/>
  <c r="J15" i="18" s="1"/>
  <c r="I7" i="18"/>
  <c r="I12" i="18" s="1"/>
  <c r="I15" i="18" s="1"/>
  <c r="H7" i="18"/>
  <c r="H12" i="18" s="1"/>
  <c r="H15" i="18" s="1"/>
  <c r="G7" i="18"/>
  <c r="G12" i="18" s="1"/>
  <c r="G15" i="18" s="1"/>
  <c r="F7" i="18"/>
  <c r="F12" i="18" s="1"/>
  <c r="F15" i="18" s="1"/>
  <c r="F12" i="10"/>
  <c r="Q15" i="18" l="1"/>
  <c r="P18" i="18"/>
  <c r="P21" i="18" s="1"/>
  <c r="O18" i="18"/>
  <c r="O21" i="18" s="1"/>
  <c r="N18" i="18"/>
  <c r="N21" i="18" s="1"/>
  <c r="M18" i="18"/>
  <c r="M21" i="18" s="1"/>
  <c r="L18" i="18"/>
  <c r="L21" i="18" s="1"/>
  <c r="K18" i="18"/>
  <c r="K21" i="18" s="1"/>
  <c r="J18" i="18"/>
  <c r="J21" i="18" s="1"/>
  <c r="H18" i="18"/>
  <c r="H21" i="18" s="1"/>
  <c r="G18" i="18"/>
  <c r="G21" i="18" s="1"/>
  <c r="I18" i="18"/>
  <c r="I21" i="18" s="1"/>
  <c r="F18" i="18"/>
  <c r="F21" i="18" s="1"/>
  <c r="Q18" i="18" l="1"/>
  <c r="Q21" i="18" s="1"/>
  <c r="E16" i="10"/>
  <c r="G16" i="10"/>
  <c r="H16" i="10"/>
  <c r="I16" i="10"/>
  <c r="F7" i="13"/>
  <c r="E6" i="9" l="1"/>
  <c r="E7" i="10" l="1"/>
  <c r="E8" i="10" s="1"/>
  <c r="E17" i="10" s="1"/>
  <c r="F13" i="10" l="1"/>
  <c r="E15" i="10"/>
  <c r="H6" i="12"/>
  <c r="H7" i="12" s="1"/>
  <c r="H8" i="12" s="1"/>
  <c r="H9" i="12" s="1"/>
  <c r="H10" i="12" s="1"/>
  <c r="H11" i="12" s="1"/>
  <c r="X15" i="11"/>
  <c r="X14" i="11"/>
  <c r="X13" i="11"/>
  <c r="X10" i="11"/>
  <c r="X9" i="11"/>
  <c r="X8" i="11"/>
  <c r="X6" i="11" l="1"/>
  <c r="X5" i="11"/>
  <c r="X4" i="1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G32" i="8"/>
  <c r="K10" i="8"/>
  <c r="G5" i="8"/>
  <c r="K5" i="8" s="1"/>
  <c r="G32" i="7"/>
  <c r="G31" i="7"/>
  <c r="G30" i="7"/>
  <c r="G12" i="7"/>
  <c r="G11" i="7"/>
  <c r="G7" i="7"/>
  <c r="G6" i="7"/>
  <c r="G5" i="7"/>
  <c r="E16" i="13" l="1"/>
  <c r="I7" i="13"/>
  <c r="H7" i="13"/>
  <c r="H13" i="13" s="1"/>
  <c r="H16" i="13" s="1"/>
  <c r="G7" i="13"/>
  <c r="F13" i="13"/>
  <c r="F16" i="13" s="1"/>
  <c r="I12" i="10"/>
  <c r="H12" i="10"/>
  <c r="G12" i="10"/>
  <c r="I7" i="10"/>
  <c r="H7" i="10"/>
  <c r="G7" i="10"/>
  <c r="H37" i="13" l="1"/>
  <c r="H39" i="13" s="1"/>
  <c r="H40" i="13"/>
  <c r="F40" i="13"/>
  <c r="F37" i="13"/>
  <c r="F39" i="13" s="1"/>
  <c r="E37" i="13"/>
  <c r="E39" i="13" s="1"/>
  <c r="E40" i="13"/>
  <c r="F7" i="10"/>
  <c r="I15" i="10"/>
  <c r="H15" i="10"/>
  <c r="G15" i="10"/>
  <c r="I13" i="13"/>
  <c r="I16" i="13" s="1"/>
  <c r="G13" i="13"/>
  <c r="G16" i="13" s="1"/>
  <c r="E41" i="13" l="1"/>
  <c r="F45" i="13"/>
  <c r="F46" i="13"/>
  <c r="H44" i="13"/>
  <c r="H45" i="13"/>
  <c r="H46" i="13"/>
  <c r="E46" i="13"/>
  <c r="E45" i="13"/>
  <c r="E44" i="13"/>
  <c r="E43" i="13" s="1"/>
  <c r="E48" i="13" s="1"/>
  <c r="E18" i="13" s="1"/>
  <c r="F41" i="13"/>
  <c r="F44" i="13"/>
  <c r="F43" i="13" s="1"/>
  <c r="F48" i="13" s="1"/>
  <c r="F18" i="13" s="1"/>
  <c r="G37" i="13"/>
  <c r="G39" i="13" s="1"/>
  <c r="G40" i="13"/>
  <c r="I40" i="13"/>
  <c r="I37" i="13"/>
  <c r="I39" i="13" s="1"/>
  <c r="H41" i="13"/>
  <c r="D40" i="11"/>
  <c r="D39" i="11"/>
  <c r="F8" i="10"/>
  <c r="F17" i="10" s="1"/>
  <c r="F15" i="10"/>
  <c r="D41" i="11"/>
  <c r="D42" i="11"/>
  <c r="D44" i="11" s="1"/>
  <c r="G13" i="10"/>
  <c r="E19" i="13" l="1"/>
  <c r="E22" i="13" s="1"/>
  <c r="F19" i="13"/>
  <c r="F22" i="13" s="1"/>
  <c r="F25" i="13" s="1"/>
  <c r="H43" i="13"/>
  <c r="H48" i="13" s="1"/>
  <c r="H18" i="13" s="1"/>
  <c r="I46" i="13"/>
  <c r="I45" i="13"/>
  <c r="G44" i="13"/>
  <c r="G46" i="13"/>
  <c r="G45" i="13"/>
  <c r="I41" i="13"/>
  <c r="I44" i="13"/>
  <c r="G41" i="13"/>
  <c r="E23" i="13"/>
  <c r="E25" i="13"/>
  <c r="F23" i="13"/>
  <c r="G8" i="10"/>
  <c r="H8" i="10" s="1"/>
  <c r="I8" i="10" s="1"/>
  <c r="E21" i="10"/>
  <c r="E20" i="10"/>
  <c r="H13" i="10"/>
  <c r="K39" i="7"/>
  <c r="K38" i="7"/>
  <c r="K38" i="8"/>
  <c r="K39" i="8"/>
  <c r="I40" i="8"/>
  <c r="H40" i="8"/>
  <c r="G40" i="8"/>
  <c r="K37" i="8"/>
  <c r="K36" i="8"/>
  <c r="I34" i="8"/>
  <c r="H34" i="8"/>
  <c r="G34" i="8"/>
  <c r="K33" i="8"/>
  <c r="K32" i="8"/>
  <c r="K31" i="8"/>
  <c r="K30" i="8"/>
  <c r="K29" i="8"/>
  <c r="I27" i="8"/>
  <c r="H27" i="8"/>
  <c r="G27" i="8"/>
  <c r="K26" i="8"/>
  <c r="K25" i="8"/>
  <c r="K24" i="8"/>
  <c r="K23" i="8"/>
  <c r="K22" i="8"/>
  <c r="K21" i="8"/>
  <c r="I19" i="8"/>
  <c r="H19" i="8"/>
  <c r="G19" i="8"/>
  <c r="K18" i="8"/>
  <c r="K17" i="8"/>
  <c r="K16" i="8"/>
  <c r="K15" i="8"/>
  <c r="I13" i="8"/>
  <c r="H13" i="8"/>
  <c r="G13" i="8"/>
  <c r="K12" i="8"/>
  <c r="K11" i="8"/>
  <c r="I8" i="8"/>
  <c r="H8" i="8"/>
  <c r="G8" i="8"/>
  <c r="K7" i="8"/>
  <c r="K6" i="8"/>
  <c r="H19" i="13" l="1"/>
  <c r="H22" i="13" s="1"/>
  <c r="I43" i="13"/>
  <c r="I48" i="13" s="1"/>
  <c r="I18" i="13" s="1"/>
  <c r="G43" i="13"/>
  <c r="G48" i="13" s="1"/>
  <c r="G18" i="13" s="1"/>
  <c r="G17" i="10"/>
  <c r="I42" i="8"/>
  <c r="I46" i="8" s="1"/>
  <c r="I13" i="10"/>
  <c r="H17" i="10"/>
  <c r="K34" i="8"/>
  <c r="G42" i="8"/>
  <c r="G46" i="8" s="1"/>
  <c r="H42" i="8"/>
  <c r="H46" i="8" s="1"/>
  <c r="K40" i="8"/>
  <c r="K27" i="8"/>
  <c r="K19" i="8"/>
  <c r="K13" i="8"/>
  <c r="K8" i="8"/>
  <c r="I40" i="7"/>
  <c r="H40" i="7"/>
  <c r="G40" i="7"/>
  <c r="H34" i="7"/>
  <c r="H8" i="7"/>
  <c r="H13" i="7"/>
  <c r="H19" i="7"/>
  <c r="H27" i="7"/>
  <c r="K37" i="7"/>
  <c r="K36" i="7"/>
  <c r="K33" i="7"/>
  <c r="K32" i="7"/>
  <c r="K31" i="7"/>
  <c r="K30" i="7"/>
  <c r="K29" i="7"/>
  <c r="K26" i="7"/>
  <c r="K25" i="7"/>
  <c r="K24" i="7"/>
  <c r="K23" i="7"/>
  <c r="K22" i="7"/>
  <c r="K21" i="7"/>
  <c r="K18" i="7"/>
  <c r="K17" i="7"/>
  <c r="K16" i="7"/>
  <c r="K15" i="7"/>
  <c r="K12" i="7"/>
  <c r="K11" i="7"/>
  <c r="K10" i="7"/>
  <c r="K6" i="7"/>
  <c r="K5" i="7"/>
  <c r="G13" i="7"/>
  <c r="G19" i="13" l="1"/>
  <c r="G22" i="13" s="1"/>
  <c r="I19" i="13"/>
  <c r="I22" i="13" s="1"/>
  <c r="H23" i="13"/>
  <c r="H25" i="13"/>
  <c r="I17" i="10"/>
  <c r="K42" i="8"/>
  <c r="K46" i="8" s="1"/>
  <c r="L27" i="8" s="1"/>
  <c r="H42" i="7"/>
  <c r="H46" i="7" s="1"/>
  <c r="K13" i="7"/>
  <c r="K19" i="7"/>
  <c r="K34" i="7"/>
  <c r="K40" i="7"/>
  <c r="G34" i="7"/>
  <c r="G19" i="7"/>
  <c r="K7" i="7"/>
  <c r="K8" i="7" s="1"/>
  <c r="G23" i="13" l="1"/>
  <c r="G25" i="13"/>
  <c r="I23" i="13"/>
  <c r="I25" i="13"/>
  <c r="L8" i="8"/>
  <c r="L34" i="8"/>
  <c r="L19" i="8"/>
  <c r="L40" i="8"/>
  <c r="L13" i="8"/>
  <c r="I34" i="7"/>
  <c r="G27" i="7"/>
  <c r="I27" i="7"/>
  <c r="K27" i="7"/>
  <c r="I19" i="7"/>
  <c r="I13" i="7"/>
  <c r="G8" i="7"/>
  <c r="I8" i="7"/>
  <c r="I42" i="7" l="1"/>
  <c r="I46" i="7" s="1"/>
  <c r="G42" i="7"/>
  <c r="G46" i="7" s="1"/>
  <c r="K42" i="7"/>
  <c r="K46" i="7" s="1"/>
  <c r="L40" i="7" l="1"/>
  <c r="L13" i="7"/>
  <c r="L19" i="7"/>
  <c r="L34" i="7"/>
  <c r="L27" i="7"/>
  <c r="L8" i="7"/>
</calcChain>
</file>

<file path=xl/sharedStrings.xml><?xml version="1.0" encoding="utf-8"?>
<sst xmlns="http://schemas.openxmlformats.org/spreadsheetml/2006/main" count="327" uniqueCount="201">
  <si>
    <t xml:space="preserve"> </t>
  </si>
  <si>
    <t>Project tasks</t>
    <phoneticPr fontId="4" type="noConversion"/>
  </si>
  <si>
    <t xml:space="preserve">Preliminary Work </t>
    <phoneticPr fontId="4" type="noConversion"/>
  </si>
  <si>
    <t>Other cost (￥)</t>
    <phoneticPr fontId="4" type="noConversion"/>
  </si>
  <si>
    <t>Subtotals (￥)</t>
    <phoneticPr fontId="4" type="noConversion"/>
  </si>
  <si>
    <t>% of Total</t>
    <phoneticPr fontId="4" type="noConversion"/>
  </si>
  <si>
    <t>Manager cost/unit (￥)</t>
    <phoneticPr fontId="4" type="noConversion"/>
  </si>
  <si>
    <t>Menber cost/unit (￥)</t>
    <phoneticPr fontId="4" type="noConversion"/>
  </si>
  <si>
    <t>ToatalOne</t>
    <phoneticPr fontId="4" type="noConversion"/>
  </si>
  <si>
    <t>ToatalTwo</t>
    <phoneticPr fontId="4" type="noConversion"/>
  </si>
  <si>
    <t>ToatalThree</t>
    <phoneticPr fontId="4" type="noConversion"/>
  </si>
  <si>
    <t>ToatalFour</t>
    <phoneticPr fontId="4" type="noConversion"/>
  </si>
  <si>
    <t>ToatalFive</t>
    <phoneticPr fontId="4" type="noConversion"/>
  </si>
  <si>
    <t>Team Building</t>
    <phoneticPr fontId="4" type="noConversion"/>
  </si>
  <si>
    <t>Requirements Analysis</t>
    <phoneticPr fontId="4" type="noConversion"/>
  </si>
  <si>
    <t>Fullfill Related Documents</t>
    <phoneticPr fontId="4" type="noConversion"/>
  </si>
  <si>
    <t xml:space="preserve">System Design </t>
    <phoneticPr fontId="4" type="noConversion"/>
  </si>
  <si>
    <t>Cost Remark</t>
    <phoneticPr fontId="4" type="noConversion"/>
  </si>
  <si>
    <t>Structure Design</t>
    <phoneticPr fontId="4" type="noConversion"/>
  </si>
  <si>
    <t>Developing Prototype</t>
    <phoneticPr fontId="4" type="noConversion"/>
  </si>
  <si>
    <t>UI Design</t>
    <phoneticPr fontId="4" type="noConversion"/>
  </si>
  <si>
    <t>Coding</t>
    <phoneticPr fontId="4" type="noConversion"/>
  </si>
  <si>
    <t>Information Update Related</t>
    <phoneticPr fontId="4" type="noConversion"/>
  </si>
  <si>
    <t>Dispatching Algorithm Related</t>
    <phoneticPr fontId="4" type="noConversion"/>
  </si>
  <si>
    <t>Financial Figure Update</t>
    <phoneticPr fontId="4" type="noConversion"/>
  </si>
  <si>
    <t>Determine Modular Design</t>
    <phoneticPr fontId="4" type="noConversion"/>
  </si>
  <si>
    <t>Testing</t>
    <phoneticPr fontId="4" type="noConversion"/>
  </si>
  <si>
    <t xml:space="preserve">Make Testing Plan </t>
    <phoneticPr fontId="4" type="noConversion"/>
  </si>
  <si>
    <t>Unit Test</t>
    <phoneticPr fontId="4" type="noConversion"/>
  </si>
  <si>
    <t>Integration Test</t>
    <phoneticPr fontId="4" type="noConversion"/>
  </si>
  <si>
    <t>System Test</t>
    <phoneticPr fontId="4" type="noConversion"/>
  </si>
  <si>
    <t xml:space="preserve">Correct System Errors and Defects </t>
    <phoneticPr fontId="4" type="noConversion"/>
  </si>
  <si>
    <t>Prpject Management</t>
    <phoneticPr fontId="4" type="noConversion"/>
  </si>
  <si>
    <t xml:space="preserve">Make Management Plan </t>
    <phoneticPr fontId="4" type="noConversion"/>
  </si>
  <si>
    <t>Documents Management</t>
    <phoneticPr fontId="4" type="noConversion"/>
  </si>
  <si>
    <t>Risk Management</t>
    <phoneticPr fontId="4" type="noConversion"/>
  </si>
  <si>
    <t>Cost Management</t>
    <phoneticPr fontId="4" type="noConversion"/>
  </si>
  <si>
    <t>Fullfill Related Reports</t>
    <phoneticPr fontId="4" type="noConversion"/>
  </si>
  <si>
    <t>Acceptance Test</t>
    <phoneticPr fontId="4" type="noConversion"/>
  </si>
  <si>
    <t>Final Optimization</t>
    <phoneticPr fontId="4" type="noConversion"/>
  </si>
  <si>
    <t>Final Stage</t>
    <phoneticPr fontId="4" type="noConversion"/>
  </si>
  <si>
    <t>Total</t>
    <phoneticPr fontId="4" type="noConversion"/>
  </si>
  <si>
    <t>Final Deliver</t>
    <phoneticPr fontId="4" type="noConversion"/>
  </si>
  <si>
    <t>Actual Cost</t>
    <phoneticPr fontId="0" type="noConversion"/>
  </si>
  <si>
    <t>Project Cost Data Sheet</t>
    <phoneticPr fontId="0" type="noConversion"/>
  </si>
  <si>
    <t>Estimated Cost</t>
    <phoneticPr fontId="0" type="noConversion"/>
  </si>
  <si>
    <t>Service and Maintain</t>
    <phoneticPr fontId="4" type="noConversion"/>
  </si>
  <si>
    <t>Total Manager cost</t>
    <phoneticPr fontId="4" type="noConversion"/>
  </si>
  <si>
    <t>Total Menber cost(￥)</t>
    <phoneticPr fontId="4" type="noConversion"/>
  </si>
  <si>
    <t>Estimated Cumulative Cost</t>
    <phoneticPr fontId="0" type="noConversion"/>
  </si>
  <si>
    <t>Actual Cumulative Cost</t>
    <phoneticPr fontId="0" type="noConversion"/>
  </si>
  <si>
    <t>Project Process Weekly</t>
    <phoneticPr fontId="0" type="noConversion"/>
  </si>
  <si>
    <t>Estimated Duration</t>
    <phoneticPr fontId="4" type="noConversion"/>
  </si>
  <si>
    <t>Year 1</t>
    <phoneticPr fontId="4" type="noConversion"/>
  </si>
  <si>
    <t>Year 2</t>
    <phoneticPr fontId="4" type="noConversion"/>
  </si>
  <si>
    <t>Year 3</t>
    <phoneticPr fontId="4" type="noConversion"/>
  </si>
  <si>
    <t>Year 4</t>
    <phoneticPr fontId="4" type="noConversion"/>
  </si>
  <si>
    <t>Costs</t>
  </si>
  <si>
    <t>Discount factor</t>
  </si>
  <si>
    <t>Discounted costs</t>
  </si>
  <si>
    <t>Cost</t>
    <phoneticPr fontId="4" type="noConversion"/>
  </si>
  <si>
    <t>Benefits</t>
    <phoneticPr fontId="4" type="noConversion"/>
  </si>
  <si>
    <t>Discounted benefits</t>
    <phoneticPr fontId="4" type="noConversion"/>
  </si>
  <si>
    <t>Discounted benefits-Discounted costs</t>
    <phoneticPr fontId="4" type="noConversion"/>
  </si>
  <si>
    <t>Cumulative costs</t>
    <phoneticPr fontId="4" type="noConversion"/>
  </si>
  <si>
    <t>Cumulative benefits</t>
    <phoneticPr fontId="4" type="noConversion"/>
  </si>
  <si>
    <t>Cumulative benefits - Cumulative costs</t>
    <phoneticPr fontId="4" type="noConversion"/>
  </si>
  <si>
    <t>Explanation</t>
    <phoneticPr fontId="4" type="noConversion"/>
  </si>
  <si>
    <t>Week 1</t>
    <phoneticPr fontId="4" type="noConversion"/>
  </si>
  <si>
    <t>Week 2</t>
    <phoneticPr fontId="4" type="noConversion"/>
  </si>
  <si>
    <t>Week 3</t>
    <phoneticPr fontId="4" type="noConversion"/>
  </si>
  <si>
    <t>Week 4</t>
    <phoneticPr fontId="4" type="noConversion"/>
  </si>
  <si>
    <t>Week 5</t>
    <phoneticPr fontId="4" type="noConversion"/>
  </si>
  <si>
    <t>Week 6</t>
    <phoneticPr fontId="4" type="noConversion"/>
  </si>
  <si>
    <t>Week 7</t>
    <phoneticPr fontId="4" type="noConversion"/>
  </si>
  <si>
    <t>Week 8</t>
    <phoneticPr fontId="4" type="noConversion"/>
  </si>
  <si>
    <t>Week 9</t>
    <phoneticPr fontId="4" type="noConversion"/>
  </si>
  <si>
    <t>Week 10</t>
    <phoneticPr fontId="4" type="noConversion"/>
  </si>
  <si>
    <t>Week 11</t>
    <phoneticPr fontId="4" type="noConversion"/>
  </si>
  <si>
    <t>Week 12</t>
    <phoneticPr fontId="4" type="noConversion"/>
  </si>
  <si>
    <t>Week 13</t>
    <phoneticPr fontId="4" type="noConversion"/>
  </si>
  <si>
    <t>Week 14</t>
    <phoneticPr fontId="4" type="noConversion"/>
  </si>
  <si>
    <t>Week 15</t>
    <phoneticPr fontId="4" type="noConversion"/>
  </si>
  <si>
    <t>Week 16</t>
    <phoneticPr fontId="4" type="noConversion"/>
  </si>
  <si>
    <t>PV to Date</t>
    <phoneticPr fontId="4" type="noConversion"/>
  </si>
  <si>
    <t>Plan Compeleted%</t>
    <phoneticPr fontId="4" type="noConversion"/>
  </si>
  <si>
    <t>Actual Compeleted%</t>
    <phoneticPr fontId="4" type="noConversion"/>
  </si>
  <si>
    <t>RV</t>
    <phoneticPr fontId="4" type="noConversion"/>
  </si>
  <si>
    <t>EV</t>
    <phoneticPr fontId="4" type="noConversion"/>
  </si>
  <si>
    <t>Analysis</t>
    <phoneticPr fontId="4" type="noConversion"/>
  </si>
  <si>
    <t>CV=EV-AC</t>
  </si>
  <si>
    <t>SV=EV-PV</t>
  </si>
  <si>
    <t>CPI=EV/AC</t>
  </si>
  <si>
    <t>SPI=EV/PV</t>
  </si>
  <si>
    <t>Estimate at Completion (EAC)</t>
  </si>
  <si>
    <t>Estimated time to complete</t>
  </si>
  <si>
    <t>Fullfill Related Documents</t>
  </si>
  <si>
    <t>Project EV as of Week 7</t>
  </si>
  <si>
    <t>Project PV as of Week 7</t>
    <phoneticPr fontId="4" type="noConversion"/>
  </si>
  <si>
    <t>Project AC as of Week 7</t>
  </si>
  <si>
    <t>Service and Maintain</t>
  </si>
  <si>
    <t>Result</t>
    <phoneticPr fontId="4" type="noConversion"/>
  </si>
  <si>
    <t>16 Weeks/SPI</t>
    <phoneticPr fontId="4" type="noConversion"/>
  </si>
  <si>
    <t>See Project Cost Data Sheet</t>
    <phoneticPr fontId="4" type="noConversion"/>
  </si>
  <si>
    <t>Cumulative PV</t>
    <phoneticPr fontId="0" type="noConversion"/>
  </si>
  <si>
    <t>Cumulative AC</t>
    <phoneticPr fontId="0" type="noConversion"/>
  </si>
  <si>
    <t>Cumulative EV</t>
    <phoneticPr fontId="4" type="noConversion"/>
  </si>
  <si>
    <t>Revenue</t>
    <phoneticPr fontId="4" type="noConversion"/>
  </si>
  <si>
    <t>Gross profit</t>
    <phoneticPr fontId="4" type="noConversion"/>
  </si>
  <si>
    <t>(SG&amp;A expense)</t>
    <phoneticPr fontId="4" type="noConversion"/>
  </si>
  <si>
    <t>(Depreciation expense)</t>
    <phoneticPr fontId="4" type="noConversion"/>
  </si>
  <si>
    <t>(Amortization expense)</t>
    <phoneticPr fontId="4" type="noConversion"/>
  </si>
  <si>
    <t>Operating profit</t>
    <phoneticPr fontId="4" type="noConversion"/>
  </si>
  <si>
    <t>Income before tax</t>
    <phoneticPr fontId="4" type="noConversion"/>
  </si>
  <si>
    <t>Income from main operations</t>
    <phoneticPr fontId="4" type="noConversion"/>
  </si>
  <si>
    <t xml:space="preserve">Earnings (losses) from other operations, net of tax </t>
    <phoneticPr fontId="4" type="noConversion"/>
  </si>
  <si>
    <t>Net income</t>
    <phoneticPr fontId="4" type="noConversion"/>
  </si>
  <si>
    <t>Remark</t>
    <phoneticPr fontId="4" type="noConversion"/>
  </si>
  <si>
    <t>(Cost of goods sold)</t>
    <phoneticPr fontId="4" type="noConversion"/>
  </si>
  <si>
    <t>(): represent negative</t>
    <phoneticPr fontId="4" type="noConversion"/>
  </si>
  <si>
    <t>Acceleration of depreciation</t>
    <phoneticPr fontId="4" type="noConversion"/>
  </si>
  <si>
    <t>Benefits-Costs</t>
    <phoneticPr fontId="4" type="noConversion"/>
  </si>
  <si>
    <t xml:space="preserve">5 members cost </t>
    <phoneticPr fontId="4" type="noConversion"/>
  </si>
  <si>
    <t>Structure Design</t>
  </si>
  <si>
    <t>Σ（X5~X16）</t>
    <phoneticPr fontId="4" type="noConversion"/>
  </si>
  <si>
    <t>Project EV Chart</t>
    <phoneticPr fontId="0" type="noConversion"/>
  </si>
  <si>
    <t>Acceleration&amp;Intangible assets</t>
    <phoneticPr fontId="4" type="noConversion"/>
  </si>
  <si>
    <t>Overhead</t>
    <phoneticPr fontId="4" type="noConversion"/>
  </si>
  <si>
    <t>Subtotal</t>
    <phoneticPr fontId="4" type="noConversion"/>
  </si>
  <si>
    <t xml:space="preserve">TOTAL </t>
    <phoneticPr fontId="4" type="noConversion"/>
  </si>
  <si>
    <t>TOTAL</t>
    <phoneticPr fontId="4" type="noConversion"/>
  </si>
  <si>
    <t>Earned Value for Project</t>
    <phoneticPr fontId="4" type="noConversion"/>
  </si>
  <si>
    <t xml:space="preserve">Break-Even Analysis </t>
    <phoneticPr fontId="4" type="noConversion"/>
  </si>
  <si>
    <t>ROI</t>
    <phoneticPr fontId="4" type="noConversion"/>
  </si>
  <si>
    <t>About trading securities</t>
    <phoneticPr fontId="4" type="noConversion"/>
  </si>
  <si>
    <t>(Dividends)</t>
    <phoneticPr fontId="4" type="noConversion"/>
  </si>
  <si>
    <t>ΔRetained return</t>
    <phoneticPr fontId="4" type="noConversion"/>
  </si>
  <si>
    <t>Project Actual COGS</t>
    <phoneticPr fontId="4" type="noConversion"/>
  </si>
  <si>
    <t xml:space="preserve">Project Estimated Cost </t>
    <phoneticPr fontId="4" type="noConversion"/>
  </si>
  <si>
    <t>IRR</t>
    <phoneticPr fontId="4" type="noConversion"/>
  </si>
  <si>
    <t>Consequence</t>
    <phoneticPr fontId="4" type="noConversion"/>
  </si>
  <si>
    <t>Explanation</t>
    <phoneticPr fontId="4" type="noConversion"/>
  </si>
  <si>
    <t>NPV</t>
    <phoneticPr fontId="4" type="noConversion"/>
  </si>
  <si>
    <t>Make Costs=Benefits after discounting</t>
    <phoneticPr fontId="4" type="noConversion"/>
  </si>
  <si>
    <t>Payback Year</t>
    <phoneticPr fontId="4" type="noConversion"/>
  </si>
  <si>
    <t>(): represent negative</t>
  </si>
  <si>
    <t>Month 1</t>
    <phoneticPr fontId="4" type="noConversion"/>
  </si>
  <si>
    <t>Month 2</t>
    <phoneticPr fontId="4" type="noConversion"/>
  </si>
  <si>
    <t>Month 3</t>
    <phoneticPr fontId="4" type="noConversion"/>
  </si>
  <si>
    <t>Month 4</t>
    <phoneticPr fontId="4" type="noConversion"/>
  </si>
  <si>
    <t>Month 5</t>
    <phoneticPr fontId="4" type="noConversion"/>
  </si>
  <si>
    <t>Month 6</t>
    <phoneticPr fontId="4" type="noConversion"/>
  </si>
  <si>
    <t>Month 7</t>
    <phoneticPr fontId="4" type="noConversion"/>
  </si>
  <si>
    <t>Month 8</t>
    <phoneticPr fontId="4" type="noConversion"/>
  </si>
  <si>
    <t>Month 9</t>
    <phoneticPr fontId="4" type="noConversion"/>
  </si>
  <si>
    <t>Month 10</t>
    <phoneticPr fontId="4" type="noConversion"/>
  </si>
  <si>
    <t>Month 11</t>
    <phoneticPr fontId="4" type="noConversion"/>
  </si>
  <si>
    <t>Month 12</t>
    <phoneticPr fontId="4" type="noConversion"/>
  </si>
  <si>
    <t>Year 5</t>
    <phoneticPr fontId="4" type="noConversion"/>
  </si>
  <si>
    <t>I17 or Σ(D15~I15)</t>
    <phoneticPr fontId="4" type="noConversion"/>
  </si>
  <si>
    <t>5-year Profit Statement</t>
    <phoneticPr fontId="4" type="noConversion"/>
  </si>
  <si>
    <t>12-month Profit Statement at Year 1</t>
    <phoneticPr fontId="4" type="noConversion"/>
  </si>
  <si>
    <t>Operating profit(EBIT)</t>
    <phoneticPr fontId="4" type="noConversion"/>
  </si>
  <si>
    <t>(Research&amp;Deployment)</t>
    <phoneticPr fontId="4" type="noConversion"/>
  </si>
  <si>
    <t>Basic Wage</t>
    <phoneticPr fontId="4" type="noConversion"/>
  </si>
  <si>
    <t>Weekly Basic Wage</t>
    <phoneticPr fontId="4" type="noConversion"/>
  </si>
  <si>
    <t>344300/CPI</t>
    <phoneticPr fontId="4" type="noConversion"/>
  </si>
  <si>
    <t>Annual Interest rate=4.9%</t>
    <phoneticPr fontId="4" type="noConversion"/>
  </si>
  <si>
    <t>Tax rate=25%</t>
    <phoneticPr fontId="4" type="noConversion"/>
  </si>
  <si>
    <t>(Interest expense):Borrow 300000 from bank</t>
    <phoneticPr fontId="4" type="noConversion"/>
  </si>
  <si>
    <t>(Tax):Corporate Income Tax</t>
    <phoneticPr fontId="4" type="noConversion"/>
  </si>
  <si>
    <t>(Tax)</t>
    <phoneticPr fontId="4" type="noConversion"/>
  </si>
  <si>
    <t>Corporate Income Tax+VAT+Business tax and surcharges</t>
    <phoneticPr fontId="4" type="noConversion"/>
  </si>
  <si>
    <t>Appendix about tax</t>
    <phoneticPr fontId="4" type="noConversion"/>
  </si>
  <si>
    <t>Corporate Income Tax</t>
  </si>
  <si>
    <t>Tax Rate=25%</t>
    <phoneticPr fontId="4" type="noConversion"/>
  </si>
  <si>
    <t>Tax Rate=7%</t>
    <phoneticPr fontId="4" type="noConversion"/>
  </si>
  <si>
    <t>Tax Rate=3%</t>
    <phoneticPr fontId="4" type="noConversion"/>
  </si>
  <si>
    <t>Tax Rate=2%</t>
    <phoneticPr fontId="4" type="noConversion"/>
  </si>
  <si>
    <t>Business Tax and Surcharges</t>
    <phoneticPr fontId="4" type="noConversion"/>
  </si>
  <si>
    <t>VAT</t>
    <phoneticPr fontId="4" type="noConversion"/>
  </si>
  <si>
    <t>Tax Rate=17%</t>
    <phoneticPr fontId="4" type="noConversion"/>
  </si>
  <si>
    <t>Education Surcharge(VAT based)</t>
    <phoneticPr fontId="4" type="noConversion"/>
  </si>
  <si>
    <t>Local Education Surcharge(VAT based)</t>
    <phoneticPr fontId="4" type="noConversion"/>
  </si>
  <si>
    <t>Sales Tax</t>
    <phoneticPr fontId="4" type="noConversion"/>
  </si>
  <si>
    <t>Input tax</t>
    <phoneticPr fontId="4" type="noConversion"/>
  </si>
  <si>
    <t>Payable VAT</t>
    <phoneticPr fontId="4" type="noConversion"/>
  </si>
  <si>
    <t>3% Tax Burden</t>
    <phoneticPr fontId="4" type="noConversion"/>
  </si>
  <si>
    <t>Tax Refund (Immediate Refund)</t>
    <phoneticPr fontId="4" type="noConversion"/>
  </si>
  <si>
    <t>Total Tax</t>
    <phoneticPr fontId="4" type="noConversion"/>
  </si>
  <si>
    <t>Building Tax(VAT based)</t>
    <phoneticPr fontId="4" type="noConversion"/>
  </si>
  <si>
    <t>F17&lt;0, G17&gt;0</t>
    <phoneticPr fontId="4" type="noConversion"/>
  </si>
  <si>
    <t>Other Related Cost</t>
    <phoneticPr fontId="4" type="noConversion"/>
  </si>
  <si>
    <t xml:space="preserve"> PW</t>
    <phoneticPr fontId="4" type="noConversion"/>
  </si>
  <si>
    <t>Undiscounted Value</t>
    <phoneticPr fontId="4" type="noConversion"/>
  </si>
  <si>
    <t xml:space="preserve"> % change in UV</t>
    <phoneticPr fontId="4" type="noConversion"/>
  </si>
  <si>
    <t xml:space="preserve"> % change in PW</t>
    <phoneticPr fontId="4" type="noConversion"/>
  </si>
  <si>
    <t>Sensitivity Analysis in Year 2</t>
    <phoneticPr fontId="4" type="noConversion"/>
  </si>
  <si>
    <t>COGS</t>
    <phoneticPr fontId="4" type="noConversion"/>
  </si>
  <si>
    <t>SGA&amp;DA</t>
    <phoneticPr fontId="4" type="noConversion"/>
  </si>
  <si>
    <t>Discount rate: 10.6%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</si>
</sst>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&quot;¥&quot;#,##0.00_);[Red]\(&quot;¥&quot;#,##0.00\)"/>
    <numFmt numFmtId="178" formatCode="#,##0.00_);[Red]\(#,##0.00\)"/>
    <numFmt numFmtId="179" formatCode="0.000_);[Red]\(0.000\)"/>
    <numFmt numFmtId="180" formatCode="0.00_ "/>
  </numFmts>
  <fonts count="20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  <font>
      <sz val="9"/>
      <name val="宋体"/>
      <family val="3"/>
      <charset val="134"/>
      <scheme val="minor"/>
    </font>
    <font>
      <sz val="9"/>
      <color theme="1" tint="0.34998626667073579"/>
      <name val="Microsoft YaHei UI"/>
      <family val="2"/>
      <charset val="134"/>
    </font>
    <font>
      <b/>
      <sz val="28"/>
      <color theme="1" tint="0.34998626667073579"/>
      <name val="Microsoft YaHei UI"/>
      <family val="2"/>
      <charset val="134"/>
    </font>
    <font>
      <b/>
      <sz val="9"/>
      <color theme="1" tint="0.34998626667073579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sz val="10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b/>
      <sz val="12"/>
      <name val="Microsoft YaHei UI"/>
      <family val="2"/>
      <charset val="134"/>
    </font>
    <font>
      <b/>
      <sz val="11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sz val="12"/>
      <name val="Microsoft YaHei UI"/>
      <family val="2"/>
      <charset val="134"/>
    </font>
    <font>
      <sz val="9"/>
      <color theme="1" tint="0.34998626667073579"/>
      <name val="Arial"/>
      <family val="2"/>
      <scheme val="minor"/>
    </font>
    <font>
      <b/>
      <sz val="14"/>
      <color theme="1" tint="0.34998626667073579"/>
      <name val="Microsoft YaHei UI"/>
      <family val="2"/>
      <charset val="134"/>
    </font>
    <font>
      <sz val="9"/>
      <color rgb="FF595959"/>
      <name val="Microsoft YaHei UI"/>
      <family val="2"/>
      <charset val="134"/>
    </font>
    <font>
      <sz val="14"/>
      <color theme="1" tint="0.34998626667073579"/>
      <name val="Microsoft YaHei UI"/>
      <family val="2"/>
      <charset val="134"/>
    </font>
    <font>
      <sz val="18"/>
      <color theme="1" tint="0.34998626667073579"/>
      <name val="Microsoft YaHei UI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7">
    <xf numFmtId="0" fontId="0" fillId="0" borderId="0">
      <alignment vertical="center"/>
    </xf>
    <xf numFmtId="0" fontId="3" fillId="0" borderId="0" applyNumberFormat="0" applyProtection="0">
      <alignment vertical="center"/>
    </xf>
    <xf numFmtId="0" fontId="2" fillId="0" borderId="0" applyNumberFormat="0" applyProtection="0">
      <alignment vertical="center"/>
    </xf>
    <xf numFmtId="0" fontId="1" fillId="2" borderId="1" applyNumberFormat="0" applyAlignment="0" applyProtection="0"/>
    <xf numFmtId="0" fontId="2" fillId="0" borderId="4" applyNumberForma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5" fillId="10" borderId="0" xfId="0" applyFont="1" applyFill="1">
      <alignment vertical="center"/>
    </xf>
    <xf numFmtId="0" fontId="5" fillId="10" borderId="0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horizontal="left" vertical="center" indent="1"/>
    </xf>
    <xf numFmtId="0" fontId="7" fillId="0" borderId="0" xfId="2" applyFont="1" applyAlignment="1">
      <alignment horizontal="left" vertical="center" indent="1"/>
    </xf>
    <xf numFmtId="0" fontId="7" fillId="0" borderId="0" xfId="2" applyFont="1" applyAlignment="1">
      <alignment horizontal="right" vertical="center" indent="1"/>
    </xf>
    <xf numFmtId="37" fontId="5" fillId="0" borderId="3" xfId="3" applyNumberFormat="1" applyFont="1" applyFill="1" applyBorder="1" applyAlignment="1">
      <alignment horizontal="left" vertical="center" indent="1"/>
    </xf>
    <xf numFmtId="37" fontId="5" fillId="0" borderId="0" xfId="3" applyNumberFormat="1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vertical="center" wrapText="1" indent="1"/>
    </xf>
    <xf numFmtId="0" fontId="9" fillId="0" borderId="0" xfId="0" applyFont="1" applyAlignment="1"/>
    <xf numFmtId="49" fontId="5" fillId="0" borderId="3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Fill="1" applyBorder="1" applyAlignment="1">
      <alignment horizontal="left" vertical="center" wrapText="1" indent="1"/>
    </xf>
    <xf numFmtId="0" fontId="10" fillId="0" borderId="8" xfId="0" applyFont="1" applyFill="1" applyBorder="1" applyAlignment="1">
      <alignment horizontal="left" vertical="center" indent="1"/>
    </xf>
    <xf numFmtId="0" fontId="11" fillId="0" borderId="8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indent="1"/>
    </xf>
    <xf numFmtId="0" fontId="14" fillId="0" borderId="11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left" vertical="center" indent="1"/>
    </xf>
    <xf numFmtId="0" fontId="11" fillId="0" borderId="12" xfId="0" applyFont="1" applyFill="1" applyBorder="1" applyAlignment="1">
      <alignment vertical="center" wrapText="1"/>
    </xf>
    <xf numFmtId="0" fontId="5" fillId="10" borderId="0" xfId="0" applyFont="1" applyFill="1" applyAlignment="1">
      <alignment horizontal="center" vertical="center"/>
    </xf>
    <xf numFmtId="0" fontId="6" fillId="0" borderId="0" xfId="1" applyFont="1" applyAlignment="1"/>
    <xf numFmtId="0" fontId="6" fillId="0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 wrapText="1"/>
    </xf>
    <xf numFmtId="177" fontId="5" fillId="0" borderId="0" xfId="3" applyNumberFormat="1" applyFont="1" applyFill="1" applyBorder="1" applyAlignment="1">
      <alignment horizontal="center" vertical="center" wrapText="1"/>
    </xf>
    <xf numFmtId="177" fontId="7" fillId="9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177" fontId="12" fillId="8" borderId="9" xfId="0" applyNumberFormat="1" applyFont="1" applyFill="1" applyBorder="1" applyAlignment="1">
      <alignment horizontal="center" vertical="center" wrapText="1"/>
    </xf>
    <xf numFmtId="177" fontId="12" fillId="8" borderId="13" xfId="0" applyNumberFormat="1" applyFont="1" applyFill="1" applyBorder="1" applyAlignment="1">
      <alignment horizontal="center" vertical="center" wrapText="1"/>
    </xf>
    <xf numFmtId="9" fontId="5" fillId="0" borderId="3" xfId="5" applyFont="1" applyFill="1" applyBorder="1" applyAlignment="1">
      <alignment horizontal="center" vertical="center" wrapText="1"/>
    </xf>
    <xf numFmtId="9" fontId="5" fillId="0" borderId="0" xfId="5" applyFont="1" applyFill="1" applyBorder="1" applyAlignment="1">
      <alignment horizontal="center" vertical="center" wrapText="1"/>
    </xf>
    <xf numFmtId="9" fontId="9" fillId="0" borderId="0" xfId="5" applyFont="1" applyAlignment="1">
      <alignment horizontal="center"/>
    </xf>
    <xf numFmtId="9" fontId="5" fillId="0" borderId="0" xfId="5" applyFont="1" applyAlignment="1">
      <alignment horizontal="center" vertical="center"/>
    </xf>
    <xf numFmtId="9" fontId="12" fillId="8" borderId="9" xfId="5" applyFont="1" applyFill="1" applyBorder="1" applyAlignment="1">
      <alignment horizontal="center" vertical="center" wrapText="1"/>
    </xf>
    <xf numFmtId="9" fontId="12" fillId="8" borderId="13" xfId="5" applyFont="1" applyFill="1" applyBorder="1" applyAlignment="1">
      <alignment horizontal="center" vertical="center" wrapText="1"/>
    </xf>
    <xf numFmtId="0" fontId="5" fillId="0" borderId="3" xfId="3" applyNumberFormat="1" applyFont="1" applyFill="1" applyBorder="1" applyAlignment="1">
      <alignment horizontal="center" vertical="center" wrapText="1"/>
    </xf>
    <xf numFmtId="37" fontId="5" fillId="0" borderId="3" xfId="3" applyNumberFormat="1" applyFont="1" applyFill="1" applyBorder="1" applyAlignment="1">
      <alignment horizontal="center" vertical="center"/>
    </xf>
    <xf numFmtId="37" fontId="5" fillId="0" borderId="0" xfId="3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10" fontId="7" fillId="9" borderId="2" xfId="5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center" indent="1"/>
    </xf>
    <xf numFmtId="0" fontId="16" fillId="0" borderId="0" xfId="1" applyFont="1" applyAlignment="1">
      <alignment horizontal="left" vertical="center" indent="1"/>
    </xf>
    <xf numFmtId="37" fontId="5" fillId="0" borderId="15" xfId="3" applyNumberFormat="1" applyFont="1" applyFill="1" applyBorder="1" applyAlignment="1">
      <alignment horizontal="left" vertical="center" indent="1"/>
    </xf>
    <xf numFmtId="177" fontId="5" fillId="0" borderId="15" xfId="3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178" fontId="5" fillId="0" borderId="0" xfId="3" applyNumberFormat="1" applyFont="1" applyFill="1" applyBorder="1" applyAlignment="1">
      <alignment horizontal="center" vertical="center" wrapText="1"/>
    </xf>
    <xf numFmtId="179" fontId="5" fillId="0" borderId="0" xfId="3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0" fontId="16" fillId="0" borderId="0" xfId="1" applyFont="1">
      <alignment vertical="center"/>
    </xf>
    <xf numFmtId="177" fontId="5" fillId="0" borderId="0" xfId="0" applyNumberFormat="1" applyFont="1" applyAlignment="1">
      <alignment horizontal="center" vertical="center"/>
    </xf>
    <xf numFmtId="177" fontId="5" fillId="9" borderId="16" xfId="0" applyNumberFormat="1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left" vertical="center" wrapText="1" indent="1"/>
    </xf>
    <xf numFmtId="177" fontId="5" fillId="14" borderId="16" xfId="0" applyNumberFormat="1" applyFont="1" applyFill="1" applyBorder="1" applyAlignment="1">
      <alignment horizontal="center" vertical="center" wrapText="1"/>
    </xf>
    <xf numFmtId="177" fontId="5" fillId="16" borderId="16" xfId="0" applyNumberFormat="1" applyFont="1" applyFill="1" applyBorder="1" applyAlignment="1">
      <alignment horizontal="center" vertical="center" wrapText="1"/>
    </xf>
    <xf numFmtId="9" fontId="5" fillId="15" borderId="3" xfId="5" applyFont="1" applyFill="1" applyBorder="1" applyAlignment="1">
      <alignment horizontal="center" vertical="center" wrapText="1"/>
    </xf>
    <xf numFmtId="177" fontId="5" fillId="15" borderId="3" xfId="3" applyNumberFormat="1" applyFont="1" applyFill="1" applyBorder="1" applyAlignment="1">
      <alignment horizontal="center" vertical="center" wrapText="1"/>
    </xf>
    <xf numFmtId="9" fontId="5" fillId="15" borderId="0" xfId="5" applyFont="1" applyFill="1" applyBorder="1" applyAlignment="1">
      <alignment horizontal="center" vertical="center" wrapText="1"/>
    </xf>
    <xf numFmtId="177" fontId="5" fillId="15" borderId="0" xfId="3" applyNumberFormat="1" applyFont="1" applyFill="1" applyBorder="1" applyAlignment="1">
      <alignment horizontal="center" vertical="center" wrapText="1"/>
    </xf>
    <xf numFmtId="177" fontId="5" fillId="0" borderId="3" xfId="3" applyNumberFormat="1" applyFont="1" applyFill="1" applyBorder="1" applyAlignment="1">
      <alignment horizontal="center" vertical="center"/>
    </xf>
    <xf numFmtId="177" fontId="5" fillId="0" borderId="3" xfId="5" applyNumberFormat="1" applyFont="1" applyFill="1" applyBorder="1" applyAlignment="1">
      <alignment horizontal="center" vertical="center" wrapText="1"/>
    </xf>
    <xf numFmtId="177" fontId="5" fillId="0" borderId="0" xfId="3" applyNumberFormat="1" applyFont="1" applyFill="1" applyBorder="1" applyAlignment="1">
      <alignment horizontal="center" vertical="center"/>
    </xf>
    <xf numFmtId="177" fontId="5" fillId="0" borderId="0" xfId="5" applyNumberFormat="1" applyFont="1" applyFill="1" applyBorder="1" applyAlignment="1">
      <alignment horizontal="center" vertical="center" wrapText="1"/>
    </xf>
    <xf numFmtId="177" fontId="5" fillId="12" borderId="16" xfId="0" applyNumberFormat="1" applyFont="1" applyFill="1" applyBorder="1" applyAlignment="1">
      <alignment horizontal="center" vertical="center" wrapText="1"/>
    </xf>
    <xf numFmtId="177" fontId="5" fillId="14" borderId="16" xfId="5" applyNumberFormat="1" applyFont="1" applyFill="1" applyBorder="1" applyAlignment="1">
      <alignment horizontal="center" vertical="center" wrapText="1"/>
    </xf>
    <xf numFmtId="177" fontId="9" fillId="0" borderId="0" xfId="0" applyNumberFormat="1" applyFont="1" applyAlignment="1">
      <alignment horizontal="center"/>
    </xf>
    <xf numFmtId="177" fontId="9" fillId="0" borderId="0" xfId="5" applyNumberFormat="1" applyFont="1" applyAlignment="1">
      <alignment horizontal="center"/>
    </xf>
    <xf numFmtId="177" fontId="5" fillId="0" borderId="0" xfId="5" applyNumberFormat="1" applyFont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 wrapText="1"/>
    </xf>
    <xf numFmtId="10" fontId="7" fillId="14" borderId="16" xfId="5" applyNumberFormat="1" applyFont="1" applyFill="1" applyBorder="1" applyAlignment="1">
      <alignment horizontal="center" vertical="center" wrapText="1"/>
    </xf>
    <xf numFmtId="177" fontId="7" fillId="14" borderId="16" xfId="0" applyNumberFormat="1" applyFont="1" applyFill="1" applyBorder="1" applyAlignment="1">
      <alignment horizontal="center" vertical="center" wrapText="1"/>
    </xf>
    <xf numFmtId="9" fontId="7" fillId="14" borderId="16" xfId="5" applyFont="1" applyFill="1" applyBorder="1" applyAlignment="1">
      <alignment horizontal="center" vertical="center" wrapText="1"/>
    </xf>
    <xf numFmtId="9" fontId="5" fillId="9" borderId="16" xfId="5" applyFont="1" applyFill="1" applyBorder="1" applyAlignment="1">
      <alignment horizontal="center" vertical="center" wrapText="1"/>
    </xf>
    <xf numFmtId="9" fontId="5" fillId="16" borderId="16" xfId="5" applyFont="1" applyFill="1" applyBorder="1" applyAlignment="1">
      <alignment horizontal="center" vertical="center" wrapText="1"/>
    </xf>
    <xf numFmtId="177" fontId="5" fillId="15" borderId="3" xfId="3" applyNumberFormat="1" applyFont="1" applyFill="1" applyBorder="1" applyAlignment="1">
      <alignment horizontal="center" vertical="center"/>
    </xf>
    <xf numFmtId="177" fontId="5" fillId="15" borderId="0" xfId="3" applyNumberFormat="1" applyFont="1" applyFill="1" applyBorder="1" applyAlignment="1">
      <alignment horizontal="center" vertical="center"/>
    </xf>
    <xf numFmtId="177" fontId="5" fillId="15" borderId="16" xfId="0" applyNumberFormat="1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 vertical="center" wrapText="1"/>
    </xf>
    <xf numFmtId="10" fontId="5" fillId="0" borderId="0" xfId="5" applyNumberFormat="1" applyFont="1" applyFill="1" applyBorder="1" applyAlignment="1">
      <alignment horizontal="center" vertical="center" wrapText="1"/>
    </xf>
    <xf numFmtId="177" fontId="17" fillId="0" borderId="0" xfId="0" applyNumberFormat="1" applyFont="1" applyFill="1" applyBorder="1" applyAlignment="1">
      <alignment horizontal="center" vertical="center"/>
    </xf>
    <xf numFmtId="0" fontId="10" fillId="0" borderId="0" xfId="1" applyFont="1">
      <alignment vertical="center"/>
    </xf>
    <xf numFmtId="177" fontId="5" fillId="0" borderId="0" xfId="0" applyNumberFormat="1" applyFont="1">
      <alignment vertical="center"/>
    </xf>
    <xf numFmtId="0" fontId="18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11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177" fontId="12" fillId="8" borderId="4" xfId="0" applyNumberFormat="1" applyFont="1" applyFill="1" applyBorder="1" applyAlignment="1">
      <alignment horizontal="center" vertical="center" wrapText="1"/>
    </xf>
    <xf numFmtId="9" fontId="12" fillId="8" borderId="4" xfId="5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left" vertical="center" indent="1"/>
    </xf>
    <xf numFmtId="180" fontId="5" fillId="12" borderId="16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center" vertical="center" wrapText="1"/>
    </xf>
    <xf numFmtId="176" fontId="8" fillId="12" borderId="0" xfId="0" applyNumberFormat="1" applyFont="1" applyFill="1" applyBorder="1" applyAlignment="1">
      <alignment horizontal="center" textRotation="90" wrapText="1"/>
    </xf>
    <xf numFmtId="177" fontId="5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44" fontId="5" fillId="0" borderId="0" xfId="6" applyFont="1">
      <alignment vertical="center"/>
    </xf>
    <xf numFmtId="44" fontId="5" fillId="0" borderId="0" xfId="6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77" fontId="5" fillId="0" borderId="0" xfId="6" applyNumberFormat="1" applyFont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 wrapText="1"/>
    </xf>
    <xf numFmtId="177" fontId="14" fillId="0" borderId="4" xfId="6" applyNumberFormat="1" applyFont="1" applyFill="1" applyBorder="1" applyAlignment="1">
      <alignment horizontal="center" vertical="center" wrapText="1"/>
    </xf>
    <xf numFmtId="37" fontId="5" fillId="0" borderId="3" xfId="3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3" xfId="3" applyNumberFormat="1" applyFont="1" applyFill="1" applyBorder="1" applyAlignment="1">
      <alignment horizontal="center" vertical="center" wrapText="1"/>
    </xf>
    <xf numFmtId="177" fontId="5" fillId="0" borderId="15" xfId="0" applyNumberFormat="1" applyFont="1" applyFill="1" applyBorder="1" applyAlignment="1">
      <alignment horizontal="center" vertical="center" wrapText="1"/>
    </xf>
    <xf numFmtId="10" fontId="5" fillId="0" borderId="15" xfId="0" applyNumberFormat="1" applyFont="1" applyFill="1" applyBorder="1" applyAlignment="1">
      <alignment horizontal="center" vertical="center" wrapText="1"/>
    </xf>
    <xf numFmtId="9" fontId="5" fillId="0" borderId="15" xfId="5" applyFont="1" applyFill="1" applyBorder="1" applyAlignment="1">
      <alignment horizontal="center" vertical="center" wrapText="1"/>
    </xf>
    <xf numFmtId="0" fontId="14" fillId="0" borderId="4" xfId="6" applyNumberFormat="1" applyFont="1" applyFill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wrapText="1"/>
    </xf>
    <xf numFmtId="176" fontId="8" fillId="3" borderId="5" xfId="0" applyNumberFormat="1" applyFont="1" applyFill="1" applyBorder="1" applyAlignment="1">
      <alignment horizontal="center" textRotation="90" wrapText="1"/>
    </xf>
    <xf numFmtId="176" fontId="8" fillId="3" borderId="6" xfId="0" applyNumberFormat="1" applyFont="1" applyFill="1" applyBorder="1" applyAlignment="1">
      <alignment horizontal="center" textRotation="90" wrapText="1"/>
    </xf>
    <xf numFmtId="176" fontId="8" fillId="3" borderId="7" xfId="0" applyNumberFormat="1" applyFont="1" applyFill="1" applyBorder="1" applyAlignment="1">
      <alignment horizontal="center" textRotation="90" wrapText="1"/>
    </xf>
    <xf numFmtId="176" fontId="8" fillId="4" borderId="5" xfId="0" applyNumberFormat="1" applyFont="1" applyFill="1" applyBorder="1" applyAlignment="1">
      <alignment horizontal="center" textRotation="90" wrapText="1"/>
    </xf>
    <xf numFmtId="176" fontId="8" fillId="4" borderId="6" xfId="0" applyNumberFormat="1" applyFont="1" applyFill="1" applyBorder="1" applyAlignment="1">
      <alignment horizontal="center" textRotation="90" wrapText="1"/>
    </xf>
    <xf numFmtId="176" fontId="8" fillId="4" borderId="7" xfId="0" applyNumberFormat="1" applyFont="1" applyFill="1" applyBorder="1" applyAlignment="1">
      <alignment horizontal="center" textRotation="90" wrapText="1"/>
    </xf>
    <xf numFmtId="176" fontId="8" fillId="5" borderId="5" xfId="0" applyNumberFormat="1" applyFont="1" applyFill="1" applyBorder="1" applyAlignment="1">
      <alignment horizontal="center" textRotation="90" wrapText="1"/>
    </xf>
    <xf numFmtId="176" fontId="8" fillId="5" borderId="14" xfId="0" applyNumberFormat="1" applyFont="1" applyFill="1" applyBorder="1" applyAlignment="1">
      <alignment horizontal="center" textRotation="90" wrapText="1"/>
    </xf>
    <xf numFmtId="176" fontId="8" fillId="17" borderId="5" xfId="0" applyNumberFormat="1" applyFont="1" applyFill="1" applyBorder="1" applyAlignment="1">
      <alignment horizontal="center" textRotation="90" wrapText="1"/>
    </xf>
    <xf numFmtId="176" fontId="8" fillId="17" borderId="14" xfId="0" applyNumberFormat="1" applyFont="1" applyFill="1" applyBorder="1" applyAlignment="1">
      <alignment horizontal="center" textRotation="90" wrapText="1"/>
    </xf>
    <xf numFmtId="176" fontId="8" fillId="18" borderId="5" xfId="0" applyNumberFormat="1" applyFont="1" applyFill="1" applyBorder="1" applyAlignment="1">
      <alignment horizontal="center" textRotation="90" wrapText="1"/>
    </xf>
    <xf numFmtId="176" fontId="8" fillId="18" borderId="14" xfId="0" applyNumberFormat="1" applyFont="1" applyFill="1" applyBorder="1" applyAlignment="1">
      <alignment horizontal="center" textRotation="90" wrapText="1"/>
    </xf>
    <xf numFmtId="176" fontId="8" fillId="13" borderId="5" xfId="0" applyNumberFormat="1" applyFont="1" applyFill="1" applyBorder="1" applyAlignment="1">
      <alignment horizontal="center" textRotation="90" wrapText="1"/>
    </xf>
    <xf numFmtId="176" fontId="8" fillId="13" borderId="6" xfId="0" applyNumberFormat="1" applyFont="1" applyFill="1" applyBorder="1" applyAlignment="1">
      <alignment horizontal="center" textRotation="90" wrapText="1"/>
    </xf>
    <xf numFmtId="176" fontId="8" fillId="5" borderId="6" xfId="0" applyNumberFormat="1" applyFont="1" applyFill="1" applyBorder="1" applyAlignment="1">
      <alignment horizontal="center" textRotation="90" wrapText="1"/>
    </xf>
    <xf numFmtId="176" fontId="8" fillId="5" borderId="7" xfId="0" applyNumberFormat="1" applyFont="1" applyFill="1" applyBorder="1" applyAlignment="1">
      <alignment horizontal="center" textRotation="90" wrapText="1"/>
    </xf>
    <xf numFmtId="176" fontId="8" fillId="6" borderId="5" xfId="0" applyNumberFormat="1" applyFont="1" applyFill="1" applyBorder="1" applyAlignment="1">
      <alignment horizontal="center" textRotation="90" wrapText="1"/>
    </xf>
    <xf numFmtId="176" fontId="8" fillId="6" borderId="6" xfId="0" applyNumberFormat="1" applyFont="1" applyFill="1" applyBorder="1" applyAlignment="1">
      <alignment horizontal="center" textRotation="90" wrapText="1"/>
    </xf>
    <xf numFmtId="176" fontId="8" fillId="6" borderId="7" xfId="0" applyNumberFormat="1" applyFont="1" applyFill="1" applyBorder="1" applyAlignment="1">
      <alignment horizontal="center" textRotation="90" wrapText="1"/>
    </xf>
    <xf numFmtId="176" fontId="8" fillId="7" borderId="5" xfId="0" applyNumberFormat="1" applyFont="1" applyFill="1" applyBorder="1" applyAlignment="1">
      <alignment horizontal="center" textRotation="90" wrapText="1"/>
    </xf>
    <xf numFmtId="176" fontId="8" fillId="7" borderId="6" xfId="0" applyNumberFormat="1" applyFont="1" applyFill="1" applyBorder="1" applyAlignment="1">
      <alignment horizontal="center" textRotation="90" wrapText="1"/>
    </xf>
    <xf numFmtId="176" fontId="8" fillId="7" borderId="7" xfId="0" applyNumberFormat="1" applyFont="1" applyFill="1" applyBorder="1" applyAlignment="1">
      <alignment horizontal="center" textRotation="90" wrapText="1"/>
    </xf>
    <xf numFmtId="176" fontId="8" fillId="11" borderId="5" xfId="0" applyNumberFormat="1" applyFont="1" applyFill="1" applyBorder="1" applyAlignment="1">
      <alignment horizontal="center" textRotation="90" wrapText="1"/>
    </xf>
    <xf numFmtId="176" fontId="8" fillId="11" borderId="6" xfId="0" applyNumberFormat="1" applyFont="1" applyFill="1" applyBorder="1" applyAlignment="1">
      <alignment horizontal="center" textRotation="90" wrapText="1"/>
    </xf>
    <xf numFmtId="176" fontId="8" fillId="11" borderId="7" xfId="0" applyNumberFormat="1" applyFont="1" applyFill="1" applyBorder="1" applyAlignment="1">
      <alignment horizontal="center" textRotation="90" wrapText="1"/>
    </xf>
    <xf numFmtId="0" fontId="5" fillId="0" borderId="0" xfId="0" applyFont="1">
      <alignment vertical="center"/>
    </xf>
    <xf numFmtId="176" fontId="8" fillId="3" borderId="18" xfId="0" applyNumberFormat="1" applyFont="1" applyFill="1" applyBorder="1" applyAlignment="1">
      <alignment horizontal="center" textRotation="90" wrapText="1"/>
    </xf>
  </cellXfs>
  <cellStyles count="7">
    <cellStyle name="百分比" xfId="5" builtinId="5"/>
    <cellStyle name="标题 1" xfId="1" builtinId="16" customBuiltin="1"/>
    <cellStyle name="标题 2" xfId="2" builtinId="17" customBuiltin="1"/>
    <cellStyle name="标题 3" xfId="4" builtinId="18" customBuiltin="1"/>
    <cellStyle name="常规" xfId="0" builtinId="0" customBuiltin="1"/>
    <cellStyle name="货币" xfId="6" builtinId="4"/>
    <cellStyle name="输入" xfId="3" builtinId="20"/>
  </cellStyles>
  <dxfs count="22"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strike val="0"/>
        <outline val="0"/>
        <shadow val="0"/>
        <u val="none"/>
        <vertAlign val="baseline"/>
        <color rgb="FF595959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rgb="FF59595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rgb="FF59595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family val="2"/>
        <charset val="134"/>
        <scheme val="none"/>
      </font>
      <numFmt numFmtId="177" formatCode="&quot;¥&quot;#,##0.00_);[Red]\(&quot;¥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7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family val="2"/>
        <charset val="134"/>
        <scheme val="none"/>
      </font>
      <numFmt numFmtId="177" formatCode="&quot;¥&quot;#,##0.00_);[Red]\(&quot;¥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strike val="0"/>
        <outline val="0"/>
        <shadow val="0"/>
        <u val="none"/>
        <vertAlign val="baseline"/>
        <color rgb="FF595959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项目预算" defaultPivotStyle="PivotStyleMedium1">
    <tableStyle name="项目预算" pivot="0" count="6" xr9:uid="{00000000-0011-0000-FFFF-FFFF00000000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TotalCell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</a:t>
            </a:r>
            <a:r>
              <a:rPr lang="en-US" altLang="zh-CN" baseline="0"/>
              <a:t>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EVChart!$E$4</c:f>
              <c:strCache>
                <c:ptCount val="1"/>
                <c:pt idx="0">
                  <c:v>Cumulative 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EVChart!$E$5:$E$20</c:f>
              <c:numCache>
                <c:formatCode>"¥"#,##0.00_);[Red]\("¥"#,##0.00\)</c:formatCode>
                <c:ptCount val="16"/>
                <c:pt idx="0">
                  <c:v>32500</c:v>
                </c:pt>
                <c:pt idx="1">
                  <c:v>51400</c:v>
                </c:pt>
                <c:pt idx="2">
                  <c:v>68500</c:v>
                </c:pt>
                <c:pt idx="3">
                  <c:v>85400</c:v>
                </c:pt>
                <c:pt idx="4">
                  <c:v>101500</c:v>
                </c:pt>
                <c:pt idx="5">
                  <c:v>117600</c:v>
                </c:pt>
                <c:pt idx="6">
                  <c:v>133700</c:v>
                </c:pt>
                <c:pt idx="7">
                  <c:v>149800</c:v>
                </c:pt>
                <c:pt idx="8">
                  <c:v>167900</c:v>
                </c:pt>
                <c:pt idx="9">
                  <c:v>184000</c:v>
                </c:pt>
                <c:pt idx="10">
                  <c:v>200500</c:v>
                </c:pt>
                <c:pt idx="11">
                  <c:v>219600</c:v>
                </c:pt>
                <c:pt idx="12">
                  <c:v>240900</c:v>
                </c:pt>
                <c:pt idx="13">
                  <c:v>257000</c:v>
                </c:pt>
                <c:pt idx="14">
                  <c:v>275100</c:v>
                </c:pt>
                <c:pt idx="15">
                  <c:v>292400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6A0-94E4-D5A31724E054}"/>
            </c:ext>
          </c:extLst>
        </c:ser>
        <c:ser>
          <c:idx val="1"/>
          <c:order val="1"/>
          <c:tx>
            <c:strRef>
              <c:f>EVChart!$F$4</c:f>
              <c:strCache>
                <c:ptCount val="1"/>
                <c:pt idx="0">
                  <c:v>Cumulative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EVChart!$F$5:$F$20</c:f>
              <c:numCache>
                <c:formatCode>"¥"#,##0.00_);[Red]\("¥"#,##0.00\)</c:formatCode>
                <c:ptCount val="16"/>
                <c:pt idx="0">
                  <c:v>28800</c:v>
                </c:pt>
                <c:pt idx="1">
                  <c:v>47700</c:v>
                </c:pt>
                <c:pt idx="2">
                  <c:v>65800</c:v>
                </c:pt>
                <c:pt idx="3">
                  <c:v>81900</c:v>
                </c:pt>
                <c:pt idx="4">
                  <c:v>99200</c:v>
                </c:pt>
                <c:pt idx="5">
                  <c:v>115300</c:v>
                </c:pt>
                <c:pt idx="6">
                  <c:v>131400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6A0-94E4-D5A31724E054}"/>
            </c:ext>
          </c:extLst>
        </c:ser>
        <c:ser>
          <c:idx val="2"/>
          <c:order val="2"/>
          <c:tx>
            <c:strRef>
              <c:f>EVChart!$H$4</c:f>
              <c:strCache>
                <c:ptCount val="1"/>
                <c:pt idx="0">
                  <c:v>Cumulative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EVChart!$H$5:$H$11</c:f>
              <c:numCache>
                <c:formatCode>"¥"#,##0.00_);[Red]\("¥"#,##0.00\)</c:formatCode>
                <c:ptCount val="7"/>
                <c:pt idx="0">
                  <c:v>38280</c:v>
                </c:pt>
                <c:pt idx="1">
                  <c:v>57180</c:v>
                </c:pt>
                <c:pt idx="2">
                  <c:v>75800</c:v>
                </c:pt>
                <c:pt idx="3">
                  <c:v>88220</c:v>
                </c:pt>
                <c:pt idx="4">
                  <c:v>105060</c:v>
                </c:pt>
                <c:pt idx="5">
                  <c:v>120010</c:v>
                </c:pt>
                <c:pt idx="6">
                  <c:v>135075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6A0-94E4-D5A31724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4639"/>
        <c:axId val="586917423"/>
      </c:lineChart>
      <c:catAx>
        <c:axId val="3708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17423"/>
        <c:crosses val="autoZero"/>
        <c:auto val="1"/>
        <c:lblAlgn val="ctr"/>
        <c:lblOffset val="100"/>
        <c:noMultiLvlLbl val="0"/>
      </c:catAx>
      <c:valAx>
        <c:axId val="586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Estimated and Actual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DateSheet!$C$4</c:f>
              <c:strCache>
                <c:ptCount val="1"/>
                <c:pt idx="0">
                  <c:v>Estimated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DateSheet!$B$5:$B$20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DateSheet!$C$5:$C$20</c:f>
              <c:numCache>
                <c:formatCode>"¥"#,##0.00_);[Red]\("¥"#,##0.00\)</c:formatCode>
                <c:ptCount val="16"/>
                <c:pt idx="0">
                  <c:v>32500</c:v>
                </c:pt>
                <c:pt idx="1">
                  <c:v>18900</c:v>
                </c:pt>
                <c:pt idx="2">
                  <c:v>17100</c:v>
                </c:pt>
                <c:pt idx="3">
                  <c:v>16900</c:v>
                </c:pt>
                <c:pt idx="4">
                  <c:v>16100</c:v>
                </c:pt>
                <c:pt idx="5">
                  <c:v>16100</c:v>
                </c:pt>
                <c:pt idx="6">
                  <c:v>16100</c:v>
                </c:pt>
                <c:pt idx="7">
                  <c:v>16100</c:v>
                </c:pt>
                <c:pt idx="8">
                  <c:v>18100</c:v>
                </c:pt>
                <c:pt idx="9">
                  <c:v>16100</c:v>
                </c:pt>
                <c:pt idx="10">
                  <c:v>16500</c:v>
                </c:pt>
                <c:pt idx="11">
                  <c:v>19100</c:v>
                </c:pt>
                <c:pt idx="12">
                  <c:v>21300</c:v>
                </c:pt>
                <c:pt idx="13">
                  <c:v>16100</c:v>
                </c:pt>
                <c:pt idx="14">
                  <c:v>18100</c:v>
                </c:pt>
                <c:pt idx="15">
                  <c:v>17300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1-4050-917B-4FAC337C82D0}"/>
            </c:ext>
          </c:extLst>
        </c:ser>
        <c:ser>
          <c:idx val="1"/>
          <c:order val="1"/>
          <c:tx>
            <c:strRef>
              <c:f>DateSheet!$D$4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DateSheet!$B$5:$B$20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DateSheet!$D$5:$D$20</c:f>
              <c:numCache>
                <c:formatCode>"¥"#,##0.00_);[Red]\("¥"#,##0.00\)</c:formatCode>
                <c:ptCount val="16"/>
                <c:pt idx="0">
                  <c:v>28800</c:v>
                </c:pt>
                <c:pt idx="1">
                  <c:v>18900</c:v>
                </c:pt>
                <c:pt idx="2">
                  <c:v>18100</c:v>
                </c:pt>
                <c:pt idx="3">
                  <c:v>16100</c:v>
                </c:pt>
                <c:pt idx="4">
                  <c:v>17300</c:v>
                </c:pt>
                <c:pt idx="5">
                  <c:v>16100</c:v>
                </c:pt>
                <c:pt idx="6">
                  <c:v>16100</c:v>
                </c:pt>
                <c:pt idx="7">
                  <c:v>16100</c:v>
                </c:pt>
                <c:pt idx="8">
                  <c:v>17300</c:v>
                </c:pt>
                <c:pt idx="9">
                  <c:v>16100</c:v>
                </c:pt>
                <c:pt idx="10">
                  <c:v>16100</c:v>
                </c:pt>
                <c:pt idx="11">
                  <c:v>20300</c:v>
                </c:pt>
                <c:pt idx="12">
                  <c:v>20300</c:v>
                </c:pt>
                <c:pt idx="13">
                  <c:v>16700</c:v>
                </c:pt>
                <c:pt idx="14">
                  <c:v>17500</c:v>
                </c:pt>
                <c:pt idx="15">
                  <c:v>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1-4050-917B-4FAC337C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19903"/>
        <c:axId val="2141761871"/>
      </c:lineChart>
      <c:catAx>
        <c:axId val="21312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761871"/>
        <c:crosses val="autoZero"/>
        <c:auto val="1"/>
        <c:lblAlgn val="ctr"/>
        <c:lblOffset val="100"/>
        <c:noMultiLvlLbl val="0"/>
      </c:catAx>
      <c:valAx>
        <c:axId val="21417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Cumulative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DateSheet!$E$4</c:f>
              <c:strCache>
                <c:ptCount val="1"/>
                <c:pt idx="0">
                  <c:v>Estimated Cumulative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DateSheet!$B$5:$B$20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DateSheet!$E$5:$E$20</c:f>
              <c:numCache>
                <c:formatCode>"¥"#,##0.00_);[Red]\("¥"#,##0.00\)</c:formatCode>
                <c:ptCount val="16"/>
                <c:pt idx="0">
                  <c:v>32500</c:v>
                </c:pt>
                <c:pt idx="1">
                  <c:v>51400</c:v>
                </c:pt>
                <c:pt idx="2">
                  <c:v>68500</c:v>
                </c:pt>
                <c:pt idx="3">
                  <c:v>85400</c:v>
                </c:pt>
                <c:pt idx="4">
                  <c:v>101500</c:v>
                </c:pt>
                <c:pt idx="5">
                  <c:v>117600</c:v>
                </c:pt>
                <c:pt idx="6">
                  <c:v>133700</c:v>
                </c:pt>
                <c:pt idx="7">
                  <c:v>149800</c:v>
                </c:pt>
                <c:pt idx="8">
                  <c:v>167900</c:v>
                </c:pt>
                <c:pt idx="9">
                  <c:v>184000</c:v>
                </c:pt>
                <c:pt idx="10">
                  <c:v>200500</c:v>
                </c:pt>
                <c:pt idx="11">
                  <c:v>219600</c:v>
                </c:pt>
                <c:pt idx="12">
                  <c:v>240900</c:v>
                </c:pt>
                <c:pt idx="13">
                  <c:v>257000</c:v>
                </c:pt>
                <c:pt idx="14">
                  <c:v>275100</c:v>
                </c:pt>
                <c:pt idx="15">
                  <c:v>292400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1-4D7D-A917-657676D51680}"/>
            </c:ext>
          </c:extLst>
        </c:ser>
        <c:ser>
          <c:idx val="1"/>
          <c:order val="1"/>
          <c:tx>
            <c:strRef>
              <c:f>DateSheet!$F$4</c:f>
              <c:strCache>
                <c:ptCount val="1"/>
                <c:pt idx="0">
                  <c:v>Actual Cumulative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DateSheet!$B$5:$B$20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DateSheet!$F$5:$F$20</c:f>
              <c:numCache>
                <c:formatCode>"¥"#,##0.00_);[Red]\("¥"#,##0.00\)</c:formatCode>
                <c:ptCount val="16"/>
                <c:pt idx="0">
                  <c:v>28800</c:v>
                </c:pt>
                <c:pt idx="1">
                  <c:v>47700</c:v>
                </c:pt>
                <c:pt idx="2">
                  <c:v>65800</c:v>
                </c:pt>
                <c:pt idx="3">
                  <c:v>81900</c:v>
                </c:pt>
                <c:pt idx="4">
                  <c:v>99200</c:v>
                </c:pt>
                <c:pt idx="5">
                  <c:v>115300</c:v>
                </c:pt>
                <c:pt idx="6">
                  <c:v>131400</c:v>
                </c:pt>
                <c:pt idx="7">
                  <c:v>147500</c:v>
                </c:pt>
                <c:pt idx="8">
                  <c:v>164800</c:v>
                </c:pt>
                <c:pt idx="9">
                  <c:v>180900</c:v>
                </c:pt>
                <c:pt idx="10">
                  <c:v>197000</c:v>
                </c:pt>
                <c:pt idx="11">
                  <c:v>217300</c:v>
                </c:pt>
                <c:pt idx="12">
                  <c:v>237600</c:v>
                </c:pt>
                <c:pt idx="13">
                  <c:v>254300</c:v>
                </c:pt>
                <c:pt idx="14">
                  <c:v>271800</c:v>
                </c:pt>
                <c:pt idx="15">
                  <c:v>292100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1-4D7D-A917-657676D5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551023"/>
        <c:axId val="2134319359"/>
      </c:lineChart>
      <c:catAx>
        <c:axId val="21395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319359"/>
        <c:crosses val="autoZero"/>
        <c:auto val="1"/>
        <c:lblAlgn val="ctr"/>
        <c:lblOffset val="100"/>
        <c:noMultiLvlLbl val="0"/>
      </c:catAx>
      <c:valAx>
        <c:axId val="21343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Buduget</a:t>
            </a:r>
            <a:r>
              <a:rPr lang="en-US" altLang="zh-CN" baseline="0"/>
              <a:t> Line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'Break-Even'!$C$8</c:f>
              <c:strCache>
                <c:ptCount val="1"/>
                <c:pt idx="0">
                  <c:v>Cumulative costs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'Break-Even'!$E$4:$I$4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'Break-Even'!$E$8:$I$8</c:f>
              <c:numCache>
                <c:formatCode>"¥"#,##0.00_);[Red]\("¥"#,##0.00\)</c:formatCode>
                <c:ptCount val="5"/>
                <c:pt idx="0">
                  <c:v>2310128.083904</c:v>
                </c:pt>
                <c:pt idx="1">
                  <c:v>3999325.0820088824</c:v>
                </c:pt>
                <c:pt idx="2">
                  <c:v>5685854.3168450054</c:v>
                </c:pt>
                <c:pt idx="3">
                  <c:v>7470742.6719888747</c:v>
                </c:pt>
                <c:pt idx="4">
                  <c:v>9512167.9568650313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0-485F-9735-020611798CCE}"/>
            </c:ext>
          </c:extLst>
        </c:ser>
        <c:ser>
          <c:idx val="1"/>
          <c:order val="1"/>
          <c:tx>
            <c:strRef>
              <c:f>'Break-Even'!$C$13</c:f>
              <c:strCache>
                <c:ptCount val="1"/>
                <c:pt idx="0">
                  <c:v>Cumulative benefits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'Break-Even'!$E$4:$I$4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'Break-Even'!$E$13:$I$13</c:f>
              <c:numCache>
                <c:formatCode>"¥"#,##0.00_);[Red]\("¥"#,##0.00\)</c:formatCode>
                <c:ptCount val="5"/>
                <c:pt idx="0">
                  <c:v>1575686.3263999999</c:v>
                </c:pt>
                <c:pt idx="1">
                  <c:v>3865971.0699804705</c:v>
                </c:pt>
                <c:pt idx="2">
                  <c:v>5830098.3899743222</c:v>
                </c:pt>
                <c:pt idx="3">
                  <c:v>7921560.721557539</c:v>
                </c:pt>
                <c:pt idx="4">
                  <c:v>10189988.869636888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0-485F-9735-020611798C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154944"/>
        <c:axId val="1394844128"/>
      </c:lineChart>
      <c:dateAx>
        <c:axId val="1325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4128"/>
        <c:crosses val="autoZero"/>
        <c:auto val="0"/>
        <c:lblOffset val="100"/>
        <c:baseTimeUnit val="days"/>
      </c:dateAx>
      <c:valAx>
        <c:axId val="1394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1549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BreakEven Diagram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'Break-Even'!$C$8</c:f>
              <c:strCache>
                <c:ptCount val="1"/>
                <c:pt idx="0">
                  <c:v>Cumulative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'Break-Even'!$E$4:$I$4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'Break-Even'!$E$8:$I$8</c:f>
              <c:numCache>
                <c:formatCode>"¥"#,##0.00_);[Red]\("¥"#,##0.00\)</c:formatCode>
                <c:ptCount val="5"/>
                <c:pt idx="0">
                  <c:v>2310128.083904</c:v>
                </c:pt>
                <c:pt idx="1">
                  <c:v>3999325.0820088824</c:v>
                </c:pt>
                <c:pt idx="2">
                  <c:v>5685854.3168450054</c:v>
                </c:pt>
                <c:pt idx="3">
                  <c:v>7470742.6719888747</c:v>
                </c:pt>
                <c:pt idx="4">
                  <c:v>9512167.9568650313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E-4135-A23D-6589BBECBB75}"/>
            </c:ext>
          </c:extLst>
        </c:ser>
        <c:ser>
          <c:idx val="1"/>
          <c:order val="1"/>
          <c:tx>
            <c:strRef>
              <c:f>'Break-Even'!$C$13</c:f>
              <c:strCache>
                <c:ptCount val="1"/>
                <c:pt idx="0">
                  <c:v>Cumulative benefits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'Break-Even'!$E$4:$I$4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'Break-Even'!$E$13:$I$13</c:f>
              <c:numCache>
                <c:formatCode>"¥"#,##0.00_);[Red]\("¥"#,##0.00\)</c:formatCode>
                <c:ptCount val="5"/>
                <c:pt idx="0">
                  <c:v>1575686.3263999999</c:v>
                </c:pt>
                <c:pt idx="1">
                  <c:v>3865971.0699804705</c:v>
                </c:pt>
                <c:pt idx="2">
                  <c:v>5830098.3899743222</c:v>
                </c:pt>
                <c:pt idx="3">
                  <c:v>7921560.721557539</c:v>
                </c:pt>
                <c:pt idx="4">
                  <c:v>10189988.869636888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E-4135-A23D-6589BBECBB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4880400"/>
        <c:axId val="975546912"/>
      </c:barChart>
      <c:catAx>
        <c:axId val="9748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546912"/>
        <c:crosses val="autoZero"/>
        <c:auto val="1"/>
        <c:lblAlgn val="ctr"/>
        <c:lblOffset val="100"/>
        <c:noMultiLvlLbl val="0"/>
      </c:catAx>
      <c:valAx>
        <c:axId val="975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20</xdr:row>
      <xdr:rowOff>171449</xdr:rowOff>
    </xdr:from>
    <xdr:to>
      <xdr:col>6</xdr:col>
      <xdr:colOff>1047750</xdr:colOff>
      <xdr:row>48</xdr:row>
      <xdr:rowOff>61913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F411C-03B6-4509-9E11-FC231114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16667</xdr:colOff>
      <xdr:row>21</xdr:row>
      <xdr:rowOff>19049</xdr:rowOff>
    </xdr:from>
    <xdr:to>
      <xdr:col>5</xdr:col>
      <xdr:colOff>1862138</xdr:colOff>
      <xdr:row>37</xdr:row>
      <xdr:rowOff>185736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22D257-2D41-4D11-8A8C-2FC3495D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159543</xdr:colOff>
      <xdr:row>39</xdr:row>
      <xdr:rowOff>185737</xdr:rowOff>
    </xdr:from>
    <xdr:to>
      <xdr:col>5</xdr:col>
      <xdr:colOff>1833563</xdr:colOff>
      <xdr:row>59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B1360E-4D8E-4066-A093-FE466A006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26</xdr:row>
      <xdr:rowOff>28575</xdr:rowOff>
    </xdr:from>
    <xdr:to>
      <xdr:col>7</xdr:col>
      <xdr:colOff>785813</xdr:colOff>
      <xdr:row>48</xdr:row>
      <xdr:rowOff>66676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D9FF2B-DB48-4AF8-8BA3-862F7378F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50</xdr:row>
      <xdr:rowOff>19051</xdr:rowOff>
    </xdr:from>
    <xdr:to>
      <xdr:col>7</xdr:col>
      <xdr:colOff>1138238</xdr:colOff>
      <xdr:row>73</xdr:row>
      <xdr:rowOff>138114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733AB2-F041-43D4-938F-FB5A4ABD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E6F76-197D-432B-B122-9F65E51C752E}" name="tblCosts32" displayName="tblCosts32" ref="B4:H20" totalsRowShown="0" headerRowDxfId="15" dataDxfId="14">
  <autoFilter ref="B4:H20" xr:uid="{00000000-0009-0000-0100-000001000000}"/>
  <tableColumns count="7">
    <tableColumn id="1" xr3:uid="{4F77D6BA-1E50-4F6A-ABC1-CF93ABB3F097}" name="Project Process Weekly" dataDxfId="13"/>
    <tableColumn id="2" xr3:uid="{B28D2ADD-E297-4068-BEE7-9EDFA19785B3}" name="Estimated Cost" dataDxfId="12"/>
    <tableColumn id="4" xr3:uid="{7C480927-3577-4D3F-B434-DE39E6BBA48D}" name="Actual Cost" dataDxfId="11"/>
    <tableColumn id="3" xr3:uid="{A66B9258-56FD-45BB-B217-8755B08608FA}" name="Cumulative PV" dataDxfId="10"/>
    <tableColumn id="5" xr3:uid="{24FA4A6C-09E7-4609-B55C-A979681F8716}" name="Cumulative AC" dataDxfId="9"/>
    <tableColumn id="6" xr3:uid="{8DE6DA46-D7D9-4780-A4A2-491AADF32C7E}" name="EV" dataDxfId="8"/>
    <tableColumn id="7" xr3:uid="{B462617B-A1D6-4452-A401-E9936D3E8FDE}" name="Cumulative EV" dataDxfId="7"/>
  </tableColumns>
  <tableStyleInfo name="项目预算" showFirstColumn="0" showLastColumn="0" showRowStripes="1" showColumnStripes="0"/>
  <extLst>
    <ext xmlns:x14="http://schemas.microsoft.com/office/spreadsheetml/2009/9/main" uri="{504A1905-F514-4f6f-8877-14C23A59335A}">
      <x14:table altText="项目数据工作表" altTextSummary="在此处输入预计、实际和累计成本，这些数据在“累计项目成本”表中将以图表形式展示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5D5B3-D17D-4F24-8D69-3F5EFEB6F262}" name="tblCosts3" displayName="tblCosts3" ref="B4:F20" totalsRowShown="0" headerRowDxfId="6" dataDxfId="5">
  <autoFilter ref="B4:F20" xr:uid="{00000000-0009-0000-0100-000001000000}"/>
  <tableColumns count="5">
    <tableColumn id="1" xr3:uid="{E5B65D9E-1709-46DD-BDF3-4967613F1439}" name="Project Process Weekly" dataDxfId="4"/>
    <tableColumn id="2" xr3:uid="{B10BDD75-A44A-4DB1-BDE2-C75D232848B0}" name="Estimated Cost" dataDxfId="3"/>
    <tableColumn id="4" xr3:uid="{818CCD7A-33AF-4A02-922C-B620D40452B2}" name="Actual Cost" dataDxfId="2"/>
    <tableColumn id="3" xr3:uid="{693C374D-0D41-4D5C-B1B3-7AB8EDB48D29}" name="Estimated Cumulative Cost" dataDxfId="1"/>
    <tableColumn id="5" xr3:uid="{228A7E85-DEA3-4EF3-9C76-577F5385F0CD}" name="Actual Cumulative Cost" dataDxfId="0"/>
  </tableColumns>
  <tableStyleInfo name="项目预算" showFirstColumn="0" showLastColumn="0" showRowStripes="1" showColumnStripes="0"/>
  <extLst>
    <ext xmlns:x14="http://schemas.microsoft.com/office/spreadsheetml/2009/9/main" uri="{504A1905-F514-4f6f-8877-14C23A59335A}">
      <x14:table altText="项目数据工作表" altTextSummary="在此处输入预计、实际和累计成本，这些数据在“累计项目成本”表中将以图表形式展示。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004D-D0E3-4A13-9096-D6DBA3F1EADB}">
  <sheetPr>
    <tabColor theme="0" tint="-0.249977111117893"/>
    <pageSetUpPr autoPageBreaks="0" fitToPage="1"/>
  </sheetPr>
  <dimension ref="B1:I58"/>
  <sheetViews>
    <sheetView showGridLines="0" tabSelected="1" zoomScale="80" zoomScaleNormal="80" workbookViewId="0">
      <selection activeCell="E18" sqref="E18"/>
    </sheetView>
  </sheetViews>
  <sheetFormatPr defaultColWidth="9.15234375" defaultRowHeight="16.5" customHeight="1" x14ac:dyDescent="0.35"/>
  <cols>
    <col min="1" max="1" width="2.69140625" style="3" customWidth="1"/>
    <col min="2" max="2" width="5.3828125" style="3" customWidth="1"/>
    <col min="3" max="3" width="47.23046875" style="3" customWidth="1"/>
    <col min="4" max="4" width="31.15234375" style="3" customWidth="1"/>
    <col min="5" max="5" width="25.84375" style="3" customWidth="1"/>
    <col min="6" max="6" width="24.3828125" style="3" customWidth="1"/>
    <col min="7" max="7" width="28.61328125" style="3" customWidth="1"/>
    <col min="8" max="8" width="24.61328125" style="3" customWidth="1"/>
    <col min="9" max="9" width="25.3046875" style="3" customWidth="1"/>
    <col min="10" max="10" width="26.15234375" style="3" customWidth="1"/>
    <col min="11" max="16384" width="9.15234375" style="3"/>
  </cols>
  <sheetData>
    <row r="1" spans="2:9" ht="6.75" customHeight="1" x14ac:dyDescent="0.35">
      <c r="B1" s="1"/>
      <c r="C1" s="1"/>
      <c r="D1" s="1"/>
      <c r="E1" s="1"/>
      <c r="F1" s="1"/>
      <c r="G1" s="1"/>
      <c r="H1" s="1"/>
      <c r="I1" s="1"/>
    </row>
    <row r="2" spans="2:9" ht="42" customHeight="1" x14ac:dyDescent="0.35">
      <c r="B2" s="4" t="s">
        <v>160</v>
      </c>
      <c r="F2" s="64"/>
      <c r="G2" s="64"/>
      <c r="H2" s="64"/>
      <c r="I2" s="64"/>
    </row>
    <row r="3" spans="2:9" ht="27" customHeight="1" x14ac:dyDescent="0.35">
      <c r="B3" s="56"/>
      <c r="F3" s="55"/>
      <c r="H3" s="94" t="s">
        <v>119</v>
      </c>
      <c r="I3" s="63"/>
    </row>
    <row r="4" spans="2:9" ht="16.5" customHeight="1" thickBot="1" x14ac:dyDescent="0.4">
      <c r="C4" s="7"/>
      <c r="D4" s="28" t="s">
        <v>117</v>
      </c>
      <c r="E4" s="28" t="s">
        <v>53</v>
      </c>
      <c r="F4" s="28" t="s">
        <v>54</v>
      </c>
      <c r="G4" s="28" t="s">
        <v>55</v>
      </c>
      <c r="H4" s="28" t="s">
        <v>56</v>
      </c>
      <c r="I4" s="28" t="s">
        <v>158</v>
      </c>
    </row>
    <row r="5" spans="2:9" ht="16.5" customHeight="1" x14ac:dyDescent="0.35">
      <c r="B5" s="131"/>
      <c r="C5" s="9" t="s">
        <v>107</v>
      </c>
      <c r="D5" s="44"/>
      <c r="E5" s="29">
        <v>1550000</v>
      </c>
      <c r="F5" s="29">
        <v>1980000</v>
      </c>
      <c r="G5" s="29">
        <v>2280000</v>
      </c>
      <c r="H5" s="29">
        <v>2670000</v>
      </c>
      <c r="I5" s="29">
        <v>3150000</v>
      </c>
    </row>
    <row r="6" spans="2:9" ht="16.5" customHeight="1" x14ac:dyDescent="0.35">
      <c r="B6" s="132"/>
      <c r="C6" s="10" t="s">
        <v>118</v>
      </c>
      <c r="D6" s="45"/>
      <c r="E6" s="30">
        <v>970300</v>
      </c>
      <c r="F6" s="30">
        <v>1246300</v>
      </c>
      <c r="G6" s="30">
        <v>1046300</v>
      </c>
      <c r="H6" s="30">
        <v>1153300</v>
      </c>
      <c r="I6" s="30">
        <v>1173400</v>
      </c>
    </row>
    <row r="7" spans="2:9" ht="16.5" customHeight="1" thickBot="1" x14ac:dyDescent="0.4">
      <c r="B7" s="133"/>
      <c r="C7" s="11" t="s">
        <v>108</v>
      </c>
      <c r="D7" s="46"/>
      <c r="E7" s="62">
        <f>E5-E6</f>
        <v>579700</v>
      </c>
      <c r="F7" s="62">
        <f>F5-F6</f>
        <v>733700</v>
      </c>
      <c r="G7" s="62">
        <f>G5-G6</f>
        <v>1233700</v>
      </c>
      <c r="H7" s="62">
        <f>H5-H6</f>
        <v>1516700</v>
      </c>
      <c r="I7" s="62">
        <f>I5-I6</f>
        <v>1976600</v>
      </c>
    </row>
    <row r="8" spans="2:9" ht="33" customHeight="1" thickBot="1" x14ac:dyDescent="0.5">
      <c r="C8" s="12"/>
      <c r="D8" s="32"/>
      <c r="E8" s="32"/>
      <c r="F8" s="79"/>
      <c r="G8" s="32"/>
      <c r="H8" s="32"/>
      <c r="I8" s="32"/>
    </row>
    <row r="9" spans="2:9" ht="16.5" customHeight="1" x14ac:dyDescent="0.35">
      <c r="B9" s="134"/>
      <c r="C9" s="9" t="s">
        <v>109</v>
      </c>
      <c r="D9" s="44"/>
      <c r="E9" s="29">
        <v>315000</v>
      </c>
      <c r="F9" s="29">
        <v>320000</v>
      </c>
      <c r="G9" s="29">
        <v>340000</v>
      </c>
      <c r="H9" s="29">
        <v>330000</v>
      </c>
      <c r="I9" s="29">
        <v>325000</v>
      </c>
    </row>
    <row r="10" spans="2:9" s="115" customFormat="1" ht="16.5" customHeight="1" x14ac:dyDescent="0.35">
      <c r="B10" s="135"/>
      <c r="C10" s="10" t="s">
        <v>163</v>
      </c>
      <c r="D10" s="45"/>
      <c r="E10" s="30">
        <v>0</v>
      </c>
      <c r="F10" s="30">
        <v>0</v>
      </c>
      <c r="G10" s="30">
        <v>0</v>
      </c>
      <c r="H10" s="30">
        <v>0</v>
      </c>
      <c r="I10" s="30">
        <v>0</v>
      </c>
    </row>
    <row r="11" spans="2:9" ht="16.5" customHeight="1" x14ac:dyDescent="0.35">
      <c r="B11" s="135"/>
      <c r="C11" s="10" t="s">
        <v>110</v>
      </c>
      <c r="D11" s="45" t="s">
        <v>120</v>
      </c>
      <c r="E11" s="30">
        <v>67000</v>
      </c>
      <c r="F11" s="30">
        <v>22000</v>
      </c>
      <c r="G11" s="30">
        <v>6000</v>
      </c>
      <c r="H11" s="30">
        <v>36667</v>
      </c>
      <c r="I11" s="30">
        <v>12222</v>
      </c>
    </row>
    <row r="12" spans="2:9" ht="16.5" customHeight="1" x14ac:dyDescent="0.35">
      <c r="B12" s="135"/>
      <c r="C12" s="10" t="s">
        <v>111</v>
      </c>
      <c r="D12" s="45" t="s">
        <v>126</v>
      </c>
      <c r="E12" s="30">
        <v>200</v>
      </c>
      <c r="F12" s="30">
        <v>180</v>
      </c>
      <c r="G12" s="30">
        <v>962</v>
      </c>
      <c r="H12" s="30">
        <v>865.8</v>
      </c>
      <c r="I12" s="30">
        <v>779.22</v>
      </c>
    </row>
    <row r="13" spans="2:9" ht="16.5" customHeight="1" thickBot="1" x14ac:dyDescent="0.4">
      <c r="B13" s="136"/>
      <c r="C13" s="11" t="s">
        <v>162</v>
      </c>
      <c r="D13" s="46"/>
      <c r="E13" s="62">
        <f>E7-E9-E11-E12</f>
        <v>197500</v>
      </c>
      <c r="F13" s="62">
        <f>F7-F9-F11-F12</f>
        <v>391520</v>
      </c>
      <c r="G13" s="62">
        <f>G7-G9-G11-G12</f>
        <v>886738</v>
      </c>
      <c r="H13" s="62">
        <f>H7-H9-H11-H12</f>
        <v>1149167.2</v>
      </c>
      <c r="I13" s="62">
        <f>I7-I9-I11-I12</f>
        <v>1638598.78</v>
      </c>
    </row>
    <row r="14" spans="2:9" ht="33" customHeight="1" thickBot="1" x14ac:dyDescent="0.5">
      <c r="C14" s="12"/>
      <c r="D14" s="32"/>
      <c r="E14" s="32"/>
      <c r="F14" s="32"/>
      <c r="G14" s="32"/>
      <c r="H14" s="33"/>
      <c r="I14" s="33"/>
    </row>
    <row r="15" spans="2:9" ht="16.5" customHeight="1" x14ac:dyDescent="0.35">
      <c r="B15" s="137"/>
      <c r="C15" s="9" t="s">
        <v>169</v>
      </c>
      <c r="D15" s="44" t="s">
        <v>167</v>
      </c>
      <c r="E15" s="29">
        <v>14026.240000000002</v>
      </c>
      <c r="F15" s="29">
        <v>12556.24</v>
      </c>
      <c r="G15" s="29">
        <v>11086.24</v>
      </c>
      <c r="H15" s="29">
        <v>9614.84</v>
      </c>
      <c r="I15" s="29">
        <v>8146.24</v>
      </c>
    </row>
    <row r="16" spans="2:9" ht="16.5" customHeight="1" thickBot="1" x14ac:dyDescent="0.4">
      <c r="B16" s="138"/>
      <c r="C16" s="11" t="s">
        <v>113</v>
      </c>
      <c r="D16" s="46"/>
      <c r="E16" s="62">
        <f>E13-E15</f>
        <v>183473.76</v>
      </c>
      <c r="F16" s="62">
        <f>F13-F15</f>
        <v>378963.76</v>
      </c>
      <c r="G16" s="62">
        <f>G13-G15</f>
        <v>875651.76</v>
      </c>
      <c r="H16" s="62">
        <f>H13-H15</f>
        <v>1139552.3599999999</v>
      </c>
      <c r="I16" s="62">
        <f>I13-I15</f>
        <v>1630452.54</v>
      </c>
    </row>
    <row r="17" spans="2:9" ht="33.75" customHeight="1" thickBot="1" x14ac:dyDescent="0.5">
      <c r="C17" s="12"/>
      <c r="D17" s="32"/>
      <c r="E17" s="32"/>
      <c r="F17" s="32"/>
      <c r="G17" s="32"/>
      <c r="H17" s="33"/>
      <c r="I17" s="33"/>
    </row>
    <row r="18" spans="2:9" ht="16.5" customHeight="1" x14ac:dyDescent="0.35">
      <c r="B18" s="139"/>
      <c r="C18" s="9" t="s">
        <v>171</v>
      </c>
      <c r="D18" s="121" t="s">
        <v>172</v>
      </c>
      <c r="E18" s="29">
        <f>E48</f>
        <v>80801.843904000008</v>
      </c>
      <c r="F18" s="29">
        <f>F48</f>
        <v>159395.63990400001</v>
      </c>
      <c r="G18" s="29">
        <f>G48</f>
        <v>385637.03510400001</v>
      </c>
      <c r="H18" s="29">
        <f>H48</f>
        <v>471858.859344</v>
      </c>
      <c r="I18" s="29">
        <f>I48</f>
        <v>618051.29861599999</v>
      </c>
    </row>
    <row r="19" spans="2:9" ht="16.5" customHeight="1" thickBot="1" x14ac:dyDescent="0.4">
      <c r="B19" s="140"/>
      <c r="C19" s="11" t="s">
        <v>114</v>
      </c>
      <c r="D19" s="46"/>
      <c r="E19" s="62">
        <f>E16-E18</f>
        <v>102671.916096</v>
      </c>
      <c r="F19" s="62">
        <f>F16-F18</f>
        <v>219568.120096</v>
      </c>
      <c r="G19" s="62">
        <f>G16-G18</f>
        <v>490014.724896</v>
      </c>
      <c r="H19" s="62">
        <f>H16-H18</f>
        <v>667693.50065599987</v>
      </c>
      <c r="I19" s="62">
        <f>I16-I18</f>
        <v>1012401.2413840001</v>
      </c>
    </row>
    <row r="20" spans="2:9" ht="34.9" customHeight="1" thickBot="1" x14ac:dyDescent="0.4">
      <c r="D20" s="27"/>
    </row>
    <row r="21" spans="2:9" ht="16.5" customHeight="1" x14ac:dyDescent="0.35">
      <c r="B21" s="141"/>
      <c r="C21" s="9" t="s">
        <v>115</v>
      </c>
      <c r="D21" s="44" t="s">
        <v>134</v>
      </c>
      <c r="E21" s="29">
        <v>0</v>
      </c>
      <c r="F21" s="29">
        <v>0</v>
      </c>
      <c r="G21" s="29">
        <v>0</v>
      </c>
      <c r="H21" s="29">
        <v>-400000</v>
      </c>
      <c r="I21" s="29">
        <f>400000*(4%-1)</f>
        <v>-384000</v>
      </c>
    </row>
    <row r="22" spans="2:9" ht="16.5" customHeight="1" thickBot="1" x14ac:dyDescent="0.4">
      <c r="B22" s="142"/>
      <c r="C22" s="11" t="s">
        <v>116</v>
      </c>
      <c r="D22" s="46"/>
      <c r="E22" s="62">
        <f>E19+E21</f>
        <v>102671.916096</v>
      </c>
      <c r="F22" s="62">
        <f>F19+F21</f>
        <v>219568.120096</v>
      </c>
      <c r="G22" s="62">
        <f>G19+G21</f>
        <v>490014.724896</v>
      </c>
      <c r="H22" s="62">
        <f>H19+H21</f>
        <v>267693.50065599987</v>
      </c>
      <c r="I22" s="62">
        <f>I19+I21</f>
        <v>628401.24138400005</v>
      </c>
    </row>
    <row r="23" spans="2:9" s="106" customFormat="1" ht="16.5" customHeight="1" x14ac:dyDescent="0.35">
      <c r="B23" s="109"/>
      <c r="C23" s="107" t="s">
        <v>133</v>
      </c>
      <c r="D23" s="108"/>
      <c r="E23" s="38">
        <f>E22/2000000</f>
        <v>5.1335958048000001E-2</v>
      </c>
      <c r="F23" s="38">
        <f>F22/2500000</f>
        <v>8.7827248038400002E-2</v>
      </c>
      <c r="G23" s="38">
        <f>G22/2500000</f>
        <v>0.19600588995839999</v>
      </c>
      <c r="H23" s="38">
        <f>H22/2500000</f>
        <v>0.10707740026239995</v>
      </c>
      <c r="I23" s="38">
        <f>I22/2500000</f>
        <v>0.25136049655360004</v>
      </c>
    </row>
    <row r="24" spans="2:9" ht="16.5" customHeight="1" x14ac:dyDescent="0.35">
      <c r="B24" s="64"/>
      <c r="C24" s="110" t="s">
        <v>135</v>
      </c>
      <c r="D24" s="64"/>
      <c r="E24" s="64">
        <v>0</v>
      </c>
      <c r="F24" s="64">
        <v>100000</v>
      </c>
      <c r="G24" s="64">
        <v>200000</v>
      </c>
      <c r="H24" s="64">
        <v>20000</v>
      </c>
      <c r="I24" s="64">
        <v>500000</v>
      </c>
    </row>
    <row r="25" spans="2:9" ht="16.5" customHeight="1" x14ac:dyDescent="0.35">
      <c r="B25" s="64"/>
      <c r="C25" s="111" t="s">
        <v>136</v>
      </c>
      <c r="D25" s="64"/>
      <c r="E25" s="64">
        <f>E22-E24</f>
        <v>102671.916096</v>
      </c>
      <c r="F25" s="64">
        <f>F22-F24</f>
        <v>119568.120096</v>
      </c>
      <c r="G25" s="64">
        <f>G22-G24</f>
        <v>290014.724896</v>
      </c>
      <c r="H25" s="64">
        <f>H22-H24</f>
        <v>247693.50065599987</v>
      </c>
      <c r="I25" s="64">
        <f>I22-I24</f>
        <v>128401.24138400005</v>
      </c>
    </row>
    <row r="26" spans="2:9" ht="28.5" customHeight="1" x14ac:dyDescent="0.35">
      <c r="B26" s="96"/>
      <c r="E26" s="95"/>
      <c r="F26" s="95"/>
      <c r="G26" s="95"/>
      <c r="H26" s="95"/>
      <c r="I26" s="95"/>
    </row>
    <row r="27" spans="2:9" ht="16.5" customHeight="1" x14ac:dyDescent="0.35">
      <c r="E27" s="97"/>
      <c r="F27" s="97"/>
      <c r="G27" s="97"/>
      <c r="H27" s="97"/>
      <c r="I27" s="97"/>
    </row>
    <row r="29" spans="2:9" ht="16.5" customHeight="1" x14ac:dyDescent="0.35">
      <c r="E29" s="95"/>
      <c r="F29" s="95"/>
      <c r="G29" s="95"/>
      <c r="H29" s="95"/>
      <c r="I29" s="95"/>
    </row>
    <row r="30" spans="2:9" ht="16.5" customHeight="1" x14ac:dyDescent="0.35">
      <c r="E30" s="95"/>
      <c r="F30" s="95"/>
      <c r="G30" s="95"/>
      <c r="H30" s="95"/>
      <c r="I30" s="95"/>
    </row>
    <row r="31" spans="2:9" ht="16.5" customHeight="1" x14ac:dyDescent="0.35">
      <c r="C31" s="123" t="s">
        <v>173</v>
      </c>
      <c r="E31" s="95"/>
    </row>
    <row r="32" spans="2:9" ht="16.5" customHeight="1" x14ac:dyDescent="0.35">
      <c r="C32" s="123"/>
    </row>
    <row r="33" spans="3:9" ht="16.5" customHeight="1" x14ac:dyDescent="0.35">
      <c r="C33" s="27"/>
      <c r="D33" s="28" t="s">
        <v>117</v>
      </c>
      <c r="E33" s="28" t="s">
        <v>53</v>
      </c>
      <c r="F33" s="28" t="s">
        <v>54</v>
      </c>
      <c r="G33" s="28" t="s">
        <v>55</v>
      </c>
      <c r="H33" s="28" t="s">
        <v>56</v>
      </c>
      <c r="I33" s="28" t="s">
        <v>158</v>
      </c>
    </row>
    <row r="34" spans="3:9" ht="16.5" customHeight="1" x14ac:dyDescent="0.35">
      <c r="C34" s="122" t="s">
        <v>174</v>
      </c>
      <c r="D34" s="27" t="s">
        <v>175</v>
      </c>
      <c r="E34" s="27">
        <v>45868.44</v>
      </c>
      <c r="F34" s="27">
        <v>87240.94</v>
      </c>
      <c r="G34" s="27">
        <v>218912.94</v>
      </c>
      <c r="H34" s="27">
        <v>254888.09</v>
      </c>
      <c r="I34" s="27">
        <v>307613.13500000001</v>
      </c>
    </row>
    <row r="35" spans="3:9" ht="16.5" customHeight="1" x14ac:dyDescent="0.35">
      <c r="C35" s="27"/>
      <c r="D35" s="27"/>
      <c r="E35" s="27"/>
      <c r="F35" s="27"/>
      <c r="G35" s="27"/>
      <c r="H35" s="27"/>
      <c r="I35" s="27"/>
    </row>
    <row r="36" spans="3:9" ht="16.5" customHeight="1" x14ac:dyDescent="0.35">
      <c r="C36" s="122" t="s">
        <v>180</v>
      </c>
      <c r="D36" s="27" t="s">
        <v>181</v>
      </c>
      <c r="E36" s="27"/>
      <c r="F36" s="27"/>
      <c r="G36" s="27"/>
      <c r="H36" s="27"/>
      <c r="I36" s="27"/>
    </row>
    <row r="37" spans="3:9" ht="16.5" customHeight="1" x14ac:dyDescent="0.35">
      <c r="C37" s="27" t="s">
        <v>184</v>
      </c>
      <c r="D37" s="27"/>
      <c r="E37" s="64">
        <f>E16*0.17</f>
        <v>31190.539200000003</v>
      </c>
      <c r="F37" s="64">
        <f>F16*0.17</f>
        <v>64423.839200000009</v>
      </c>
      <c r="G37" s="64">
        <f>G16*0.17</f>
        <v>148860.79920000001</v>
      </c>
      <c r="H37" s="64">
        <f>H16*0.17</f>
        <v>193723.90119999999</v>
      </c>
      <c r="I37" s="64">
        <f>I16*0.17</f>
        <v>277176.93180000002</v>
      </c>
    </row>
    <row r="38" spans="3:9" ht="16.5" customHeight="1" x14ac:dyDescent="0.35">
      <c r="C38" s="27" t="s">
        <v>185</v>
      </c>
      <c r="D38" s="27"/>
      <c r="E38" s="64">
        <v>0</v>
      </c>
      <c r="F38" s="64">
        <v>0</v>
      </c>
      <c r="G38" s="64">
        <v>0</v>
      </c>
      <c r="H38" s="64">
        <v>0</v>
      </c>
      <c r="I38" s="64">
        <v>0</v>
      </c>
    </row>
    <row r="39" spans="3:9" ht="16.5" customHeight="1" x14ac:dyDescent="0.35">
      <c r="C39" s="27" t="s">
        <v>186</v>
      </c>
      <c r="D39" s="27"/>
      <c r="E39" s="64">
        <f>E37-E38</f>
        <v>31190.539200000003</v>
      </c>
      <c r="F39" s="64">
        <f>F37-F38</f>
        <v>64423.839200000009</v>
      </c>
      <c r="G39" s="64">
        <f>G37-G38</f>
        <v>148860.79920000001</v>
      </c>
      <c r="H39" s="64">
        <f>H37-H38</f>
        <v>193723.90119999999</v>
      </c>
      <c r="I39" s="64">
        <f>I37-I38</f>
        <v>277176.93180000002</v>
      </c>
    </row>
    <row r="40" spans="3:9" ht="16.5" customHeight="1" x14ac:dyDescent="0.35">
      <c r="C40" s="27" t="s">
        <v>187</v>
      </c>
      <c r="D40" s="27"/>
      <c r="E40" s="64">
        <f>E16*0.03</f>
        <v>5504.2128000000002</v>
      </c>
      <c r="F40" s="64">
        <f>F16*0.03</f>
        <v>11368.9128</v>
      </c>
      <c r="G40" s="64">
        <f>G16*0.03</f>
        <v>26269.552799999998</v>
      </c>
      <c r="H40" s="64">
        <f>H16*0.03</f>
        <v>34186.570799999994</v>
      </c>
      <c r="I40" s="64">
        <f>I16*0.03</f>
        <v>48913.576199999996</v>
      </c>
    </row>
    <row r="41" spans="3:9" ht="16.5" customHeight="1" x14ac:dyDescent="0.35">
      <c r="C41" s="27" t="s">
        <v>188</v>
      </c>
      <c r="D41" s="27"/>
      <c r="E41" s="64">
        <f>E39-E40</f>
        <v>25686.326400000002</v>
      </c>
      <c r="F41" s="64">
        <f>F39-F40</f>
        <v>53054.926400000011</v>
      </c>
      <c r="G41" s="64">
        <f>G39-G40</f>
        <v>122591.2464</v>
      </c>
      <c r="H41" s="64">
        <f>H39-H40</f>
        <v>159537.33040000001</v>
      </c>
      <c r="I41" s="64">
        <f>I39-I40</f>
        <v>228263.35560000001</v>
      </c>
    </row>
    <row r="42" spans="3:9" ht="16.5" customHeight="1" x14ac:dyDescent="0.35">
      <c r="C42" s="27"/>
      <c r="D42" s="27"/>
      <c r="E42" s="27"/>
      <c r="F42" s="27"/>
      <c r="G42" s="27"/>
      <c r="H42" s="27"/>
      <c r="I42" s="27"/>
    </row>
    <row r="43" spans="3:9" ht="16.5" customHeight="1" x14ac:dyDescent="0.35">
      <c r="C43" s="122" t="s">
        <v>179</v>
      </c>
      <c r="D43" s="27"/>
      <c r="E43" s="64">
        <f>SUM(E44:E46)</f>
        <v>3742.8647040000005</v>
      </c>
      <c r="F43" s="64">
        <f>SUM(F44:F46)</f>
        <v>7730.8607040000024</v>
      </c>
      <c r="G43" s="64">
        <f>SUM(G44:G46)</f>
        <v>17863.295904000002</v>
      </c>
      <c r="H43" s="64">
        <f>SUM(H44:H46)</f>
        <v>23246.868144</v>
      </c>
      <c r="I43" s="64">
        <f>SUM(I44:I46)</f>
        <v>33261.231816</v>
      </c>
    </row>
    <row r="44" spans="3:9" ht="16.5" customHeight="1" x14ac:dyDescent="0.35">
      <c r="C44" s="27" t="s">
        <v>190</v>
      </c>
      <c r="D44" s="27" t="s">
        <v>176</v>
      </c>
      <c r="E44" s="64">
        <f>E39*0.07</f>
        <v>2183.3377440000004</v>
      </c>
      <c r="F44" s="64">
        <f>F39*0.07</f>
        <v>4509.6687440000014</v>
      </c>
      <c r="G44" s="64">
        <f>G39*0.07</f>
        <v>10420.255944000002</v>
      </c>
      <c r="H44" s="64">
        <f>H39*0.07</f>
        <v>13560.673084</v>
      </c>
      <c r="I44" s="64">
        <f>I39*0.07</f>
        <v>19402.385226000002</v>
      </c>
    </row>
    <row r="45" spans="3:9" ht="16.5" customHeight="1" x14ac:dyDescent="0.35">
      <c r="C45" s="27" t="s">
        <v>182</v>
      </c>
      <c r="D45" s="27" t="s">
        <v>177</v>
      </c>
      <c r="E45" s="64">
        <f>E39*0.03</f>
        <v>935.71617600000002</v>
      </c>
      <c r="F45" s="64">
        <f>F39*0.03</f>
        <v>1932.7151760000002</v>
      </c>
      <c r="G45" s="64">
        <f>G39*0.03</f>
        <v>4465.8239759999997</v>
      </c>
      <c r="H45" s="64">
        <f>H39*0.03</f>
        <v>5811.717036</v>
      </c>
      <c r="I45" s="64">
        <f>I39*0.03</f>
        <v>8315.3079539999999</v>
      </c>
    </row>
    <row r="46" spans="3:9" ht="16.5" customHeight="1" x14ac:dyDescent="0.35">
      <c r="C46" s="27" t="s">
        <v>183</v>
      </c>
      <c r="D46" s="27" t="s">
        <v>178</v>
      </c>
      <c r="E46" s="64">
        <f>E39*0.02</f>
        <v>623.81078400000013</v>
      </c>
      <c r="F46" s="64">
        <f>F39*0.02</f>
        <v>1288.4767840000002</v>
      </c>
      <c r="G46" s="64">
        <f>G39*0.02</f>
        <v>2977.2159840000004</v>
      </c>
      <c r="H46" s="64">
        <f>H39*0.02</f>
        <v>3874.478024</v>
      </c>
      <c r="I46" s="64">
        <f>I39*0.02</f>
        <v>5543.5386360000002</v>
      </c>
    </row>
    <row r="47" spans="3:9" ht="16.5" customHeight="1" x14ac:dyDescent="0.35">
      <c r="C47" s="27"/>
      <c r="D47" s="27"/>
      <c r="E47" s="27"/>
      <c r="F47" s="27"/>
      <c r="G47" s="27"/>
      <c r="H47" s="27"/>
      <c r="I47" s="27"/>
    </row>
    <row r="48" spans="3:9" ht="16.5" customHeight="1" x14ac:dyDescent="0.35">
      <c r="C48" s="122" t="s">
        <v>189</v>
      </c>
      <c r="D48" s="27"/>
      <c r="E48" s="64">
        <f>E34+E39+E43</f>
        <v>80801.843904000008</v>
      </c>
      <c r="F48" s="64">
        <f>F34+F39+F43</f>
        <v>159395.63990400001</v>
      </c>
      <c r="G48" s="64">
        <f>G34+G39+G43</f>
        <v>385637.03510400001</v>
      </c>
      <c r="H48" s="64">
        <f>H34+H39+H43</f>
        <v>471858.859344</v>
      </c>
      <c r="I48" s="64">
        <f>I34+I39+I43</f>
        <v>618051.29861599999</v>
      </c>
    </row>
    <row r="49" spans="3:9" ht="16.5" customHeight="1" x14ac:dyDescent="0.35">
      <c r="C49" s="27"/>
      <c r="D49" s="27"/>
      <c r="E49" s="27"/>
      <c r="F49" s="27"/>
      <c r="G49" s="27"/>
      <c r="H49" s="27"/>
      <c r="I49" s="27"/>
    </row>
    <row r="50" spans="3:9" ht="16.5" customHeight="1" x14ac:dyDescent="0.35">
      <c r="C50" s="27"/>
      <c r="D50" s="27"/>
      <c r="E50" s="27"/>
      <c r="F50" s="27"/>
      <c r="G50" s="27"/>
      <c r="H50" s="27"/>
      <c r="I50" s="27"/>
    </row>
    <row r="51" spans="3:9" ht="16.5" customHeight="1" x14ac:dyDescent="0.35">
      <c r="C51" s="27"/>
      <c r="D51" s="27"/>
      <c r="E51" s="27"/>
      <c r="F51" s="27"/>
      <c r="G51" s="27"/>
      <c r="H51" s="27"/>
      <c r="I51" s="27"/>
    </row>
    <row r="52" spans="3:9" ht="16.5" customHeight="1" x14ac:dyDescent="0.35">
      <c r="C52" s="27"/>
      <c r="D52" s="27"/>
      <c r="E52" s="27"/>
      <c r="F52" s="27"/>
      <c r="G52" s="27"/>
      <c r="H52" s="27"/>
      <c r="I52" s="27"/>
    </row>
    <row r="53" spans="3:9" ht="16.5" customHeight="1" x14ac:dyDescent="0.35">
      <c r="C53" s="27"/>
      <c r="D53" s="27"/>
      <c r="E53" s="27"/>
      <c r="F53" s="27"/>
      <c r="G53" s="27"/>
      <c r="H53" s="27"/>
      <c r="I53" s="27"/>
    </row>
    <row r="54" spans="3:9" ht="16.5" customHeight="1" x14ac:dyDescent="0.35">
      <c r="C54" s="27"/>
      <c r="D54" s="27"/>
      <c r="E54" s="27"/>
      <c r="F54" s="27"/>
      <c r="G54" s="27"/>
      <c r="H54" s="27"/>
      <c r="I54" s="27"/>
    </row>
    <row r="55" spans="3:9" ht="16.5" customHeight="1" x14ac:dyDescent="0.35">
      <c r="C55" s="27"/>
      <c r="D55" s="27"/>
      <c r="E55" s="27"/>
      <c r="F55" s="27"/>
      <c r="G55" s="27"/>
      <c r="H55" s="27"/>
      <c r="I55" s="27"/>
    </row>
    <row r="56" spans="3:9" ht="16.5" customHeight="1" x14ac:dyDescent="0.35">
      <c r="C56" s="27"/>
      <c r="D56" s="27"/>
      <c r="E56" s="27"/>
      <c r="F56" s="27"/>
      <c r="G56" s="27"/>
      <c r="H56" s="27"/>
      <c r="I56" s="27"/>
    </row>
    <row r="57" spans="3:9" ht="16.5" customHeight="1" x14ac:dyDescent="0.35">
      <c r="C57" s="27"/>
      <c r="D57" s="27"/>
      <c r="E57" s="27"/>
      <c r="F57" s="27"/>
      <c r="G57" s="27"/>
      <c r="H57" s="27"/>
      <c r="I57" s="27"/>
    </row>
    <row r="58" spans="3:9" ht="16.5" customHeight="1" x14ac:dyDescent="0.35">
      <c r="C58" s="27"/>
      <c r="D58" s="27"/>
      <c r="E58" s="27"/>
      <c r="F58" s="27"/>
      <c r="G58" s="27"/>
      <c r="H58" s="27"/>
      <c r="I58" s="27"/>
    </row>
  </sheetData>
  <mergeCells count="5">
    <mergeCell ref="B5:B7"/>
    <mergeCell ref="B9:B13"/>
    <mergeCell ref="B15:B16"/>
    <mergeCell ref="B18:B19"/>
    <mergeCell ref="B21:B22"/>
  </mergeCells>
  <phoneticPr fontId="4" type="noConversion"/>
  <pageMargins left="0.7" right="0.7" top="0.75" bottom="0.75" header="0.3" footer="0.3"/>
  <pageSetup scale="68" fitToHeight="0" orientation="portrait" r:id="rId1"/>
  <ignoredErrors>
    <ignoredError sqref="E40:I40" formula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3613-8C81-4F1C-847B-4FC4817DD2C3}">
  <sheetPr>
    <tabColor theme="6" tint="0.39997558519241921"/>
    <pageSetUpPr autoPageBreaks="0" fitToPage="1"/>
  </sheetPr>
  <dimension ref="B1:T27"/>
  <sheetViews>
    <sheetView showGridLines="0" topLeftCell="E1" zoomScale="48" zoomScaleNormal="48" workbookViewId="0">
      <selection activeCell="L29" sqref="L29"/>
    </sheetView>
  </sheetViews>
  <sheetFormatPr defaultColWidth="9.15234375" defaultRowHeight="16.5" customHeight="1" x14ac:dyDescent="0.35"/>
  <cols>
    <col min="1" max="1" width="2.69140625" style="112" customWidth="1"/>
    <col min="2" max="2" width="5.3828125" style="112" customWidth="1"/>
    <col min="3" max="3" width="47.23046875" style="112" customWidth="1"/>
    <col min="4" max="4" width="31.15234375" style="112" customWidth="1"/>
    <col min="5" max="5" width="19.15234375" style="112" customWidth="1"/>
    <col min="6" max="6" width="24.3828125" style="112" customWidth="1"/>
    <col min="7" max="7" width="28.61328125" style="112" customWidth="1"/>
    <col min="8" max="8" width="24.61328125" style="112" customWidth="1"/>
    <col min="9" max="9" width="25.3046875" style="112" customWidth="1"/>
    <col min="10" max="17" width="26.4609375" style="112" customWidth="1"/>
    <col min="18" max="18" width="9.15234375" style="112"/>
    <col min="19" max="19" width="14.61328125" style="112" bestFit="1" customWidth="1"/>
    <col min="20" max="20" width="12.921875" style="112" bestFit="1" customWidth="1"/>
    <col min="21" max="16384" width="9.15234375" style="112"/>
  </cols>
  <sheetData>
    <row r="1" spans="2:20" ht="6.75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20" ht="42" customHeight="1" x14ac:dyDescent="0.35">
      <c r="B2" s="4" t="s">
        <v>161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20" ht="27" customHeight="1" x14ac:dyDescent="0.35">
      <c r="B3" s="56"/>
      <c r="F3" s="55"/>
      <c r="H3" s="94"/>
      <c r="I3" s="63"/>
      <c r="J3" s="63"/>
      <c r="K3" s="63"/>
      <c r="L3" s="63"/>
      <c r="M3" s="63"/>
      <c r="N3" s="63"/>
      <c r="O3" s="63" t="s">
        <v>145</v>
      </c>
      <c r="P3" s="63"/>
      <c r="Q3" s="63"/>
    </row>
    <row r="4" spans="2:20" ht="16.5" customHeight="1" thickBot="1" x14ac:dyDescent="0.4">
      <c r="C4" s="7"/>
      <c r="D4" s="28" t="s">
        <v>117</v>
      </c>
      <c r="E4" s="28" t="s">
        <v>146</v>
      </c>
      <c r="F4" s="28" t="s">
        <v>147</v>
      </c>
      <c r="G4" s="28" t="s">
        <v>148</v>
      </c>
      <c r="H4" s="28" t="s">
        <v>149</v>
      </c>
      <c r="I4" s="28" t="s">
        <v>150</v>
      </c>
      <c r="J4" s="28" t="s">
        <v>151</v>
      </c>
      <c r="K4" s="28" t="s">
        <v>152</v>
      </c>
      <c r="L4" s="28" t="s">
        <v>153</v>
      </c>
      <c r="M4" s="28" t="s">
        <v>154</v>
      </c>
      <c r="N4" s="28" t="s">
        <v>155</v>
      </c>
      <c r="O4" s="28" t="s">
        <v>156</v>
      </c>
      <c r="P4" s="28" t="s">
        <v>157</v>
      </c>
      <c r="Q4" s="28" t="s">
        <v>128</v>
      </c>
    </row>
    <row r="5" spans="2:20" ht="16.5" customHeight="1" x14ac:dyDescent="0.35">
      <c r="B5" s="131"/>
      <c r="C5" s="9" t="s">
        <v>107</v>
      </c>
      <c r="D5" s="44"/>
      <c r="E5" s="29">
        <v>0</v>
      </c>
      <c r="F5" s="29">
        <v>0</v>
      </c>
      <c r="G5" s="29">
        <v>0</v>
      </c>
      <c r="H5" s="29">
        <v>0</v>
      </c>
      <c r="I5" s="29">
        <v>500000</v>
      </c>
      <c r="J5" s="29">
        <v>150000</v>
      </c>
      <c r="K5" s="29">
        <v>150000</v>
      </c>
      <c r="L5" s="29">
        <v>150000</v>
      </c>
      <c r="M5" s="29">
        <v>150000</v>
      </c>
      <c r="N5" s="29">
        <v>150000</v>
      </c>
      <c r="O5" s="29">
        <v>150000</v>
      </c>
      <c r="P5" s="29">
        <v>150000</v>
      </c>
      <c r="Q5" s="29">
        <f>SUM(E5:P5)</f>
        <v>1550000</v>
      </c>
    </row>
    <row r="6" spans="2:20" ht="16.5" customHeight="1" x14ac:dyDescent="0.35">
      <c r="B6" s="132"/>
      <c r="C6" s="10" t="s">
        <v>118</v>
      </c>
      <c r="D6" s="45"/>
      <c r="E6" s="30">
        <f>28700+3000+57000</f>
        <v>88700</v>
      </c>
      <c r="F6" s="30">
        <f>12400+57000+3000</f>
        <v>72400</v>
      </c>
      <c r="G6" s="30">
        <f>16600+39900+57000+3000</f>
        <v>116500</v>
      </c>
      <c r="H6" s="30">
        <f>21000+57000+3000</f>
        <v>81000</v>
      </c>
      <c r="I6" s="30">
        <f>12000+57000+3000</f>
        <v>72000</v>
      </c>
      <c r="J6" s="30">
        <f>28700+57000+3000</f>
        <v>88700</v>
      </c>
      <c r="K6" s="30">
        <f>12400+57000+3000</f>
        <v>72400</v>
      </c>
      <c r="L6" s="30">
        <f>16600+57000+3000</f>
        <v>76600</v>
      </c>
      <c r="M6" s="30">
        <f>12400+57000+3000</f>
        <v>72400</v>
      </c>
      <c r="N6" s="30">
        <f>16600+57000+3000</f>
        <v>76600</v>
      </c>
      <c r="O6" s="30">
        <f>21000+57000+3000</f>
        <v>81000</v>
      </c>
      <c r="P6" s="30">
        <f>12000+57000+3000</f>
        <v>72000</v>
      </c>
      <c r="Q6" s="30">
        <f>SUM(E6:P6)</f>
        <v>970300</v>
      </c>
      <c r="S6" s="95"/>
      <c r="T6" s="95"/>
    </row>
    <row r="7" spans="2:20" ht="16.5" customHeight="1" thickBot="1" x14ac:dyDescent="0.4">
      <c r="B7" s="133"/>
      <c r="C7" s="11" t="s">
        <v>108</v>
      </c>
      <c r="D7" s="46"/>
      <c r="E7" s="62">
        <f t="shared" ref="E7:P7" si="0">E5-E6</f>
        <v>-88700</v>
      </c>
      <c r="F7" s="62">
        <f t="shared" si="0"/>
        <v>-72400</v>
      </c>
      <c r="G7" s="62">
        <f t="shared" si="0"/>
        <v>-116500</v>
      </c>
      <c r="H7" s="62">
        <f t="shared" si="0"/>
        <v>-81000</v>
      </c>
      <c r="I7" s="62">
        <f t="shared" si="0"/>
        <v>428000</v>
      </c>
      <c r="J7" s="62">
        <f t="shared" si="0"/>
        <v>61300</v>
      </c>
      <c r="K7" s="62">
        <f t="shared" si="0"/>
        <v>77600</v>
      </c>
      <c r="L7" s="62">
        <f t="shared" si="0"/>
        <v>73400</v>
      </c>
      <c r="M7" s="62">
        <f t="shared" si="0"/>
        <v>77600</v>
      </c>
      <c r="N7" s="62">
        <f t="shared" si="0"/>
        <v>73400</v>
      </c>
      <c r="O7" s="62">
        <f t="shared" si="0"/>
        <v>69000</v>
      </c>
      <c r="P7" s="62">
        <f t="shared" si="0"/>
        <v>78000</v>
      </c>
      <c r="Q7" s="62">
        <f>Q5-Q6</f>
        <v>579700</v>
      </c>
    </row>
    <row r="8" spans="2:20" ht="33" customHeight="1" thickBot="1" x14ac:dyDescent="0.5">
      <c r="C8" s="12"/>
      <c r="D8" s="32"/>
      <c r="E8" s="32"/>
      <c r="F8" s="79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2:20" ht="16.5" customHeight="1" x14ac:dyDescent="0.35">
      <c r="B9" s="134"/>
      <c r="C9" s="9" t="s">
        <v>109</v>
      </c>
      <c r="D9" s="44"/>
      <c r="E9" s="29">
        <f t="shared" ref="E9:P9" si="1">16250+10000</f>
        <v>26250</v>
      </c>
      <c r="F9" s="29">
        <f t="shared" si="1"/>
        <v>26250</v>
      </c>
      <c r="G9" s="29">
        <f t="shared" si="1"/>
        <v>26250</v>
      </c>
      <c r="H9" s="29">
        <f t="shared" si="1"/>
        <v>26250</v>
      </c>
      <c r="I9" s="29">
        <f t="shared" si="1"/>
        <v>26250</v>
      </c>
      <c r="J9" s="29">
        <f t="shared" si="1"/>
        <v>26250</v>
      </c>
      <c r="K9" s="29">
        <f t="shared" si="1"/>
        <v>26250</v>
      </c>
      <c r="L9" s="29">
        <f t="shared" si="1"/>
        <v>26250</v>
      </c>
      <c r="M9" s="29">
        <f t="shared" si="1"/>
        <v>26250</v>
      </c>
      <c r="N9" s="29">
        <f t="shared" si="1"/>
        <v>26250</v>
      </c>
      <c r="O9" s="29">
        <f t="shared" si="1"/>
        <v>26250</v>
      </c>
      <c r="P9" s="29">
        <f t="shared" si="1"/>
        <v>26250</v>
      </c>
      <c r="Q9" s="29">
        <v>315000</v>
      </c>
    </row>
    <row r="10" spans="2:20" ht="16.5" customHeight="1" x14ac:dyDescent="0.35">
      <c r="B10" s="135"/>
      <c r="C10" s="10" t="s">
        <v>110</v>
      </c>
      <c r="D10" s="45" t="s">
        <v>120</v>
      </c>
      <c r="E10" s="30">
        <f t="shared" ref="E10:P10" si="2">2791.67*2</f>
        <v>5583.34</v>
      </c>
      <c r="F10" s="30">
        <f t="shared" si="2"/>
        <v>5583.34</v>
      </c>
      <c r="G10" s="30">
        <f t="shared" si="2"/>
        <v>5583.34</v>
      </c>
      <c r="H10" s="30">
        <f t="shared" si="2"/>
        <v>5583.34</v>
      </c>
      <c r="I10" s="30">
        <f t="shared" si="2"/>
        <v>5583.34</v>
      </c>
      <c r="J10" s="30">
        <f t="shared" si="2"/>
        <v>5583.34</v>
      </c>
      <c r="K10" s="30">
        <f t="shared" si="2"/>
        <v>5583.34</v>
      </c>
      <c r="L10" s="30">
        <f t="shared" si="2"/>
        <v>5583.34</v>
      </c>
      <c r="M10" s="30">
        <f t="shared" si="2"/>
        <v>5583.34</v>
      </c>
      <c r="N10" s="30">
        <f t="shared" si="2"/>
        <v>5583.34</v>
      </c>
      <c r="O10" s="30">
        <f t="shared" si="2"/>
        <v>5583.34</v>
      </c>
      <c r="P10" s="30">
        <f t="shared" si="2"/>
        <v>5583.34</v>
      </c>
      <c r="Q10" s="30">
        <v>67000</v>
      </c>
    </row>
    <row r="11" spans="2:20" ht="16.5" customHeight="1" x14ac:dyDescent="0.35">
      <c r="B11" s="135"/>
      <c r="C11" s="10" t="s">
        <v>111</v>
      </c>
      <c r="D11" s="45" t="s">
        <v>126</v>
      </c>
      <c r="E11" s="30">
        <v>16.670000000000002</v>
      </c>
      <c r="F11" s="30">
        <v>16.670000000000002</v>
      </c>
      <c r="G11" s="30">
        <v>16.670000000000002</v>
      </c>
      <c r="H11" s="30">
        <v>16.670000000000002</v>
      </c>
      <c r="I11" s="30">
        <v>16.670000000000002</v>
      </c>
      <c r="J11" s="30">
        <v>16.670000000000002</v>
      </c>
      <c r="K11" s="30">
        <v>16.670000000000002</v>
      </c>
      <c r="L11" s="30">
        <v>16.670000000000002</v>
      </c>
      <c r="M11" s="30">
        <v>16.670000000000002</v>
      </c>
      <c r="N11" s="30">
        <v>16.670000000000002</v>
      </c>
      <c r="O11" s="30">
        <v>16.670000000000002</v>
      </c>
      <c r="P11" s="30">
        <v>16.670000000000002</v>
      </c>
      <c r="Q11" s="30">
        <v>200</v>
      </c>
    </row>
    <row r="12" spans="2:20" ht="16.5" customHeight="1" thickBot="1" x14ac:dyDescent="0.4">
      <c r="B12" s="136"/>
      <c r="C12" s="11" t="s">
        <v>112</v>
      </c>
      <c r="D12" s="46"/>
      <c r="E12" s="62">
        <f t="shared" ref="E12:P12" si="3">E7-E9-E10-E11</f>
        <v>-120550.01</v>
      </c>
      <c r="F12" s="62">
        <f t="shared" si="3"/>
        <v>-104250.01</v>
      </c>
      <c r="G12" s="62">
        <f t="shared" si="3"/>
        <v>-148350.01</v>
      </c>
      <c r="H12" s="62">
        <f t="shared" si="3"/>
        <v>-112850.01</v>
      </c>
      <c r="I12" s="62">
        <f t="shared" si="3"/>
        <v>396149.99</v>
      </c>
      <c r="J12" s="62">
        <f t="shared" si="3"/>
        <v>29449.99</v>
      </c>
      <c r="K12" s="62">
        <f t="shared" si="3"/>
        <v>45749.990000000005</v>
      </c>
      <c r="L12" s="62">
        <f t="shared" si="3"/>
        <v>41549.990000000005</v>
      </c>
      <c r="M12" s="62">
        <f t="shared" si="3"/>
        <v>45749.990000000005</v>
      </c>
      <c r="N12" s="62">
        <f t="shared" si="3"/>
        <v>41549.990000000005</v>
      </c>
      <c r="O12" s="62">
        <f t="shared" si="3"/>
        <v>37149.990000000005</v>
      </c>
      <c r="P12" s="62">
        <f t="shared" si="3"/>
        <v>46149.990000000005</v>
      </c>
      <c r="Q12" s="62">
        <f>Q7-Q9-Q10-Q11</f>
        <v>197500</v>
      </c>
    </row>
    <row r="13" spans="2:20" ht="33" customHeight="1" thickBot="1" x14ac:dyDescent="0.5">
      <c r="C13" s="12"/>
      <c r="D13" s="32"/>
      <c r="E13" s="32"/>
      <c r="F13" s="3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2:20" ht="16.5" customHeight="1" x14ac:dyDescent="0.35">
      <c r="B14" s="137"/>
      <c r="C14" s="9" t="s">
        <v>169</v>
      </c>
      <c r="D14" s="44" t="s">
        <v>167</v>
      </c>
      <c r="E14" s="29">
        <v>1225</v>
      </c>
      <c r="F14" s="29">
        <v>1214.79</v>
      </c>
      <c r="G14" s="29">
        <v>1204.58</v>
      </c>
      <c r="H14" s="29">
        <v>1194.3699999999999</v>
      </c>
      <c r="I14" s="29">
        <v>1184.17</v>
      </c>
      <c r="J14" s="29">
        <v>1173.96</v>
      </c>
      <c r="K14" s="29">
        <v>1163.75</v>
      </c>
      <c r="L14" s="29">
        <v>1153.54</v>
      </c>
      <c r="M14" s="29">
        <v>1143.33</v>
      </c>
      <c r="N14" s="29">
        <v>1133.1199999999999</v>
      </c>
      <c r="O14" s="29">
        <v>1122.92</v>
      </c>
      <c r="P14" s="29">
        <v>1112.71</v>
      </c>
      <c r="Q14" s="29">
        <f>SUM(E14:P14)</f>
        <v>14026.240000000002</v>
      </c>
    </row>
    <row r="15" spans="2:20" ht="16.5" customHeight="1" thickBot="1" x14ac:dyDescent="0.4">
      <c r="B15" s="138"/>
      <c r="C15" s="11" t="s">
        <v>113</v>
      </c>
      <c r="D15" s="46"/>
      <c r="E15" s="62">
        <f t="shared" ref="E15:Q15" si="4">E12-E14</f>
        <v>-121775.01</v>
      </c>
      <c r="F15" s="62">
        <f t="shared" si="4"/>
        <v>-105464.79999999999</v>
      </c>
      <c r="G15" s="62">
        <f t="shared" si="4"/>
        <v>-149554.59</v>
      </c>
      <c r="H15" s="62">
        <f t="shared" si="4"/>
        <v>-114044.37999999999</v>
      </c>
      <c r="I15" s="62">
        <f t="shared" si="4"/>
        <v>394965.82</v>
      </c>
      <c r="J15" s="62">
        <f t="shared" si="4"/>
        <v>28276.030000000002</v>
      </c>
      <c r="K15" s="62">
        <f t="shared" si="4"/>
        <v>44586.240000000005</v>
      </c>
      <c r="L15" s="62">
        <f t="shared" si="4"/>
        <v>40396.450000000004</v>
      </c>
      <c r="M15" s="62">
        <f t="shared" si="4"/>
        <v>44606.66</v>
      </c>
      <c r="N15" s="62">
        <f t="shared" si="4"/>
        <v>40416.870000000003</v>
      </c>
      <c r="O15" s="62">
        <f t="shared" si="4"/>
        <v>36027.070000000007</v>
      </c>
      <c r="P15" s="62">
        <f t="shared" si="4"/>
        <v>45037.280000000006</v>
      </c>
      <c r="Q15" s="62">
        <f t="shared" si="4"/>
        <v>183473.76</v>
      </c>
    </row>
    <row r="16" spans="2:20" ht="33.75" customHeight="1" thickBot="1" x14ac:dyDescent="0.5">
      <c r="C16" s="12"/>
      <c r="D16" s="32"/>
      <c r="E16" s="32"/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2:17" ht="16.5" customHeight="1" x14ac:dyDescent="0.35">
      <c r="B17" s="139"/>
      <c r="C17" s="9" t="s">
        <v>170</v>
      </c>
      <c r="D17" s="44" t="s">
        <v>168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80801.843904000008</v>
      </c>
    </row>
    <row r="18" spans="2:17" ht="16.5" customHeight="1" thickBot="1" x14ac:dyDescent="0.4">
      <c r="B18" s="140"/>
      <c r="C18" s="11" t="s">
        <v>114</v>
      </c>
      <c r="D18" s="46"/>
      <c r="E18" s="62">
        <f t="shared" ref="E18:Q18" si="5">E15-E17</f>
        <v>-121775.01</v>
      </c>
      <c r="F18" s="62">
        <f t="shared" si="5"/>
        <v>-105464.79999999999</v>
      </c>
      <c r="G18" s="62">
        <f t="shared" si="5"/>
        <v>-149554.59</v>
      </c>
      <c r="H18" s="62">
        <f t="shared" si="5"/>
        <v>-114044.37999999999</v>
      </c>
      <c r="I18" s="62">
        <f t="shared" si="5"/>
        <v>394965.82</v>
      </c>
      <c r="J18" s="62">
        <f t="shared" si="5"/>
        <v>28276.030000000002</v>
      </c>
      <c r="K18" s="62">
        <f t="shared" si="5"/>
        <v>44586.240000000005</v>
      </c>
      <c r="L18" s="62">
        <f t="shared" si="5"/>
        <v>40396.450000000004</v>
      </c>
      <c r="M18" s="62">
        <f t="shared" si="5"/>
        <v>44606.66</v>
      </c>
      <c r="N18" s="62">
        <f t="shared" si="5"/>
        <v>40416.870000000003</v>
      </c>
      <c r="O18" s="62">
        <f t="shared" si="5"/>
        <v>36027.070000000007</v>
      </c>
      <c r="P18" s="62">
        <f t="shared" si="5"/>
        <v>45037.280000000006</v>
      </c>
      <c r="Q18" s="62">
        <f t="shared" si="5"/>
        <v>102671.916096</v>
      </c>
    </row>
    <row r="19" spans="2:17" ht="34.9" customHeight="1" thickBot="1" x14ac:dyDescent="0.4">
      <c r="D19" s="27"/>
    </row>
    <row r="20" spans="2:17" ht="16.5" customHeight="1" x14ac:dyDescent="0.35">
      <c r="B20" s="141"/>
      <c r="C20" s="9" t="s">
        <v>115</v>
      </c>
      <c r="D20" s="44" t="s">
        <v>134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</row>
    <row r="21" spans="2:17" ht="16.5" customHeight="1" thickBot="1" x14ac:dyDescent="0.4">
      <c r="B21" s="142"/>
      <c r="C21" s="11" t="s">
        <v>116</v>
      </c>
      <c r="D21" s="46"/>
      <c r="E21" s="62">
        <f t="shared" ref="E21:Q21" si="6">E18+E20</f>
        <v>-121775.01</v>
      </c>
      <c r="F21" s="62">
        <f t="shared" si="6"/>
        <v>-105464.79999999999</v>
      </c>
      <c r="G21" s="62">
        <f t="shared" si="6"/>
        <v>-149554.59</v>
      </c>
      <c r="H21" s="62">
        <f t="shared" si="6"/>
        <v>-114044.37999999999</v>
      </c>
      <c r="I21" s="62">
        <f t="shared" si="6"/>
        <v>394965.82</v>
      </c>
      <c r="J21" s="62">
        <f t="shared" si="6"/>
        <v>28276.030000000002</v>
      </c>
      <c r="K21" s="62">
        <f t="shared" si="6"/>
        <v>44586.240000000005</v>
      </c>
      <c r="L21" s="62">
        <f t="shared" si="6"/>
        <v>40396.450000000004</v>
      </c>
      <c r="M21" s="62">
        <f t="shared" si="6"/>
        <v>44606.66</v>
      </c>
      <c r="N21" s="62">
        <f t="shared" si="6"/>
        <v>40416.870000000003</v>
      </c>
      <c r="O21" s="62">
        <f t="shared" si="6"/>
        <v>36027.070000000007</v>
      </c>
      <c r="P21" s="62">
        <f t="shared" si="6"/>
        <v>45037.280000000006</v>
      </c>
      <c r="Q21" s="62">
        <f t="shared" si="6"/>
        <v>102671.916096</v>
      </c>
    </row>
    <row r="22" spans="2:17" ht="28.5" customHeight="1" x14ac:dyDescent="0.35">
      <c r="B22" s="96"/>
      <c r="E22" s="95"/>
      <c r="F22" s="95"/>
      <c r="G22" s="95"/>
      <c r="H22" s="95"/>
      <c r="I22" s="95"/>
    </row>
    <row r="23" spans="2:17" ht="16.5" customHeight="1" x14ac:dyDescent="0.35">
      <c r="E23" s="97"/>
      <c r="F23" s="97"/>
      <c r="G23" s="97"/>
      <c r="H23" s="97"/>
      <c r="I23" s="97"/>
    </row>
    <row r="25" spans="2:17" ht="16.5" customHeight="1" x14ac:dyDescent="0.35">
      <c r="E25" s="95"/>
      <c r="F25" s="95"/>
      <c r="G25" s="95"/>
      <c r="H25" s="95"/>
      <c r="I25" s="95"/>
    </row>
    <row r="26" spans="2:17" ht="16.5" customHeight="1" x14ac:dyDescent="0.35">
      <c r="E26" s="95"/>
    </row>
    <row r="27" spans="2:17" ht="16.5" customHeight="1" x14ac:dyDescent="0.35">
      <c r="E27" s="95"/>
    </row>
  </sheetData>
  <mergeCells count="5">
    <mergeCell ref="B5:B7"/>
    <mergeCell ref="B9:B12"/>
    <mergeCell ref="B14:B15"/>
    <mergeCell ref="B17:B18"/>
    <mergeCell ref="B20:B21"/>
  </mergeCells>
  <phoneticPr fontId="4" type="noConversion"/>
  <pageMargins left="0.7" right="0.7" top="0.75" bottom="0.75" header="0.3" footer="0.3"/>
  <pageSetup scale="68" fitToHeight="0" orientation="portrait" r:id="rId1"/>
  <ignoredErrors>
    <ignoredError sqref="L6:M6" formula="1"/>
  </ignoredErrors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27D8-2638-448E-9FA3-B375904394C7}">
  <sheetPr>
    <tabColor theme="9" tint="0.79998168889431442"/>
    <pageSetUpPr autoPageBreaks="0" fitToPage="1"/>
  </sheetPr>
  <dimension ref="B1:AR44"/>
  <sheetViews>
    <sheetView showGridLines="0" topLeftCell="A34" zoomScaleNormal="100" workbookViewId="0">
      <selection activeCell="J42" sqref="J42"/>
    </sheetView>
  </sheetViews>
  <sheetFormatPr defaultColWidth="9.15234375" defaultRowHeight="16.5" customHeight="1" x14ac:dyDescent="0.35"/>
  <cols>
    <col min="1" max="1" width="2.69140625" style="3" customWidth="1"/>
    <col min="2" max="2" width="5.3828125" style="3" customWidth="1"/>
    <col min="3" max="3" width="36" style="3" customWidth="1"/>
    <col min="4" max="20" width="14.69140625" style="3" customWidth="1"/>
    <col min="21" max="21" width="21.61328125" style="3" customWidth="1"/>
    <col min="22" max="22" width="22.4609375" style="3" customWidth="1"/>
    <col min="23" max="24" width="14.69140625" style="3" customWidth="1"/>
    <col min="25" max="26" width="11.4609375" style="3" bestFit="1" customWidth="1"/>
    <col min="27" max="16384" width="9.15234375" style="3"/>
  </cols>
  <sheetData>
    <row r="1" spans="2:26" ht="6.75" customHeight="1" x14ac:dyDescent="0.35"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1"/>
      <c r="N1" s="1"/>
      <c r="O1" s="1"/>
      <c r="P1" s="1"/>
      <c r="Q1" s="2"/>
      <c r="R1" s="2"/>
      <c r="S1" s="2"/>
      <c r="T1" s="1"/>
      <c r="U1" s="1"/>
      <c r="V1" s="1"/>
      <c r="W1" s="1"/>
      <c r="X1" s="2"/>
      <c r="Y1" s="2"/>
      <c r="Z1" s="2"/>
    </row>
    <row r="2" spans="2:26" ht="42" customHeight="1" x14ac:dyDescent="0.35">
      <c r="B2" s="4" t="s">
        <v>131</v>
      </c>
      <c r="G2" s="4"/>
      <c r="H2" s="4"/>
      <c r="I2" s="4"/>
      <c r="J2" s="5"/>
    </row>
    <row r="3" spans="2:26" ht="16.5" customHeight="1" thickBot="1" x14ac:dyDescent="0.4">
      <c r="C3" s="7" t="s">
        <v>1</v>
      </c>
      <c r="D3" s="28" t="s">
        <v>68</v>
      </c>
      <c r="E3" s="28" t="s">
        <v>69</v>
      </c>
      <c r="F3" s="28" t="s">
        <v>70</v>
      </c>
      <c r="G3" s="28" t="s">
        <v>71</v>
      </c>
      <c r="H3" s="28" t="s">
        <v>72</v>
      </c>
      <c r="I3" s="28" t="s">
        <v>73</v>
      </c>
      <c r="J3" s="28" t="s">
        <v>74</v>
      </c>
      <c r="K3" s="28" t="s">
        <v>75</v>
      </c>
      <c r="L3" s="28" t="s">
        <v>76</v>
      </c>
      <c r="M3" s="28" t="s">
        <v>77</v>
      </c>
      <c r="N3" s="28" t="s">
        <v>78</v>
      </c>
      <c r="O3" s="28" t="s">
        <v>79</v>
      </c>
      <c r="P3" s="28" t="s">
        <v>80</v>
      </c>
      <c r="Q3" s="28" t="s">
        <v>81</v>
      </c>
      <c r="R3" s="28" t="s">
        <v>82</v>
      </c>
      <c r="S3" s="28" t="s">
        <v>83</v>
      </c>
      <c r="T3" s="28" t="s">
        <v>84</v>
      </c>
      <c r="U3" s="28" t="s">
        <v>85</v>
      </c>
      <c r="V3" s="28" t="s">
        <v>86</v>
      </c>
      <c r="W3" s="28" t="s">
        <v>87</v>
      </c>
      <c r="X3" s="28" t="s">
        <v>88</v>
      </c>
    </row>
    <row r="4" spans="2:26" ht="16.5" customHeight="1" x14ac:dyDescent="0.35">
      <c r="B4" s="131" t="s">
        <v>2</v>
      </c>
      <c r="C4" s="9" t="s">
        <v>13</v>
      </c>
      <c r="D4" s="73">
        <f>3800+1900</f>
        <v>5700</v>
      </c>
      <c r="E4" s="29"/>
      <c r="F4" s="29"/>
      <c r="G4" s="29"/>
      <c r="H4" s="29"/>
      <c r="I4" s="29"/>
      <c r="J4" s="29"/>
      <c r="K4" s="29"/>
      <c r="L4" s="74"/>
      <c r="M4" s="29"/>
      <c r="N4" s="29"/>
      <c r="O4" s="29"/>
      <c r="P4" s="29"/>
      <c r="Q4" s="29"/>
      <c r="R4" s="29"/>
      <c r="S4" s="29"/>
      <c r="T4" s="88">
        <f>SUM(D4:S4)</f>
        <v>5700</v>
      </c>
      <c r="U4" s="69">
        <v>1</v>
      </c>
      <c r="V4" s="69">
        <v>1</v>
      </c>
      <c r="W4" s="69">
        <v>1</v>
      </c>
      <c r="X4" s="70">
        <f>T4*W4</f>
        <v>5700</v>
      </c>
      <c r="Y4" s="95">
        <f>SUM(X4:X6)+D8</f>
        <v>38280</v>
      </c>
      <c r="Z4" s="95"/>
    </row>
    <row r="5" spans="2:26" ht="16.5" customHeight="1" x14ac:dyDescent="0.35">
      <c r="B5" s="132"/>
      <c r="C5" s="10" t="s">
        <v>14</v>
      </c>
      <c r="D5" s="75">
        <f>7600+1900*2</f>
        <v>11400</v>
      </c>
      <c r="E5" s="30"/>
      <c r="F5" s="30"/>
      <c r="G5" s="30"/>
      <c r="H5" s="30"/>
      <c r="I5" s="30"/>
      <c r="J5" s="30"/>
      <c r="K5" s="30"/>
      <c r="L5" s="76"/>
      <c r="M5" s="30"/>
      <c r="N5" s="30"/>
      <c r="O5" s="30"/>
      <c r="P5" s="30"/>
      <c r="Q5" s="30"/>
      <c r="R5" s="30"/>
      <c r="S5" s="30"/>
      <c r="T5" s="89">
        <f>SUM(D5:S5)</f>
        <v>11400</v>
      </c>
      <c r="U5" s="71">
        <v>1</v>
      </c>
      <c r="V5" s="71">
        <v>0.95</v>
      </c>
      <c r="W5" s="71">
        <v>0.95</v>
      </c>
      <c r="X5" s="72">
        <f>T5*W5</f>
        <v>10830</v>
      </c>
      <c r="Y5" s="95">
        <f>E8</f>
        <v>18900</v>
      </c>
    </row>
    <row r="6" spans="2:26" ht="16.5" customHeight="1" thickBot="1" x14ac:dyDescent="0.4">
      <c r="B6" s="133"/>
      <c r="C6" s="66" t="s">
        <v>15</v>
      </c>
      <c r="D6" s="77">
        <f>3300+3*1900</f>
        <v>9000</v>
      </c>
      <c r="E6" s="77"/>
      <c r="F6" s="77"/>
      <c r="G6" s="67"/>
      <c r="H6" s="67"/>
      <c r="I6" s="67"/>
      <c r="J6" s="67"/>
      <c r="K6" s="67"/>
      <c r="L6" s="78"/>
      <c r="M6" s="77"/>
      <c r="N6" s="77"/>
      <c r="O6" s="67"/>
      <c r="P6" s="67"/>
      <c r="Q6" s="67"/>
      <c r="R6" s="67"/>
      <c r="S6" s="67"/>
      <c r="T6" s="90">
        <f>SUM(D6:S6)</f>
        <v>9000</v>
      </c>
      <c r="U6" s="86">
        <v>1</v>
      </c>
      <c r="V6" s="86">
        <v>0.85</v>
      </c>
      <c r="W6" s="86">
        <v>0.85</v>
      </c>
      <c r="X6" s="65">
        <f>T6*W6</f>
        <v>7650</v>
      </c>
      <c r="Y6" s="95">
        <f>F8+F9*0.7</f>
        <v>18620</v>
      </c>
    </row>
    <row r="7" spans="2:26" ht="33" customHeight="1" thickBot="1" x14ac:dyDescent="0.5">
      <c r="C7" s="12"/>
      <c r="D7" s="79"/>
      <c r="E7" s="79"/>
      <c r="F7" s="79"/>
      <c r="G7" s="79"/>
      <c r="H7" s="79"/>
      <c r="I7" s="79"/>
      <c r="J7" s="79"/>
      <c r="K7" s="79"/>
      <c r="L7" s="80"/>
      <c r="M7" s="79"/>
      <c r="N7" s="79"/>
      <c r="O7" s="79"/>
      <c r="P7" s="79"/>
      <c r="Q7" s="79"/>
      <c r="R7" s="79"/>
      <c r="S7" s="79"/>
      <c r="T7" s="80"/>
      <c r="U7" s="39"/>
      <c r="V7" s="39"/>
      <c r="W7" s="39"/>
      <c r="X7" s="32"/>
      <c r="Y7" s="95">
        <f>G9*0.7+X10</f>
        <v>12420</v>
      </c>
    </row>
    <row r="8" spans="2:26" ht="16.5" customHeight="1" x14ac:dyDescent="0.35">
      <c r="B8" s="134" t="s">
        <v>16</v>
      </c>
      <c r="C8" s="9" t="s">
        <v>18</v>
      </c>
      <c r="D8" s="73">
        <f>800+7*1900</f>
        <v>14100</v>
      </c>
      <c r="E8" s="29">
        <f>5600+7*1900</f>
        <v>18900</v>
      </c>
      <c r="F8" s="29">
        <f>4000+1900*6</f>
        <v>15400</v>
      </c>
      <c r="G8" s="29"/>
      <c r="H8" s="29"/>
      <c r="I8" s="29"/>
      <c r="J8" s="29"/>
      <c r="K8" s="29"/>
      <c r="L8" s="74"/>
      <c r="M8" s="29"/>
      <c r="N8" s="29"/>
      <c r="O8" s="29"/>
      <c r="P8" s="29"/>
      <c r="Q8" s="29"/>
      <c r="R8" s="29"/>
      <c r="S8" s="29"/>
      <c r="T8" s="88">
        <f>SUM(D8:S8)</f>
        <v>48400</v>
      </c>
      <c r="U8" s="69">
        <v>1</v>
      </c>
      <c r="V8" s="69">
        <v>1</v>
      </c>
      <c r="W8" s="69">
        <v>1</v>
      </c>
      <c r="X8" s="70">
        <f>T8*W8</f>
        <v>48400</v>
      </c>
      <c r="Y8" s="95">
        <f>H12+H13*0.95</f>
        <v>16840</v>
      </c>
    </row>
    <row r="9" spans="2:26" ht="16.5" customHeight="1" x14ac:dyDescent="0.35">
      <c r="B9" s="135"/>
      <c r="C9" s="10" t="s">
        <v>19</v>
      </c>
      <c r="D9" s="75"/>
      <c r="E9" s="30"/>
      <c r="F9" s="30">
        <f>800+1900*2</f>
        <v>4600</v>
      </c>
      <c r="G9" s="30">
        <f>800+1900*2</f>
        <v>4600</v>
      </c>
      <c r="H9" s="30"/>
      <c r="I9" s="30"/>
      <c r="J9" s="30"/>
      <c r="K9" s="30"/>
      <c r="L9" s="76"/>
      <c r="M9" s="30"/>
      <c r="N9" s="30"/>
      <c r="O9" s="30"/>
      <c r="P9" s="30"/>
      <c r="Q9" s="30"/>
      <c r="R9" s="30"/>
      <c r="S9" s="30"/>
      <c r="T9" s="89">
        <f>SUM(D9:S9)</f>
        <v>9200</v>
      </c>
      <c r="U9" s="71">
        <v>1</v>
      </c>
      <c r="V9" s="71">
        <v>0.7</v>
      </c>
      <c r="W9" s="71">
        <v>0.7</v>
      </c>
      <c r="X9" s="72">
        <f>T9*W9</f>
        <v>6440</v>
      </c>
      <c r="Y9" s="95">
        <f>I13*0.95+I14*0.9</f>
        <v>14950</v>
      </c>
    </row>
    <row r="10" spans="2:26" ht="16.5" customHeight="1" thickBot="1" x14ac:dyDescent="0.4">
      <c r="B10" s="136"/>
      <c r="C10" s="66" t="s">
        <v>20</v>
      </c>
      <c r="D10" s="77"/>
      <c r="E10" s="77"/>
      <c r="F10" s="77"/>
      <c r="G10" s="67">
        <f>2000+1900*5</f>
        <v>11500</v>
      </c>
      <c r="H10" s="67"/>
      <c r="I10" s="67"/>
      <c r="J10" s="67"/>
      <c r="K10" s="67"/>
      <c r="L10" s="78"/>
      <c r="M10" s="77"/>
      <c r="N10" s="77"/>
      <c r="O10" s="67"/>
      <c r="P10" s="67"/>
      <c r="Q10" s="67"/>
      <c r="R10" s="67"/>
      <c r="S10" s="67"/>
      <c r="T10" s="90">
        <f>SUM(D10:S10)</f>
        <v>11500</v>
      </c>
      <c r="U10" s="86">
        <v>1</v>
      </c>
      <c r="V10" s="86">
        <v>0.8</v>
      </c>
      <c r="W10" s="86">
        <v>0.8</v>
      </c>
      <c r="X10" s="65">
        <f>T10*W10</f>
        <v>9200</v>
      </c>
      <c r="Y10" s="95">
        <f>J14*0.9+J15*0.95</f>
        <v>15065</v>
      </c>
    </row>
    <row r="11" spans="2:26" ht="33" customHeight="1" thickBot="1" x14ac:dyDescent="0.5">
      <c r="C11" s="12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80"/>
      <c r="U11" s="39"/>
      <c r="V11" s="39"/>
      <c r="W11" s="39"/>
      <c r="X11" s="33"/>
    </row>
    <row r="12" spans="2:26" ht="16.5" customHeight="1" x14ac:dyDescent="0.35">
      <c r="B12" s="137" t="s">
        <v>21</v>
      </c>
      <c r="C12" s="9" t="s">
        <v>25</v>
      </c>
      <c r="D12" s="73"/>
      <c r="E12" s="29"/>
      <c r="F12" s="29"/>
      <c r="G12" s="29"/>
      <c r="H12" s="29">
        <f>2400+3*1900</f>
        <v>8100</v>
      </c>
      <c r="I12" s="29"/>
      <c r="J12" s="29"/>
      <c r="K12" s="29"/>
      <c r="L12" s="74"/>
      <c r="M12" s="29"/>
      <c r="N12" s="29"/>
      <c r="O12" s="29"/>
      <c r="P12" s="29"/>
      <c r="Q12" s="29"/>
      <c r="R12" s="29"/>
      <c r="S12" s="29"/>
      <c r="T12" s="88">
        <f>SUM(D12:S12)</f>
        <v>8100</v>
      </c>
      <c r="U12" s="69">
        <v>1</v>
      </c>
      <c r="V12" s="69">
        <v>1</v>
      </c>
      <c r="W12" s="69">
        <v>1</v>
      </c>
      <c r="X12" s="70">
        <f>T12*W12</f>
        <v>8100</v>
      </c>
    </row>
    <row r="13" spans="2:26" ht="16.5" customHeight="1" x14ac:dyDescent="0.35">
      <c r="B13" s="145"/>
      <c r="C13" s="10" t="s">
        <v>22</v>
      </c>
      <c r="D13" s="75"/>
      <c r="E13" s="30"/>
      <c r="F13" s="30"/>
      <c r="G13" s="30"/>
      <c r="H13" s="30">
        <f>1600+1900*4</f>
        <v>9200</v>
      </c>
      <c r="I13" s="30">
        <f>1600+1900*4</f>
        <v>9200</v>
      </c>
      <c r="J13" s="30"/>
      <c r="K13" s="30"/>
      <c r="L13" s="76"/>
      <c r="M13" s="30"/>
      <c r="N13" s="30"/>
      <c r="O13" s="30"/>
      <c r="P13" s="30"/>
      <c r="Q13" s="30"/>
      <c r="R13" s="30"/>
      <c r="S13" s="30"/>
      <c r="T13" s="89">
        <f>SUM(D13:S13)</f>
        <v>18400</v>
      </c>
      <c r="U13" s="71">
        <v>1</v>
      </c>
      <c r="V13" s="71">
        <v>0.95</v>
      </c>
      <c r="W13" s="71">
        <v>0.95</v>
      </c>
      <c r="X13" s="72">
        <f>T13*W13</f>
        <v>17480</v>
      </c>
    </row>
    <row r="14" spans="2:26" ht="16.5" customHeight="1" x14ac:dyDescent="0.35">
      <c r="B14" s="145"/>
      <c r="C14" s="10" t="s">
        <v>23</v>
      </c>
      <c r="D14" s="75"/>
      <c r="E14" s="30"/>
      <c r="F14" s="30"/>
      <c r="G14" s="30"/>
      <c r="H14" s="30"/>
      <c r="I14" s="30">
        <f>1200+1900*3</f>
        <v>6900</v>
      </c>
      <c r="J14" s="30">
        <f>800+1900*2</f>
        <v>4600</v>
      </c>
      <c r="K14" s="30"/>
      <c r="L14" s="76"/>
      <c r="M14" s="30"/>
      <c r="N14" s="30"/>
      <c r="O14" s="30"/>
      <c r="P14" s="30"/>
      <c r="Q14" s="30"/>
      <c r="R14" s="30"/>
      <c r="S14" s="30"/>
      <c r="T14" s="89">
        <f>SUM(D14:S14)</f>
        <v>11500</v>
      </c>
      <c r="U14" s="71">
        <v>1</v>
      </c>
      <c r="V14" s="71">
        <v>0.9</v>
      </c>
      <c r="W14" s="71">
        <v>0.9</v>
      </c>
      <c r="X14" s="72">
        <f>T14*W14</f>
        <v>10350</v>
      </c>
    </row>
    <row r="15" spans="2:26" ht="16.5" customHeight="1" thickBot="1" x14ac:dyDescent="0.4">
      <c r="B15" s="146"/>
      <c r="C15" s="66" t="s">
        <v>24</v>
      </c>
      <c r="D15" s="77"/>
      <c r="E15" s="77"/>
      <c r="F15" s="77"/>
      <c r="G15" s="67"/>
      <c r="H15" s="67"/>
      <c r="I15" s="67"/>
      <c r="J15" s="67">
        <f>2000+1900*5</f>
        <v>11500</v>
      </c>
      <c r="K15" s="67"/>
      <c r="L15" s="78"/>
      <c r="M15" s="77"/>
      <c r="N15" s="77"/>
      <c r="O15" s="67"/>
      <c r="P15" s="67"/>
      <c r="Q15" s="67"/>
      <c r="R15" s="67"/>
      <c r="S15" s="67"/>
      <c r="T15" s="90">
        <f>SUM(D15:S15)</f>
        <v>11500</v>
      </c>
      <c r="U15" s="87">
        <v>1</v>
      </c>
      <c r="V15" s="87">
        <v>0.95</v>
      </c>
      <c r="W15" s="87">
        <v>0.95</v>
      </c>
      <c r="X15" s="68">
        <f>T15*W15</f>
        <v>10925</v>
      </c>
    </row>
    <row r="16" spans="2:26" ht="33" customHeight="1" thickBot="1" x14ac:dyDescent="0.4">
      <c r="D16" s="64"/>
      <c r="E16" s="64"/>
      <c r="F16" s="64"/>
      <c r="G16" s="64"/>
      <c r="H16" s="64"/>
      <c r="I16" s="64"/>
      <c r="J16" s="64"/>
      <c r="K16" s="64"/>
      <c r="L16" s="81"/>
      <c r="M16" s="64"/>
      <c r="N16" s="64"/>
      <c r="O16" s="64"/>
      <c r="P16" s="64"/>
      <c r="Q16" s="64"/>
      <c r="R16" s="64"/>
      <c r="S16" s="64"/>
      <c r="T16" s="40"/>
      <c r="U16" s="40"/>
      <c r="V16" s="34"/>
      <c r="W16" s="34"/>
      <c r="X16" s="34"/>
    </row>
    <row r="17" spans="2:44" ht="16.5" customHeight="1" x14ac:dyDescent="0.35">
      <c r="B17" s="147" t="s">
        <v>26</v>
      </c>
      <c r="C17" s="9" t="s">
        <v>27</v>
      </c>
      <c r="D17" s="73"/>
      <c r="E17" s="29"/>
      <c r="F17" s="29"/>
      <c r="G17" s="29"/>
      <c r="H17" s="29"/>
      <c r="I17" s="29"/>
      <c r="J17" s="29"/>
      <c r="K17" s="29"/>
      <c r="L17" s="74">
        <v>3200</v>
      </c>
      <c r="M17" s="29"/>
      <c r="N17" s="29"/>
      <c r="O17" s="29"/>
      <c r="P17" s="29"/>
      <c r="Q17" s="29"/>
      <c r="R17" s="29"/>
      <c r="S17" s="29"/>
      <c r="T17" s="37"/>
      <c r="U17" s="37"/>
      <c r="V17" s="29"/>
      <c r="W17" s="29"/>
      <c r="X17" s="29"/>
    </row>
    <row r="18" spans="2:44" ht="16.5" customHeight="1" x14ac:dyDescent="0.35">
      <c r="B18" s="148"/>
      <c r="C18" s="10" t="s">
        <v>28</v>
      </c>
      <c r="D18" s="75"/>
      <c r="E18" s="30"/>
      <c r="F18" s="30"/>
      <c r="G18" s="30"/>
      <c r="H18" s="30"/>
      <c r="I18" s="30"/>
      <c r="J18" s="30"/>
      <c r="K18" s="30"/>
      <c r="L18" s="76"/>
      <c r="M18" s="30">
        <v>1200</v>
      </c>
      <c r="N18" s="30"/>
      <c r="O18" s="30"/>
      <c r="P18" s="30"/>
      <c r="Q18" s="30"/>
      <c r="R18" s="30"/>
      <c r="S18" s="30"/>
      <c r="T18" s="38"/>
      <c r="U18" s="38"/>
      <c r="V18" s="30"/>
      <c r="W18" s="30"/>
      <c r="X18" s="30"/>
    </row>
    <row r="19" spans="2:44" ht="16.5" customHeight="1" x14ac:dyDescent="0.35">
      <c r="B19" s="148"/>
      <c r="C19" s="10" t="s">
        <v>29</v>
      </c>
      <c r="D19" s="75"/>
      <c r="E19" s="30"/>
      <c r="F19" s="30"/>
      <c r="G19" s="30"/>
      <c r="H19" s="30"/>
      <c r="I19" s="30"/>
      <c r="J19" s="30"/>
      <c r="K19" s="30"/>
      <c r="L19" s="76"/>
      <c r="M19" s="30">
        <v>1600</v>
      </c>
      <c r="N19" s="30"/>
      <c r="O19" s="30"/>
      <c r="P19" s="30"/>
      <c r="Q19" s="30"/>
      <c r="R19" s="30"/>
      <c r="S19" s="30"/>
      <c r="T19" s="38"/>
      <c r="U19" s="38"/>
      <c r="V19" s="30"/>
      <c r="W19" s="30"/>
      <c r="X19" s="30"/>
    </row>
    <row r="20" spans="2:44" ht="16.5" customHeight="1" x14ac:dyDescent="0.35">
      <c r="B20" s="148"/>
      <c r="C20" s="10" t="s">
        <v>30</v>
      </c>
      <c r="D20" s="75"/>
      <c r="E20" s="30"/>
      <c r="F20" s="30"/>
      <c r="G20" s="30"/>
      <c r="H20" s="30"/>
      <c r="I20" s="30"/>
      <c r="J20" s="30"/>
      <c r="K20" s="30"/>
      <c r="L20" s="76"/>
      <c r="M20" s="30"/>
      <c r="N20" s="30">
        <v>1200</v>
      </c>
      <c r="O20" s="30"/>
      <c r="P20" s="30"/>
      <c r="Q20" s="30"/>
      <c r="R20" s="30"/>
      <c r="S20" s="30"/>
      <c r="T20" s="38"/>
      <c r="U20" s="38"/>
      <c r="V20" s="30"/>
      <c r="W20" s="30"/>
      <c r="X20" s="30"/>
      <c r="AL20" s="1"/>
      <c r="AM20" s="1"/>
      <c r="AN20" s="1"/>
      <c r="AO20" s="1"/>
      <c r="AP20" s="2"/>
      <c r="AQ20" s="2"/>
      <c r="AR20" s="2"/>
    </row>
    <row r="21" spans="2:44" ht="16.5" customHeight="1" x14ac:dyDescent="0.35">
      <c r="B21" s="148"/>
      <c r="C21" s="10" t="s">
        <v>31</v>
      </c>
      <c r="D21" s="75"/>
      <c r="E21" s="30"/>
      <c r="F21" s="30"/>
      <c r="G21" s="30"/>
      <c r="H21" s="30"/>
      <c r="I21" s="30"/>
      <c r="J21" s="30"/>
      <c r="K21" s="30"/>
      <c r="L21" s="76"/>
      <c r="M21" s="30"/>
      <c r="N21" s="30">
        <v>1600</v>
      </c>
      <c r="O21" s="30">
        <v>400</v>
      </c>
      <c r="P21" s="30"/>
      <c r="Q21" s="30"/>
      <c r="R21" s="30"/>
      <c r="S21" s="30"/>
      <c r="T21" s="38"/>
      <c r="U21" s="38"/>
      <c r="V21" s="30"/>
      <c r="W21" s="30"/>
      <c r="X21" s="30"/>
    </row>
    <row r="22" spans="2:44" ht="16.5" customHeight="1" thickBot="1" x14ac:dyDescent="0.4">
      <c r="B22" s="149"/>
      <c r="C22" s="66" t="s">
        <v>96</v>
      </c>
      <c r="D22" s="77"/>
      <c r="E22" s="77"/>
      <c r="F22" s="77"/>
      <c r="G22" s="67"/>
      <c r="H22" s="67"/>
      <c r="I22" s="67"/>
      <c r="J22" s="67"/>
      <c r="K22" s="67"/>
      <c r="L22" s="78"/>
      <c r="M22" s="77"/>
      <c r="N22" s="77"/>
      <c r="O22" s="67">
        <v>800</v>
      </c>
      <c r="P22" s="67"/>
      <c r="Q22" s="67"/>
      <c r="R22" s="67"/>
      <c r="S22" s="67"/>
      <c r="T22" s="83"/>
      <c r="U22" s="85"/>
      <c r="V22" s="84"/>
      <c r="W22" s="84"/>
      <c r="X22" s="84"/>
    </row>
    <row r="23" spans="2:44" ht="33" customHeight="1" thickBot="1" x14ac:dyDescent="0.5">
      <c r="C23" s="12"/>
      <c r="D23" s="79"/>
      <c r="E23" s="79"/>
      <c r="F23" s="79"/>
      <c r="G23" s="79"/>
      <c r="H23" s="79"/>
      <c r="I23" s="79"/>
      <c r="J23" s="79"/>
      <c r="K23" s="79"/>
      <c r="L23" s="80"/>
      <c r="M23" s="79"/>
      <c r="N23" s="79"/>
      <c r="O23" s="79"/>
      <c r="P23" s="79"/>
      <c r="Q23" s="79"/>
      <c r="R23" s="79"/>
      <c r="S23" s="79"/>
      <c r="T23" s="39"/>
      <c r="U23" s="39"/>
      <c r="V23" s="33"/>
      <c r="W23" s="33"/>
      <c r="X23" s="33"/>
    </row>
    <row r="24" spans="2:44" ht="16.5" customHeight="1" x14ac:dyDescent="0.35">
      <c r="B24" s="150" t="s">
        <v>32</v>
      </c>
      <c r="C24" s="13" t="s">
        <v>33</v>
      </c>
      <c r="D24" s="53"/>
      <c r="E24" s="29"/>
      <c r="F24" s="29"/>
      <c r="G24" s="29"/>
      <c r="H24" s="29"/>
      <c r="I24" s="29"/>
      <c r="J24" s="29"/>
      <c r="K24" s="29"/>
      <c r="L24" s="74"/>
      <c r="M24" s="29"/>
      <c r="N24" s="29"/>
      <c r="O24" s="29">
        <v>3000</v>
      </c>
      <c r="P24" s="29"/>
      <c r="Q24" s="29"/>
      <c r="R24" s="29"/>
      <c r="S24" s="29"/>
      <c r="T24" s="37"/>
      <c r="U24" s="37"/>
      <c r="V24" s="29"/>
      <c r="W24" s="29"/>
      <c r="X24" s="29"/>
    </row>
    <row r="25" spans="2:44" ht="16.5" customHeight="1" x14ac:dyDescent="0.35">
      <c r="B25" s="151"/>
      <c r="C25" s="14" t="s">
        <v>34</v>
      </c>
      <c r="D25" s="82"/>
      <c r="E25" s="30"/>
      <c r="F25" s="30"/>
      <c r="G25" s="30"/>
      <c r="H25" s="30"/>
      <c r="I25" s="30"/>
      <c r="J25" s="30"/>
      <c r="K25" s="30"/>
      <c r="L25" s="76"/>
      <c r="M25" s="30"/>
      <c r="N25" s="30"/>
      <c r="O25" s="30">
        <v>1000</v>
      </c>
      <c r="P25" s="30">
        <v>1000</v>
      </c>
      <c r="Q25" s="30"/>
      <c r="R25" s="30"/>
      <c r="S25" s="30"/>
      <c r="T25" s="38"/>
      <c r="U25" s="38"/>
      <c r="V25" s="30"/>
      <c r="W25" s="30"/>
      <c r="X25" s="30"/>
    </row>
    <row r="26" spans="2:44" ht="16.5" customHeight="1" x14ac:dyDescent="0.35">
      <c r="B26" s="151"/>
      <c r="C26" s="14" t="s">
        <v>35</v>
      </c>
      <c r="D26" s="82"/>
      <c r="E26" s="30"/>
      <c r="F26" s="30"/>
      <c r="G26" s="30"/>
      <c r="H26" s="30"/>
      <c r="I26" s="30"/>
      <c r="J26" s="30"/>
      <c r="K26" s="30"/>
      <c r="L26" s="76"/>
      <c r="M26" s="30"/>
      <c r="N26" s="30"/>
      <c r="O26" s="30"/>
      <c r="P26" s="30">
        <v>3000</v>
      </c>
      <c r="Q26" s="30"/>
      <c r="R26" s="30"/>
      <c r="S26" s="30"/>
      <c r="T26" s="38"/>
      <c r="U26" s="38"/>
      <c r="V26" s="30"/>
      <c r="W26" s="30"/>
      <c r="X26" s="30"/>
    </row>
    <row r="27" spans="2:44" ht="16.5" customHeight="1" x14ac:dyDescent="0.35">
      <c r="B27" s="151"/>
      <c r="C27" s="14" t="s">
        <v>36</v>
      </c>
      <c r="D27" s="82"/>
      <c r="E27" s="30"/>
      <c r="F27" s="30"/>
      <c r="G27" s="30"/>
      <c r="H27" s="30"/>
      <c r="I27" s="30"/>
      <c r="J27" s="30"/>
      <c r="K27" s="30"/>
      <c r="L27" s="76"/>
      <c r="M27" s="30"/>
      <c r="N27" s="30"/>
      <c r="O27" s="30"/>
      <c r="P27" s="30">
        <v>3000</v>
      </c>
      <c r="Q27" s="30"/>
      <c r="R27" s="30"/>
      <c r="S27" s="30"/>
      <c r="T27" s="38"/>
      <c r="U27" s="38"/>
      <c r="V27" s="30"/>
      <c r="W27" s="30"/>
      <c r="X27" s="30"/>
    </row>
    <row r="28" spans="2:44" ht="16.5" customHeight="1" thickBot="1" x14ac:dyDescent="0.4">
      <c r="B28" s="152"/>
      <c r="C28" s="66" t="s">
        <v>37</v>
      </c>
      <c r="D28" s="77"/>
      <c r="E28" s="77"/>
      <c r="F28" s="77"/>
      <c r="G28" s="67"/>
      <c r="H28" s="67"/>
      <c r="I28" s="67"/>
      <c r="J28" s="67"/>
      <c r="K28" s="67"/>
      <c r="L28" s="78"/>
      <c r="M28" s="77"/>
      <c r="N28" s="77"/>
      <c r="O28" s="67"/>
      <c r="P28" s="67"/>
      <c r="Q28" s="67">
        <v>2000</v>
      </c>
      <c r="R28" s="67"/>
      <c r="S28" s="67"/>
      <c r="T28" s="83"/>
      <c r="U28" s="85"/>
      <c r="V28" s="84"/>
      <c r="W28" s="84"/>
      <c r="X28" s="84"/>
    </row>
    <row r="29" spans="2:44" ht="33" customHeight="1" thickBot="1" x14ac:dyDescent="0.5">
      <c r="C29" s="12"/>
      <c r="D29" s="79"/>
      <c r="E29" s="79"/>
      <c r="F29" s="79"/>
      <c r="G29" s="79"/>
      <c r="H29" s="79"/>
      <c r="I29" s="79"/>
      <c r="J29" s="79"/>
      <c r="K29" s="79"/>
      <c r="L29" s="80"/>
      <c r="M29" s="79"/>
      <c r="N29" s="79"/>
      <c r="O29" s="79"/>
      <c r="P29" s="79"/>
      <c r="Q29" s="79"/>
      <c r="R29" s="79"/>
      <c r="S29" s="79"/>
      <c r="T29" s="39"/>
      <c r="U29" s="39"/>
      <c r="V29" s="33"/>
      <c r="W29" s="33"/>
      <c r="X29" s="33"/>
    </row>
    <row r="30" spans="2:44" ht="19.149999999999999" customHeight="1" x14ac:dyDescent="0.35">
      <c r="B30" s="153" t="s">
        <v>40</v>
      </c>
      <c r="C30" s="13" t="s">
        <v>38</v>
      </c>
      <c r="D30" s="53"/>
      <c r="E30" s="53"/>
      <c r="F30" s="53"/>
      <c r="G30" s="29"/>
      <c r="H30" s="29"/>
      <c r="I30" s="29"/>
      <c r="J30" s="29"/>
      <c r="K30" s="29"/>
      <c r="L30" s="74"/>
      <c r="M30" s="53"/>
      <c r="N30" s="53"/>
      <c r="O30" s="29"/>
      <c r="P30" s="29"/>
      <c r="Q30" s="29">
        <v>2000</v>
      </c>
      <c r="R30" s="29"/>
      <c r="S30" s="29"/>
      <c r="T30" s="37"/>
      <c r="U30" s="37"/>
      <c r="V30" s="29"/>
      <c r="W30" s="29"/>
      <c r="X30" s="29"/>
    </row>
    <row r="31" spans="2:44" ht="20.25" customHeight="1" x14ac:dyDescent="0.35">
      <c r="B31" s="154"/>
      <c r="C31" s="14" t="s">
        <v>39</v>
      </c>
      <c r="D31" s="82"/>
      <c r="E31" s="30"/>
      <c r="F31" s="30"/>
      <c r="G31" s="30"/>
      <c r="H31" s="30"/>
      <c r="I31" s="30"/>
      <c r="J31" s="30"/>
      <c r="K31" s="30"/>
      <c r="L31" s="76"/>
      <c r="M31" s="30"/>
      <c r="N31" s="30"/>
      <c r="O31" s="30"/>
      <c r="P31" s="30"/>
      <c r="Q31" s="30"/>
      <c r="R31" s="30">
        <v>1600</v>
      </c>
      <c r="S31" s="30"/>
      <c r="T31" s="38"/>
      <c r="U31" s="38"/>
      <c r="V31" s="30"/>
      <c r="W31" s="30"/>
      <c r="X31" s="30"/>
    </row>
    <row r="32" spans="2:44" ht="16.5" customHeight="1" x14ac:dyDescent="0.35">
      <c r="B32" s="154"/>
      <c r="C32" s="14" t="s">
        <v>42</v>
      </c>
      <c r="D32" s="82"/>
      <c r="E32" s="30"/>
      <c r="F32" s="30"/>
      <c r="G32" s="30"/>
      <c r="H32" s="30"/>
      <c r="I32" s="30"/>
      <c r="J32" s="30"/>
      <c r="K32" s="30"/>
      <c r="L32" s="76"/>
      <c r="M32" s="30"/>
      <c r="N32" s="30"/>
      <c r="O32" s="30"/>
      <c r="P32" s="30"/>
      <c r="Q32" s="30"/>
      <c r="R32" s="30">
        <v>1800</v>
      </c>
      <c r="S32" s="30"/>
      <c r="T32" s="38"/>
      <c r="U32" s="38"/>
      <c r="V32" s="30"/>
      <c r="W32" s="30"/>
      <c r="X32" s="30"/>
    </row>
    <row r="33" spans="2:24" ht="16.5" customHeight="1" thickBot="1" x14ac:dyDescent="0.4">
      <c r="B33" s="155"/>
      <c r="C33" s="66" t="s">
        <v>100</v>
      </c>
      <c r="D33" s="77"/>
      <c r="E33" s="77"/>
      <c r="F33" s="77"/>
      <c r="G33" s="67"/>
      <c r="H33" s="67"/>
      <c r="I33" s="67"/>
      <c r="J33" s="67"/>
      <c r="K33" s="67"/>
      <c r="L33" s="78"/>
      <c r="M33" s="77"/>
      <c r="N33" s="77"/>
      <c r="O33" s="67"/>
      <c r="P33" s="67"/>
      <c r="Q33" s="67"/>
      <c r="R33" s="67">
        <v>800</v>
      </c>
      <c r="S33" s="67">
        <v>2800</v>
      </c>
      <c r="T33" s="83"/>
      <c r="U33" s="85"/>
      <c r="V33" s="84"/>
      <c r="W33" s="84"/>
      <c r="X33" s="84"/>
    </row>
    <row r="34" spans="2:24" ht="33.75" customHeight="1" x14ac:dyDescent="0.45">
      <c r="C34" s="12"/>
      <c r="D34" s="79"/>
      <c r="E34" s="79"/>
      <c r="F34" s="79"/>
      <c r="G34" s="79"/>
      <c r="H34" s="79"/>
      <c r="I34" s="79"/>
      <c r="J34" s="79"/>
      <c r="K34" s="79"/>
      <c r="L34" s="80"/>
      <c r="M34" s="79"/>
      <c r="N34" s="79"/>
      <c r="O34" s="79"/>
      <c r="P34" s="79"/>
      <c r="Q34" s="79"/>
      <c r="R34" s="79"/>
      <c r="S34" s="79"/>
      <c r="T34" s="39"/>
      <c r="U34" s="33"/>
      <c r="V34" s="33"/>
      <c r="W34" s="33"/>
      <c r="X34" s="33"/>
    </row>
    <row r="35" spans="2:24" ht="24" customHeight="1" thickBot="1" x14ac:dyDescent="0.5">
      <c r="C35" s="12"/>
      <c r="D35" s="28" t="s">
        <v>101</v>
      </c>
      <c r="E35" s="28"/>
      <c r="F35" s="79"/>
      <c r="G35" s="28" t="s">
        <v>67</v>
      </c>
      <c r="H35" s="79"/>
      <c r="I35" s="79"/>
      <c r="J35" s="79"/>
      <c r="K35" s="79"/>
      <c r="L35" s="80"/>
      <c r="M35" s="79"/>
      <c r="N35" s="79"/>
      <c r="O35" s="79"/>
      <c r="P35" s="79"/>
      <c r="Q35" s="79"/>
      <c r="R35" s="79"/>
      <c r="S35" s="79"/>
      <c r="T35" s="39"/>
      <c r="U35" s="33"/>
      <c r="V35" s="33"/>
      <c r="W35" s="33"/>
      <c r="X35" s="33"/>
    </row>
    <row r="36" spans="2:24" ht="51.4" customHeight="1" x14ac:dyDescent="0.35">
      <c r="B36" s="143" t="s">
        <v>89</v>
      </c>
      <c r="C36" s="13" t="s">
        <v>97</v>
      </c>
      <c r="D36" s="53">
        <f>SUM(X4:X6,X8:X10,X12:X15)</f>
        <v>135075</v>
      </c>
      <c r="E36" s="53"/>
      <c r="F36" s="53"/>
      <c r="G36" s="53" t="s">
        <v>124</v>
      </c>
      <c r="H36" s="29"/>
      <c r="I36" s="29"/>
      <c r="J36" s="29"/>
      <c r="K36" s="29"/>
      <c r="L36" s="74"/>
      <c r="M36" s="53"/>
      <c r="N36" s="53"/>
      <c r="O36" s="29"/>
      <c r="P36" s="29"/>
      <c r="Q36" s="29"/>
      <c r="R36" s="29"/>
      <c r="S36" s="29"/>
      <c r="T36" s="37"/>
      <c r="U36" s="29"/>
      <c r="V36" s="29"/>
      <c r="W36" s="29"/>
      <c r="X36" s="29"/>
    </row>
    <row r="37" spans="2:24" ht="38.25" customHeight="1" x14ac:dyDescent="0.35">
      <c r="B37" s="144"/>
      <c r="C37" s="14" t="s">
        <v>98</v>
      </c>
      <c r="D37" s="82">
        <v>133700</v>
      </c>
      <c r="E37" s="30"/>
      <c r="F37" s="30"/>
      <c r="G37" s="30" t="s">
        <v>103</v>
      </c>
      <c r="H37" s="30"/>
      <c r="I37" s="30"/>
      <c r="J37" s="30"/>
      <c r="K37" s="30"/>
      <c r="L37" s="76"/>
      <c r="M37" s="30"/>
      <c r="N37" s="30"/>
      <c r="O37" s="30"/>
      <c r="P37" s="30"/>
      <c r="Q37" s="30"/>
      <c r="R37" s="30"/>
      <c r="S37" s="30"/>
      <c r="T37" s="38"/>
      <c r="U37" s="30"/>
      <c r="V37" s="30"/>
      <c r="W37" s="30"/>
      <c r="X37" s="30"/>
    </row>
    <row r="38" spans="2:24" ht="42" customHeight="1" x14ac:dyDescent="0.35">
      <c r="B38" s="144"/>
      <c r="C38" s="14" t="s">
        <v>99</v>
      </c>
      <c r="D38" s="82">
        <v>131400</v>
      </c>
      <c r="E38" s="30"/>
      <c r="F38" s="30"/>
      <c r="G38" s="30" t="s">
        <v>103</v>
      </c>
      <c r="H38" s="30"/>
      <c r="I38" s="30"/>
      <c r="J38" s="30"/>
      <c r="K38" s="30"/>
      <c r="L38" s="76"/>
      <c r="M38" s="30"/>
      <c r="N38" s="30"/>
      <c r="O38" s="30"/>
      <c r="P38" s="30"/>
      <c r="Q38" s="30"/>
      <c r="R38" s="30"/>
      <c r="S38" s="30"/>
      <c r="T38" s="38"/>
      <c r="U38" s="30"/>
      <c r="V38" s="30"/>
      <c r="W38" s="30"/>
      <c r="X38" s="30"/>
    </row>
    <row r="39" spans="2:24" ht="28.15" customHeight="1" x14ac:dyDescent="0.35">
      <c r="B39" s="144"/>
      <c r="C39" s="14" t="s">
        <v>90</v>
      </c>
      <c r="D39" s="82">
        <f>D36-D38</f>
        <v>3675</v>
      </c>
      <c r="E39" s="30"/>
      <c r="F39" s="30"/>
      <c r="G39" s="30"/>
      <c r="H39" s="30"/>
      <c r="I39" s="30"/>
      <c r="J39" s="30"/>
      <c r="K39" s="30"/>
      <c r="L39" s="76"/>
      <c r="M39" s="30"/>
      <c r="N39" s="30"/>
      <c r="O39" s="30"/>
      <c r="P39" s="30"/>
      <c r="Q39" s="30"/>
      <c r="R39" s="30"/>
      <c r="S39" s="30"/>
      <c r="T39" s="38"/>
      <c r="U39" s="30"/>
      <c r="V39" s="30"/>
      <c r="W39" s="30"/>
      <c r="X39" s="30"/>
    </row>
    <row r="40" spans="2:24" ht="29.25" customHeight="1" x14ac:dyDescent="0.35">
      <c r="B40" s="144"/>
      <c r="C40" s="14" t="s">
        <v>91</v>
      </c>
      <c r="D40" s="82">
        <f>D36-D37</f>
        <v>1375</v>
      </c>
      <c r="E40" s="30"/>
      <c r="F40" s="30"/>
      <c r="G40" s="30"/>
      <c r="H40" s="30"/>
      <c r="I40" s="30"/>
      <c r="J40" s="30"/>
      <c r="K40" s="30"/>
      <c r="L40" s="76"/>
      <c r="M40" s="30"/>
      <c r="N40" s="30"/>
      <c r="O40" s="30"/>
      <c r="P40" s="30"/>
      <c r="Q40" s="30"/>
      <c r="R40" s="30"/>
      <c r="S40" s="30"/>
      <c r="T40" s="38"/>
      <c r="U40" s="30"/>
      <c r="V40" s="30"/>
      <c r="W40" s="30"/>
      <c r="X40" s="30"/>
    </row>
    <row r="41" spans="2:24" ht="33.75" customHeight="1" x14ac:dyDescent="0.35">
      <c r="B41" s="144"/>
      <c r="C41" s="14" t="s">
        <v>92</v>
      </c>
      <c r="D41" s="92">
        <f>D36/D38</f>
        <v>1.0279680365296804</v>
      </c>
      <c r="E41" s="30"/>
      <c r="F41" s="30"/>
      <c r="G41" s="30"/>
      <c r="H41" s="30"/>
      <c r="I41" s="30"/>
      <c r="J41" s="30"/>
      <c r="K41" s="30"/>
      <c r="L41" s="76"/>
      <c r="M41" s="30"/>
      <c r="N41" s="30"/>
      <c r="O41" s="30"/>
      <c r="P41" s="30"/>
      <c r="Q41" s="30"/>
      <c r="R41" s="30"/>
      <c r="S41" s="30"/>
      <c r="T41" s="38"/>
      <c r="U41" s="30"/>
      <c r="V41" s="30"/>
      <c r="W41" s="30"/>
      <c r="X41" s="30"/>
    </row>
    <row r="42" spans="2:24" ht="32.65" customHeight="1" x14ac:dyDescent="0.35">
      <c r="B42" s="144"/>
      <c r="C42" s="14" t="s">
        <v>93</v>
      </c>
      <c r="D42" s="92">
        <f>D36/D37</f>
        <v>1.0102842183994016</v>
      </c>
      <c r="E42" s="91"/>
      <c r="F42" s="30"/>
      <c r="G42" s="91"/>
      <c r="H42" s="30"/>
      <c r="I42" s="30"/>
      <c r="J42" s="30"/>
      <c r="K42" s="30"/>
      <c r="L42" s="76"/>
      <c r="M42" s="30"/>
      <c r="N42" s="30"/>
      <c r="O42" s="30"/>
      <c r="P42" s="30"/>
      <c r="Q42" s="30"/>
      <c r="R42" s="30"/>
      <c r="S42" s="30"/>
      <c r="T42" s="38"/>
      <c r="U42" s="30"/>
      <c r="V42" s="30"/>
      <c r="W42" s="30"/>
      <c r="X42" s="30"/>
    </row>
    <row r="43" spans="2:24" ht="28.9" customHeight="1" x14ac:dyDescent="0.35">
      <c r="B43" s="144"/>
      <c r="C43" s="14" t="s">
        <v>94</v>
      </c>
      <c r="D43" s="82">
        <f>344300/D41</f>
        <v>334932.59300388675</v>
      </c>
      <c r="E43" s="30"/>
      <c r="F43" s="30"/>
      <c r="G43" s="30" t="s">
        <v>166</v>
      </c>
      <c r="H43" s="30"/>
      <c r="I43" s="30"/>
      <c r="J43" s="30"/>
      <c r="K43" s="30"/>
      <c r="L43" s="76"/>
      <c r="M43" s="30"/>
      <c r="N43" s="30"/>
      <c r="O43" s="30"/>
      <c r="P43" s="30"/>
      <c r="Q43" s="30"/>
      <c r="R43" s="30"/>
      <c r="S43" s="30"/>
      <c r="T43" s="38"/>
      <c r="U43" s="30"/>
      <c r="V43" s="30"/>
      <c r="W43" s="30"/>
      <c r="X43" s="30"/>
    </row>
    <row r="44" spans="2:24" ht="35.25" customHeight="1" thickBot="1" x14ac:dyDescent="0.4">
      <c r="B44" s="144"/>
      <c r="C44" s="66" t="s">
        <v>95</v>
      </c>
      <c r="D44" s="105">
        <f>16/D42</f>
        <v>15.837127521747178</v>
      </c>
      <c r="E44" s="77"/>
      <c r="F44" s="77"/>
      <c r="G44" s="77" t="s">
        <v>102</v>
      </c>
      <c r="H44" s="67"/>
      <c r="I44" s="67"/>
      <c r="J44" s="67"/>
      <c r="K44" s="67"/>
      <c r="L44" s="78"/>
      <c r="M44" s="77"/>
      <c r="N44" s="77"/>
      <c r="O44" s="67"/>
      <c r="P44" s="67"/>
      <c r="Q44" s="67"/>
      <c r="R44" s="67"/>
      <c r="S44" s="67"/>
      <c r="T44" s="83"/>
      <c r="U44" s="84"/>
      <c r="V44" s="84"/>
      <c r="W44" s="84"/>
      <c r="X44" s="84"/>
    </row>
  </sheetData>
  <mergeCells count="7">
    <mergeCell ref="B36:B44"/>
    <mergeCell ref="B4:B6"/>
    <mergeCell ref="B8:B10"/>
    <mergeCell ref="B12:B15"/>
    <mergeCell ref="B17:B22"/>
    <mergeCell ref="B24:B28"/>
    <mergeCell ref="B30:B33"/>
  </mergeCells>
  <phoneticPr fontId="4" type="noConversion"/>
  <pageMargins left="0.7" right="0.7" top="0.75" bottom="0.75" header="0.3" footer="0.3"/>
  <pageSetup scale="68" fitToHeight="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342D-8DD8-485F-A5AB-15080447395B}">
  <sheetPr>
    <tabColor theme="4"/>
    <pageSetUpPr autoPageBreaks="0" fitToPage="1"/>
  </sheetPr>
  <dimension ref="B1:L47"/>
  <sheetViews>
    <sheetView showGridLines="0" zoomScale="47" zoomScaleNormal="47" workbookViewId="0">
      <selection activeCell="Q20" sqref="Q20"/>
    </sheetView>
  </sheetViews>
  <sheetFormatPr defaultColWidth="9.15234375" defaultRowHeight="16.5" customHeight="1" x14ac:dyDescent="0.35"/>
  <cols>
    <col min="1" max="1" width="2.69140625" style="3" customWidth="1"/>
    <col min="2" max="2" width="5.3828125" style="3" customWidth="1"/>
    <col min="3" max="3" width="36" style="3" customWidth="1"/>
    <col min="4" max="4" width="19.15234375" style="3" customWidth="1"/>
    <col min="5" max="5" width="24.3828125" style="3" customWidth="1"/>
    <col min="6" max="6" width="28.61328125" style="3" customWidth="1"/>
    <col min="7" max="7" width="24.61328125" style="3" customWidth="1"/>
    <col min="8" max="8" width="25.3046875" style="3" customWidth="1"/>
    <col min="9" max="9" width="21.84375" style="3" customWidth="1"/>
    <col min="10" max="10" width="35.921875" style="3" customWidth="1"/>
    <col min="11" max="11" width="17.3828125" style="3" customWidth="1"/>
    <col min="12" max="12" width="21.15234375" style="3" customWidth="1"/>
    <col min="13" max="13" width="2.69140625" style="3" customWidth="1"/>
    <col min="14" max="19" width="9.15234375" style="3"/>
    <col min="20" max="20" width="13.3046875" style="3" bestFit="1" customWidth="1"/>
    <col min="21" max="16384" width="9.15234375" style="3"/>
  </cols>
  <sheetData>
    <row r="1" spans="2:12" ht="6.75" customHeight="1" x14ac:dyDescent="0.35">
      <c r="B1" s="1"/>
      <c r="C1" s="1"/>
      <c r="D1" s="1"/>
      <c r="E1" s="1"/>
      <c r="F1" s="1"/>
      <c r="G1" s="1"/>
      <c r="H1" s="1"/>
      <c r="I1" s="1"/>
      <c r="J1" s="2"/>
      <c r="K1" s="2"/>
      <c r="L1" s="2"/>
    </row>
    <row r="2" spans="2:12" ht="42" customHeight="1" x14ac:dyDescent="0.35">
      <c r="B2" s="4" t="s">
        <v>137</v>
      </c>
      <c r="G2" s="4"/>
      <c r="H2" s="4"/>
      <c r="I2" s="4"/>
      <c r="J2" s="5"/>
    </row>
    <row r="3" spans="2:12" ht="16.5" customHeight="1" x14ac:dyDescent="0.35">
      <c r="B3" s="6"/>
      <c r="G3" s="4"/>
      <c r="H3" s="4"/>
      <c r="I3" s="4"/>
      <c r="J3" s="5"/>
    </row>
    <row r="4" spans="2:12" ht="16.5" customHeight="1" thickBot="1" x14ac:dyDescent="0.4">
      <c r="C4" s="7" t="s">
        <v>1</v>
      </c>
      <c r="D4" s="28" t="s">
        <v>52</v>
      </c>
      <c r="E4" s="7" t="s">
        <v>6</v>
      </c>
      <c r="F4" s="28" t="s">
        <v>7</v>
      </c>
      <c r="G4" s="8" t="s">
        <v>47</v>
      </c>
      <c r="H4" s="28" t="s">
        <v>48</v>
      </c>
      <c r="I4" s="28" t="s">
        <v>3</v>
      </c>
      <c r="J4" s="28" t="s">
        <v>17</v>
      </c>
      <c r="K4" s="8" t="s">
        <v>4</v>
      </c>
      <c r="L4" s="28" t="s">
        <v>5</v>
      </c>
    </row>
    <row r="5" spans="2:12" ht="16.5" customHeight="1" x14ac:dyDescent="0.35">
      <c r="B5" s="131" t="s">
        <v>2</v>
      </c>
      <c r="C5" s="9" t="s">
        <v>13</v>
      </c>
      <c r="D5" s="44">
        <v>1</v>
      </c>
      <c r="E5" s="29">
        <v>1800</v>
      </c>
      <c r="F5" s="29">
        <v>400</v>
      </c>
      <c r="G5" s="29">
        <f>D5*E5</f>
        <v>1800</v>
      </c>
      <c r="H5" s="29">
        <v>2000</v>
      </c>
      <c r="I5" s="29">
        <v>0</v>
      </c>
      <c r="J5" s="43" t="s">
        <v>122</v>
      </c>
      <c r="K5" s="29">
        <f>SUM(G5,H5,I5)</f>
        <v>3800</v>
      </c>
      <c r="L5" s="37"/>
    </row>
    <row r="6" spans="2:12" ht="16.5" customHeight="1" x14ac:dyDescent="0.35">
      <c r="B6" s="132"/>
      <c r="C6" s="10" t="s">
        <v>14</v>
      </c>
      <c r="D6" s="45">
        <v>2</v>
      </c>
      <c r="E6" s="30">
        <v>1800</v>
      </c>
      <c r="F6" s="30">
        <v>400</v>
      </c>
      <c r="G6" s="30">
        <v>3600</v>
      </c>
      <c r="H6" s="30">
        <v>4000</v>
      </c>
      <c r="I6" s="30">
        <v>0</v>
      </c>
      <c r="J6" s="50" t="s">
        <v>122</v>
      </c>
      <c r="K6" s="30">
        <f>SUM(G6:I6)</f>
        <v>7600</v>
      </c>
      <c r="L6" s="38"/>
    </row>
    <row r="7" spans="2:12" ht="16.5" customHeight="1" x14ac:dyDescent="0.35">
      <c r="B7" s="132"/>
      <c r="C7" s="10" t="s">
        <v>15</v>
      </c>
      <c r="D7" s="45">
        <v>3</v>
      </c>
      <c r="E7" s="30">
        <v>1000</v>
      </c>
      <c r="F7" s="30">
        <v>0</v>
      </c>
      <c r="G7" s="30">
        <v>3000</v>
      </c>
      <c r="H7" s="30">
        <v>300</v>
      </c>
      <c r="I7" s="30">
        <v>0</v>
      </c>
      <c r="J7" s="30"/>
      <c r="K7" s="30">
        <f>SUM(G7:I7)</f>
        <v>3300</v>
      </c>
      <c r="L7" s="38"/>
    </row>
    <row r="8" spans="2:12" ht="16.5" customHeight="1" thickBot="1" x14ac:dyDescent="0.4">
      <c r="B8" s="133"/>
      <c r="C8" s="11" t="s">
        <v>8</v>
      </c>
      <c r="D8" s="46"/>
      <c r="E8" s="46"/>
      <c r="F8" s="46"/>
      <c r="G8" s="31">
        <f>SUM(G5:G7)</f>
        <v>8400</v>
      </c>
      <c r="H8" s="31">
        <f>SUM(H5:H7)</f>
        <v>6300</v>
      </c>
      <c r="I8" s="31">
        <f>SUM(I5:I7)</f>
        <v>0</v>
      </c>
      <c r="J8" s="31"/>
      <c r="K8" s="31">
        <f>SUM(K5:K7)</f>
        <v>14700</v>
      </c>
      <c r="L8" s="54">
        <f>K8/K46</f>
        <v>4.210827843024921E-2</v>
      </c>
    </row>
    <row r="9" spans="2:12" ht="33" customHeight="1" thickBot="1" x14ac:dyDescent="0.5">
      <c r="C9" s="12"/>
      <c r="D9" s="32"/>
      <c r="E9" s="32"/>
      <c r="F9" s="32"/>
      <c r="G9" s="32"/>
      <c r="H9" s="32"/>
      <c r="I9" s="32"/>
      <c r="J9" s="32"/>
      <c r="K9" s="32"/>
      <c r="L9" s="39"/>
    </row>
    <row r="10" spans="2:12" ht="16.5" customHeight="1" x14ac:dyDescent="0.35">
      <c r="B10" s="134" t="s">
        <v>16</v>
      </c>
      <c r="C10" s="9" t="s">
        <v>123</v>
      </c>
      <c r="D10" s="44">
        <v>13</v>
      </c>
      <c r="E10" s="29">
        <v>800</v>
      </c>
      <c r="F10" s="29">
        <v>0</v>
      </c>
      <c r="G10" s="29">
        <v>10400</v>
      </c>
      <c r="H10" s="29">
        <v>0</v>
      </c>
      <c r="I10" s="29">
        <v>0</v>
      </c>
      <c r="J10" s="29"/>
      <c r="K10" s="29">
        <f>SUM(G10:I10)</f>
        <v>10400</v>
      </c>
      <c r="L10" s="37"/>
    </row>
    <row r="11" spans="2:12" ht="16.5" customHeight="1" x14ac:dyDescent="0.35">
      <c r="B11" s="135"/>
      <c r="C11" s="10" t="s">
        <v>19</v>
      </c>
      <c r="D11" s="45">
        <v>4</v>
      </c>
      <c r="E11" s="30">
        <v>0</v>
      </c>
      <c r="F11" s="30">
        <v>400</v>
      </c>
      <c r="G11" s="30">
        <v>0</v>
      </c>
      <c r="H11" s="30">
        <v>1600</v>
      </c>
      <c r="I11" s="30">
        <v>0</v>
      </c>
      <c r="J11" s="30"/>
      <c r="K11" s="30">
        <f>SUM(G11:I11)</f>
        <v>1600</v>
      </c>
      <c r="L11" s="38"/>
    </row>
    <row r="12" spans="2:12" ht="16.5" customHeight="1" x14ac:dyDescent="0.35">
      <c r="B12" s="135"/>
      <c r="C12" s="10" t="s">
        <v>20</v>
      </c>
      <c r="D12" s="45">
        <v>5</v>
      </c>
      <c r="E12" s="30">
        <v>0</v>
      </c>
      <c r="F12" s="30">
        <v>400</v>
      </c>
      <c r="G12" s="30">
        <v>0</v>
      </c>
      <c r="H12" s="30">
        <v>2000</v>
      </c>
      <c r="I12" s="30">
        <v>0</v>
      </c>
      <c r="J12" s="30"/>
      <c r="K12" s="30">
        <f>SUM(G12:I12)</f>
        <v>2000</v>
      </c>
      <c r="L12" s="38"/>
    </row>
    <row r="13" spans="2:12" ht="16.5" customHeight="1" thickBot="1" x14ac:dyDescent="0.4">
      <c r="B13" s="136"/>
      <c r="C13" s="11" t="s">
        <v>9</v>
      </c>
      <c r="D13" s="46"/>
      <c r="E13" s="46"/>
      <c r="F13" s="46"/>
      <c r="G13" s="31">
        <f>SUM(G10:G12)</f>
        <v>10400</v>
      </c>
      <c r="H13" s="31">
        <f>SUM(H10:H12)</f>
        <v>3600</v>
      </c>
      <c r="I13" s="31">
        <f>SUM(I10:I12)</f>
        <v>0</v>
      </c>
      <c r="J13" s="31"/>
      <c r="K13" s="31">
        <f>SUM(K10:K12)</f>
        <v>14000</v>
      </c>
      <c r="L13" s="54">
        <f>K13/K46</f>
        <v>4.0103122314523058E-2</v>
      </c>
    </row>
    <row r="14" spans="2:12" ht="33" customHeight="1" thickBot="1" x14ac:dyDescent="0.5">
      <c r="C14" s="12"/>
      <c r="D14" s="32"/>
      <c r="E14" s="32"/>
      <c r="F14" s="32"/>
      <c r="G14" s="33"/>
      <c r="H14" s="33"/>
      <c r="I14" s="33"/>
      <c r="J14" s="33"/>
      <c r="K14" s="33"/>
      <c r="L14" s="39"/>
    </row>
    <row r="15" spans="2:12" ht="16.5" customHeight="1" x14ac:dyDescent="0.35">
      <c r="B15" s="137" t="s">
        <v>21</v>
      </c>
      <c r="C15" s="9" t="s">
        <v>25</v>
      </c>
      <c r="D15" s="44">
        <v>3</v>
      </c>
      <c r="E15" s="29">
        <v>800</v>
      </c>
      <c r="F15" s="29">
        <v>0</v>
      </c>
      <c r="G15" s="29">
        <v>2400</v>
      </c>
      <c r="H15" s="29">
        <v>0</v>
      </c>
      <c r="I15" s="29">
        <v>0</v>
      </c>
      <c r="J15" s="29"/>
      <c r="K15" s="29">
        <f>SUM(G15:I15)</f>
        <v>2400</v>
      </c>
      <c r="L15" s="37"/>
    </row>
    <row r="16" spans="2:12" ht="16.5" customHeight="1" x14ac:dyDescent="0.35">
      <c r="B16" s="145"/>
      <c r="C16" s="10" t="s">
        <v>22</v>
      </c>
      <c r="D16" s="45">
        <v>8</v>
      </c>
      <c r="E16" s="30">
        <v>0</v>
      </c>
      <c r="F16" s="30">
        <v>400</v>
      </c>
      <c r="G16" s="30">
        <v>0</v>
      </c>
      <c r="H16" s="30">
        <v>3200</v>
      </c>
      <c r="I16" s="30">
        <v>0</v>
      </c>
      <c r="J16" s="30"/>
      <c r="K16" s="30">
        <f>SUM(G16:I16)</f>
        <v>3200</v>
      </c>
      <c r="L16" s="38"/>
    </row>
    <row r="17" spans="2:12" ht="16.5" customHeight="1" x14ac:dyDescent="0.35">
      <c r="B17" s="145"/>
      <c r="C17" s="10" t="s">
        <v>23</v>
      </c>
      <c r="D17" s="45">
        <v>5</v>
      </c>
      <c r="E17" s="30">
        <v>0</v>
      </c>
      <c r="F17" s="30">
        <v>400</v>
      </c>
      <c r="G17" s="30">
        <v>0</v>
      </c>
      <c r="H17" s="30">
        <v>2000</v>
      </c>
      <c r="I17" s="30">
        <v>0</v>
      </c>
      <c r="J17" s="30"/>
      <c r="K17" s="30">
        <f>SUM(G17:I17)</f>
        <v>2000</v>
      </c>
      <c r="L17" s="38"/>
    </row>
    <row r="18" spans="2:12" ht="16.5" customHeight="1" x14ac:dyDescent="0.35">
      <c r="B18" s="145"/>
      <c r="C18" s="10" t="s">
        <v>24</v>
      </c>
      <c r="D18" s="45">
        <v>15</v>
      </c>
      <c r="E18" s="30">
        <v>0</v>
      </c>
      <c r="F18" s="30">
        <v>400</v>
      </c>
      <c r="G18" s="30">
        <v>0</v>
      </c>
      <c r="H18" s="30">
        <v>6000</v>
      </c>
      <c r="I18" s="30">
        <v>0</v>
      </c>
      <c r="J18" s="30"/>
      <c r="K18" s="30">
        <f>SUM(G18:I18)</f>
        <v>6000</v>
      </c>
      <c r="L18" s="38"/>
    </row>
    <row r="19" spans="2:12" ht="16.5" customHeight="1" thickBot="1" x14ac:dyDescent="0.4">
      <c r="B19" s="146"/>
      <c r="C19" s="11" t="s">
        <v>10</v>
      </c>
      <c r="D19" s="46"/>
      <c r="E19" s="46"/>
      <c r="F19" s="46"/>
      <c r="G19" s="31">
        <f>SUM(G15:G18)</f>
        <v>2400</v>
      </c>
      <c r="H19" s="31">
        <f>SUM(H15:H18)</f>
        <v>11200</v>
      </c>
      <c r="I19" s="31">
        <f>SUM(I15:I18)</f>
        <v>0</v>
      </c>
      <c r="J19" s="31"/>
      <c r="K19" s="31">
        <f>SUM(K15:K18)</f>
        <v>13600</v>
      </c>
      <c r="L19" s="54">
        <f>K19/K46</f>
        <v>3.8957318819822402E-2</v>
      </c>
    </row>
    <row r="20" spans="2:12" ht="33" customHeight="1" thickBot="1" x14ac:dyDescent="0.4">
      <c r="D20" s="27"/>
      <c r="E20" s="27"/>
      <c r="F20" s="27"/>
      <c r="G20" s="34"/>
      <c r="H20" s="34"/>
      <c r="I20" s="34"/>
      <c r="J20" s="34"/>
      <c r="K20" s="34"/>
      <c r="L20" s="40"/>
    </row>
    <row r="21" spans="2:12" ht="16.5" customHeight="1" x14ac:dyDescent="0.35">
      <c r="B21" s="147" t="s">
        <v>26</v>
      </c>
      <c r="C21" s="9" t="s">
        <v>27</v>
      </c>
      <c r="D21" s="44">
        <v>3</v>
      </c>
      <c r="E21" s="29">
        <v>800</v>
      </c>
      <c r="F21" s="29">
        <v>0</v>
      </c>
      <c r="G21" s="29">
        <v>2400</v>
      </c>
      <c r="H21" s="29">
        <v>0</v>
      </c>
      <c r="I21" s="29">
        <v>0</v>
      </c>
      <c r="J21" s="29"/>
      <c r="K21" s="29">
        <f t="shared" ref="K21:K26" si="0">SUM(G21:I21)</f>
        <v>2400</v>
      </c>
      <c r="L21" s="37"/>
    </row>
    <row r="22" spans="2:12" ht="16.5" customHeight="1" x14ac:dyDescent="0.35">
      <c r="B22" s="148"/>
      <c r="C22" s="10" t="s">
        <v>28</v>
      </c>
      <c r="D22" s="45">
        <v>2</v>
      </c>
      <c r="E22" s="30">
        <v>0</v>
      </c>
      <c r="F22" s="30">
        <v>400</v>
      </c>
      <c r="G22" s="30">
        <v>0</v>
      </c>
      <c r="H22" s="30">
        <v>800</v>
      </c>
      <c r="I22" s="30">
        <v>0</v>
      </c>
      <c r="J22" s="30"/>
      <c r="K22" s="30">
        <f t="shared" si="0"/>
        <v>800</v>
      </c>
      <c r="L22" s="38"/>
    </row>
    <row r="23" spans="2:12" ht="16.5" customHeight="1" x14ac:dyDescent="0.35">
      <c r="B23" s="148"/>
      <c r="C23" s="10" t="s">
        <v>29</v>
      </c>
      <c r="D23" s="45">
        <v>3</v>
      </c>
      <c r="E23" s="30">
        <v>0</v>
      </c>
      <c r="F23" s="30">
        <v>400</v>
      </c>
      <c r="G23" s="30">
        <v>0</v>
      </c>
      <c r="H23" s="30">
        <v>1200</v>
      </c>
      <c r="I23" s="30">
        <v>0</v>
      </c>
      <c r="J23" s="30"/>
      <c r="K23" s="30">
        <f t="shared" si="0"/>
        <v>1200</v>
      </c>
      <c r="L23" s="38"/>
    </row>
    <row r="24" spans="2:12" ht="16.5" customHeight="1" x14ac:dyDescent="0.35">
      <c r="B24" s="148"/>
      <c r="C24" s="10" t="s">
        <v>30</v>
      </c>
      <c r="D24" s="45">
        <v>3</v>
      </c>
      <c r="E24" s="30">
        <v>0</v>
      </c>
      <c r="F24" s="30">
        <v>400</v>
      </c>
      <c r="G24" s="30">
        <v>0</v>
      </c>
      <c r="H24" s="30">
        <v>1200</v>
      </c>
      <c r="I24" s="30">
        <v>0</v>
      </c>
      <c r="J24" s="30"/>
      <c r="K24" s="30">
        <f t="shared" si="0"/>
        <v>1200</v>
      </c>
      <c r="L24" s="38"/>
    </row>
    <row r="25" spans="2:12" ht="16.5" customHeight="1" x14ac:dyDescent="0.35">
      <c r="B25" s="148"/>
      <c r="C25" s="10" t="s">
        <v>31</v>
      </c>
      <c r="D25" s="45">
        <v>4</v>
      </c>
      <c r="E25" s="30">
        <v>0</v>
      </c>
      <c r="F25" s="30">
        <v>400</v>
      </c>
      <c r="G25" s="30">
        <v>0</v>
      </c>
      <c r="H25" s="30">
        <v>1600</v>
      </c>
      <c r="I25" s="30">
        <v>0</v>
      </c>
      <c r="J25" s="30"/>
      <c r="K25" s="30">
        <f t="shared" si="0"/>
        <v>1600</v>
      </c>
      <c r="L25" s="38"/>
    </row>
    <row r="26" spans="2:12" ht="16.5" customHeight="1" x14ac:dyDescent="0.35">
      <c r="B26" s="148"/>
      <c r="C26" s="10" t="s">
        <v>15</v>
      </c>
      <c r="D26" s="45">
        <v>3</v>
      </c>
      <c r="E26" s="30">
        <v>0</v>
      </c>
      <c r="F26" s="30">
        <v>400</v>
      </c>
      <c r="G26" s="30">
        <v>0</v>
      </c>
      <c r="H26" s="30">
        <v>1200</v>
      </c>
      <c r="I26" s="30">
        <v>0</v>
      </c>
      <c r="J26" s="30"/>
      <c r="K26" s="30">
        <f t="shared" si="0"/>
        <v>1200</v>
      </c>
      <c r="L26" s="38"/>
    </row>
    <row r="27" spans="2:12" ht="16.5" customHeight="1" thickBot="1" x14ac:dyDescent="0.4">
      <c r="B27" s="149"/>
      <c r="C27" s="11" t="s">
        <v>11</v>
      </c>
      <c r="D27" s="46"/>
      <c r="E27" s="46"/>
      <c r="F27" s="46"/>
      <c r="G27" s="31">
        <f>SUM(G21:G26)</f>
        <v>2400</v>
      </c>
      <c r="H27" s="31">
        <f>SUM(H21:H26)</f>
        <v>6000</v>
      </c>
      <c r="I27" s="31">
        <f>SUM(I21:I26)</f>
        <v>0</v>
      </c>
      <c r="J27" s="31"/>
      <c r="K27" s="31">
        <f>SUM(K21:K26)</f>
        <v>8400</v>
      </c>
      <c r="L27" s="54">
        <f>K27/K46</f>
        <v>2.4061873388713836E-2</v>
      </c>
    </row>
    <row r="28" spans="2:12" ht="33" customHeight="1" thickBot="1" x14ac:dyDescent="0.5">
      <c r="C28" s="12"/>
      <c r="D28" s="32"/>
      <c r="E28" s="32"/>
      <c r="F28" s="32"/>
      <c r="G28" s="33"/>
      <c r="H28" s="33"/>
      <c r="I28" s="33"/>
      <c r="J28" s="33"/>
      <c r="K28" s="33"/>
      <c r="L28" s="39"/>
    </row>
    <row r="29" spans="2:12" ht="16.5" customHeight="1" x14ac:dyDescent="0.35">
      <c r="B29" s="150" t="s">
        <v>32</v>
      </c>
      <c r="C29" s="13" t="s">
        <v>33</v>
      </c>
      <c r="D29" s="51">
        <v>3</v>
      </c>
      <c r="E29" s="29">
        <v>1000</v>
      </c>
      <c r="F29" s="29">
        <v>0</v>
      </c>
      <c r="G29" s="29">
        <v>3000</v>
      </c>
      <c r="H29" s="29">
        <v>0</v>
      </c>
      <c r="I29" s="29">
        <v>0</v>
      </c>
      <c r="J29" s="29"/>
      <c r="K29" s="29">
        <f>SUM(G29:I29)</f>
        <v>3000</v>
      </c>
      <c r="L29" s="37"/>
    </row>
    <row r="30" spans="2:12" ht="16.5" customHeight="1" x14ac:dyDescent="0.35">
      <c r="B30" s="151"/>
      <c r="C30" s="14" t="s">
        <v>34</v>
      </c>
      <c r="D30" s="52">
        <v>3</v>
      </c>
      <c r="E30" s="30">
        <v>1000</v>
      </c>
      <c r="F30" s="30">
        <v>0</v>
      </c>
      <c r="G30" s="30">
        <v>3000</v>
      </c>
      <c r="H30" s="30">
        <v>0</v>
      </c>
      <c r="I30" s="30">
        <v>0</v>
      </c>
      <c r="J30" s="30"/>
      <c r="K30" s="30">
        <f>SUM(G30:I30)</f>
        <v>3000</v>
      </c>
      <c r="L30" s="38"/>
    </row>
    <row r="31" spans="2:12" ht="16.5" customHeight="1" x14ac:dyDescent="0.35">
      <c r="B31" s="151"/>
      <c r="C31" s="14" t="s">
        <v>35</v>
      </c>
      <c r="D31" s="52">
        <v>3</v>
      </c>
      <c r="E31" s="30">
        <v>1000</v>
      </c>
      <c r="F31" s="30">
        <v>0</v>
      </c>
      <c r="G31" s="30">
        <v>3000</v>
      </c>
      <c r="H31" s="30">
        <v>0</v>
      </c>
      <c r="I31" s="30">
        <v>0</v>
      </c>
      <c r="J31" s="30"/>
      <c r="K31" s="30">
        <f>SUM(G31:I31)</f>
        <v>3000</v>
      </c>
      <c r="L31" s="38"/>
    </row>
    <row r="32" spans="2:12" ht="16.5" customHeight="1" x14ac:dyDescent="0.35">
      <c r="B32" s="156"/>
      <c r="C32" s="14" t="s">
        <v>36</v>
      </c>
      <c r="D32" s="52">
        <v>3</v>
      </c>
      <c r="E32" s="30">
        <v>1000</v>
      </c>
      <c r="F32" s="30">
        <v>0</v>
      </c>
      <c r="G32" s="30">
        <f>D32*E32</f>
        <v>3000</v>
      </c>
      <c r="H32" s="30">
        <v>0</v>
      </c>
      <c r="I32" s="30">
        <v>0</v>
      </c>
      <c r="J32" s="30"/>
      <c r="K32" s="30">
        <f>SUM(G32:I32)</f>
        <v>3000</v>
      </c>
      <c r="L32" s="38"/>
    </row>
    <row r="33" spans="2:12" ht="16.5" customHeight="1" x14ac:dyDescent="0.35">
      <c r="B33" s="151"/>
      <c r="C33" s="14" t="s">
        <v>37</v>
      </c>
      <c r="D33" s="52">
        <v>3</v>
      </c>
      <c r="E33" s="30">
        <v>1000</v>
      </c>
      <c r="F33" s="30">
        <v>0</v>
      </c>
      <c r="G33" s="30">
        <v>3000</v>
      </c>
      <c r="H33" s="30">
        <v>0</v>
      </c>
      <c r="I33" s="30">
        <v>0</v>
      </c>
      <c r="J33" s="50"/>
      <c r="K33" s="30">
        <f>SUM(G33:I33)</f>
        <v>3000</v>
      </c>
      <c r="L33" s="38"/>
    </row>
    <row r="34" spans="2:12" ht="16.5" customHeight="1" thickBot="1" x14ac:dyDescent="0.4">
      <c r="B34" s="152"/>
      <c r="C34" s="11" t="s">
        <v>12</v>
      </c>
      <c r="D34" s="46"/>
      <c r="E34" s="46"/>
      <c r="F34" s="46"/>
      <c r="G34" s="31">
        <f>SUM(G29:G33)</f>
        <v>15000</v>
      </c>
      <c r="H34" s="31">
        <f>SUM(H29:H33)</f>
        <v>0</v>
      </c>
      <c r="I34" s="31">
        <f>SUM(I29:I31)</f>
        <v>0</v>
      </c>
      <c r="J34" s="31"/>
      <c r="K34" s="31">
        <f>SUM(K29:K33)</f>
        <v>15000</v>
      </c>
      <c r="L34" s="54">
        <f>K34/K46</f>
        <v>4.2967631051274706E-2</v>
      </c>
    </row>
    <row r="35" spans="2:12" ht="33" customHeight="1" thickBot="1" x14ac:dyDescent="0.5">
      <c r="C35" s="12"/>
      <c r="D35" s="32"/>
      <c r="E35" s="32"/>
      <c r="F35" s="32"/>
      <c r="G35" s="33"/>
      <c r="H35" s="33"/>
      <c r="I35" s="33"/>
      <c r="J35" s="33"/>
      <c r="K35" s="33"/>
      <c r="L35" s="39"/>
    </row>
    <row r="36" spans="2:12" ht="19.149999999999999" customHeight="1" x14ac:dyDescent="0.35">
      <c r="B36" s="150" t="s">
        <v>40</v>
      </c>
      <c r="C36" s="13" t="s">
        <v>38</v>
      </c>
      <c r="D36" s="51">
        <v>3</v>
      </c>
      <c r="E36" s="53">
        <v>0</v>
      </c>
      <c r="F36" s="53">
        <v>400</v>
      </c>
      <c r="G36" s="29">
        <v>0</v>
      </c>
      <c r="H36" s="29">
        <v>1200</v>
      </c>
      <c r="I36" s="29">
        <v>0</v>
      </c>
      <c r="J36" s="29"/>
      <c r="K36" s="29">
        <f>SUM(G36:I36)</f>
        <v>1200</v>
      </c>
      <c r="L36" s="37"/>
    </row>
    <row r="37" spans="2:12" ht="20.25" customHeight="1" x14ac:dyDescent="0.35">
      <c r="B37" s="151"/>
      <c r="C37" s="14" t="s">
        <v>39</v>
      </c>
      <c r="D37" s="52">
        <v>5</v>
      </c>
      <c r="E37" s="30">
        <v>0</v>
      </c>
      <c r="F37" s="30">
        <v>400</v>
      </c>
      <c r="G37" s="30">
        <v>0</v>
      </c>
      <c r="H37" s="30">
        <v>2000</v>
      </c>
      <c r="I37" s="30">
        <v>0</v>
      </c>
      <c r="J37" s="30"/>
      <c r="K37" s="30">
        <f>SUM(G37:I37)</f>
        <v>2000</v>
      </c>
      <c r="L37" s="38"/>
    </row>
    <row r="38" spans="2:12" ht="16.5" customHeight="1" x14ac:dyDescent="0.35">
      <c r="B38" s="151"/>
      <c r="C38" s="14" t="s">
        <v>42</v>
      </c>
      <c r="D38" s="52">
        <v>1</v>
      </c>
      <c r="E38" s="30">
        <v>1800</v>
      </c>
      <c r="F38" s="30">
        <v>0</v>
      </c>
      <c r="G38" s="30">
        <v>1800</v>
      </c>
      <c r="H38" s="30">
        <v>0</v>
      </c>
      <c r="I38" s="30">
        <v>0</v>
      </c>
      <c r="J38" s="30"/>
      <c r="K38" s="30">
        <f>SUM(G38:I38)</f>
        <v>1800</v>
      </c>
      <c r="L38" s="38"/>
    </row>
    <row r="39" spans="2:12" ht="16.5" customHeight="1" x14ac:dyDescent="0.35">
      <c r="B39" s="151"/>
      <c r="C39" s="14" t="s">
        <v>46</v>
      </c>
      <c r="D39" s="52">
        <v>20</v>
      </c>
      <c r="E39" s="30">
        <v>0</v>
      </c>
      <c r="F39" s="30">
        <v>400</v>
      </c>
      <c r="G39" s="30">
        <v>0</v>
      </c>
      <c r="H39" s="30">
        <v>8000</v>
      </c>
      <c r="I39" s="30">
        <v>0</v>
      </c>
      <c r="J39" s="50"/>
      <c r="K39" s="30">
        <f>SUM(G39:I39)</f>
        <v>8000</v>
      </c>
      <c r="L39" s="38"/>
    </row>
    <row r="40" spans="2:12" ht="16.5" customHeight="1" thickBot="1" x14ac:dyDescent="0.4">
      <c r="B40" s="152"/>
      <c r="C40" s="11" t="s">
        <v>12</v>
      </c>
      <c r="D40" s="46"/>
      <c r="E40" s="46"/>
      <c r="F40" s="46"/>
      <c r="G40" s="31">
        <f>SUM(G36:G39)</f>
        <v>1800</v>
      </c>
      <c r="H40" s="31">
        <f>SUM(H36:H39)</f>
        <v>11200</v>
      </c>
      <c r="I40" s="31">
        <f>SUM(I36:I39)</f>
        <v>0</v>
      </c>
      <c r="J40" s="31"/>
      <c r="K40" s="31">
        <f>SUM(K36:K39)</f>
        <v>13000</v>
      </c>
      <c r="L40" s="54">
        <f>K40/K46</f>
        <v>3.7238613577771411E-2</v>
      </c>
    </row>
    <row r="41" spans="2:12" ht="33.75" customHeight="1" thickBot="1" x14ac:dyDescent="0.5">
      <c r="C41" s="12"/>
      <c r="D41" s="32"/>
      <c r="E41" s="32"/>
      <c r="F41" s="32"/>
      <c r="G41" s="33"/>
      <c r="H41" s="33"/>
      <c r="I41" s="33"/>
      <c r="J41" s="33"/>
      <c r="K41" s="33"/>
      <c r="L41" s="39"/>
    </row>
    <row r="42" spans="2:12" ht="16.5" customHeight="1" x14ac:dyDescent="0.35">
      <c r="B42" s="15" t="s">
        <v>41</v>
      </c>
      <c r="C42" s="16"/>
      <c r="D42" s="47"/>
      <c r="E42" s="47"/>
      <c r="F42" s="47"/>
      <c r="G42" s="35">
        <f>SUM(G8,G13,G19,G27,G34,G40)</f>
        <v>40400</v>
      </c>
      <c r="H42" s="35">
        <f>SUM(H8,H13,H19,H27,H34,H40)</f>
        <v>38300</v>
      </c>
      <c r="I42" s="35">
        <f>SUM(I8,I13,I19,I27,I34,I40)</f>
        <v>0</v>
      </c>
      <c r="J42" s="35"/>
      <c r="K42" s="35">
        <f>SUM(K8,K13,K19,K27,K34,K40)</f>
        <v>78700</v>
      </c>
      <c r="L42" s="41"/>
    </row>
    <row r="43" spans="2:12" ht="16.5" customHeight="1" x14ac:dyDescent="0.35">
      <c r="B43" s="104" t="s">
        <v>164</v>
      </c>
      <c r="C43" s="100"/>
      <c r="D43" s="130">
        <f>SUM(D10:D12,D5:D7,D15:D18,D21:D26,D29:D33,D29:D33,D36:D39)</f>
        <v>136</v>
      </c>
      <c r="E43" s="119">
        <v>900</v>
      </c>
      <c r="F43" s="119">
        <f>200*5</f>
        <v>1000</v>
      </c>
      <c r="G43" s="102">
        <f>D43*E43</f>
        <v>122400</v>
      </c>
      <c r="H43" s="102">
        <f>D43*F43</f>
        <v>136000</v>
      </c>
      <c r="I43" s="102">
        <v>0</v>
      </c>
      <c r="J43" s="102"/>
      <c r="K43" s="102">
        <f>SUM(G43:I43)</f>
        <v>258400</v>
      </c>
      <c r="L43" s="103"/>
    </row>
    <row r="44" spans="2:12" ht="16.5" customHeight="1" x14ac:dyDescent="0.35">
      <c r="B44" s="104" t="s">
        <v>127</v>
      </c>
      <c r="C44" s="100"/>
      <c r="D44" s="101"/>
      <c r="E44" s="101"/>
      <c r="F44" s="101"/>
      <c r="G44" s="102"/>
      <c r="H44" s="102"/>
      <c r="I44" s="102">
        <v>10000</v>
      </c>
      <c r="J44" s="102"/>
      <c r="K44" s="102">
        <v>10000</v>
      </c>
      <c r="L44" s="103"/>
    </row>
    <row r="45" spans="2:12" ht="16.5" customHeight="1" x14ac:dyDescent="0.35">
      <c r="B45" s="17" t="s">
        <v>192</v>
      </c>
      <c r="C45" s="18"/>
      <c r="D45" s="48"/>
      <c r="E45" s="48"/>
      <c r="F45" s="48"/>
      <c r="G45" s="102"/>
      <c r="H45" s="102"/>
      <c r="I45" s="102">
        <v>2000</v>
      </c>
      <c r="J45" s="102"/>
      <c r="K45" s="102">
        <v>2000</v>
      </c>
      <c r="L45" s="103"/>
    </row>
    <row r="46" spans="2:12" ht="16.5" customHeight="1" thickBot="1" x14ac:dyDescent="0.4">
      <c r="B46" s="19" t="s">
        <v>130</v>
      </c>
      <c r="C46" s="20"/>
      <c r="D46" s="49"/>
      <c r="E46" s="49"/>
      <c r="F46" s="49"/>
      <c r="G46" s="36">
        <f>SUM(G42:G45)</f>
        <v>162800</v>
      </c>
      <c r="H46" s="36">
        <f>SUM(H42:H45)</f>
        <v>174300</v>
      </c>
      <c r="I46" s="36">
        <f>SUM(I42:I45)</f>
        <v>12000</v>
      </c>
      <c r="J46" s="36"/>
      <c r="K46" s="36">
        <f>SUM(K42:K45)</f>
        <v>349100</v>
      </c>
      <c r="L46" s="42"/>
    </row>
    <row r="47" spans="2:12" ht="16.5" customHeight="1" x14ac:dyDescent="0.35">
      <c r="D47" s="27"/>
      <c r="E47" s="27"/>
      <c r="F47" s="27"/>
    </row>
  </sheetData>
  <mergeCells count="6">
    <mergeCell ref="B36:B40"/>
    <mergeCell ref="B5:B8"/>
    <mergeCell ref="B10:B13"/>
    <mergeCell ref="B15:B19"/>
    <mergeCell ref="B21:B27"/>
    <mergeCell ref="B29:B34"/>
  </mergeCells>
  <phoneticPr fontId="4" type="noConversion"/>
  <pageMargins left="0.7" right="0.7" top="0.75" bottom="0.75" header="0.3" footer="0.3"/>
  <pageSetup scale="68" fitToHeight="0" orientation="portrait" r:id="rId1"/>
  <ignoredErrors>
    <ignoredError sqref="K6:K7 K15:K18 K21:K26 K29:K31 K36:K37 K38:K39 I34 K10 K11:K12 K33" formulaRange="1"/>
  </ignoredErrors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autoPageBreaks="0" fitToPage="1"/>
  </sheetPr>
  <dimension ref="B1:L51"/>
  <sheetViews>
    <sheetView showGridLines="0" topLeftCell="A2" zoomScale="47" zoomScaleNormal="47" workbookViewId="0">
      <selection activeCell="R34" sqref="R34"/>
    </sheetView>
  </sheetViews>
  <sheetFormatPr defaultColWidth="9.15234375" defaultRowHeight="16.5" customHeight="1" x14ac:dyDescent="0.35"/>
  <cols>
    <col min="1" max="1" width="2.69140625" style="3" customWidth="1"/>
    <col min="2" max="2" width="5.3828125" style="3" customWidth="1"/>
    <col min="3" max="3" width="36" style="3" customWidth="1"/>
    <col min="4" max="4" width="19.15234375" style="3" customWidth="1"/>
    <col min="5" max="5" width="24.3828125" style="3" customWidth="1"/>
    <col min="6" max="6" width="28.61328125" style="3" customWidth="1"/>
    <col min="7" max="7" width="24.61328125" style="3" customWidth="1"/>
    <col min="8" max="8" width="25.3046875" style="3" customWidth="1"/>
    <col min="9" max="9" width="21.84375" style="3" customWidth="1"/>
    <col min="10" max="10" width="35.921875" style="3" customWidth="1"/>
    <col min="11" max="11" width="17.3828125" style="3" customWidth="1"/>
    <col min="12" max="12" width="21.15234375" style="3" customWidth="1"/>
    <col min="13" max="13" width="2.69140625" style="3" customWidth="1"/>
    <col min="14" max="16384" width="9.15234375" style="3"/>
  </cols>
  <sheetData>
    <row r="1" spans="2:12" ht="6.75" customHeight="1" x14ac:dyDescent="0.35">
      <c r="B1" s="1"/>
      <c r="C1" s="1"/>
      <c r="D1" s="1"/>
      <c r="E1" s="1"/>
      <c r="F1" s="1"/>
      <c r="G1" s="1"/>
      <c r="H1" s="1"/>
      <c r="I1" s="1"/>
      <c r="J1" s="2"/>
      <c r="K1" s="2"/>
      <c r="L1" s="2"/>
    </row>
    <row r="2" spans="2:12" ht="42" customHeight="1" x14ac:dyDescent="0.35">
      <c r="B2" s="4" t="s">
        <v>138</v>
      </c>
      <c r="G2" s="4"/>
      <c r="H2" s="4"/>
      <c r="I2" s="4"/>
      <c r="J2" s="5"/>
    </row>
    <row r="3" spans="2:12" ht="16.5" customHeight="1" x14ac:dyDescent="0.35">
      <c r="B3" s="6"/>
      <c r="G3" s="4"/>
      <c r="H3" s="4"/>
      <c r="I3" s="4"/>
      <c r="J3" s="5"/>
    </row>
    <row r="4" spans="2:12" ht="16.5" customHeight="1" thickBot="1" x14ac:dyDescent="0.4">
      <c r="C4" s="7" t="s">
        <v>1</v>
      </c>
      <c r="D4" s="28" t="s">
        <v>52</v>
      </c>
      <c r="E4" s="7" t="s">
        <v>6</v>
      </c>
      <c r="F4" s="28" t="s">
        <v>7</v>
      </c>
      <c r="G4" s="8" t="s">
        <v>47</v>
      </c>
      <c r="H4" s="28" t="s">
        <v>48</v>
      </c>
      <c r="I4" s="28" t="s">
        <v>3</v>
      </c>
      <c r="J4" s="28" t="s">
        <v>17</v>
      </c>
      <c r="K4" s="8" t="s">
        <v>4</v>
      </c>
      <c r="L4" s="28" t="s">
        <v>5</v>
      </c>
    </row>
    <row r="5" spans="2:12" ht="16.5" customHeight="1" x14ac:dyDescent="0.35">
      <c r="B5" s="131" t="s">
        <v>2</v>
      </c>
      <c r="C5" s="9" t="s">
        <v>13</v>
      </c>
      <c r="D5" s="44">
        <v>1</v>
      </c>
      <c r="E5" s="29">
        <v>1800</v>
      </c>
      <c r="F5" s="29">
        <v>400</v>
      </c>
      <c r="G5" s="29">
        <f>D5*E5</f>
        <v>1800</v>
      </c>
      <c r="H5" s="29">
        <v>2000</v>
      </c>
      <c r="I5" s="29">
        <v>0</v>
      </c>
      <c r="J5" s="43" t="s">
        <v>122</v>
      </c>
      <c r="K5" s="29">
        <f>SUM(G5,H5,I5)</f>
        <v>3800</v>
      </c>
      <c r="L5" s="37"/>
    </row>
    <row r="6" spans="2:12" ht="16.5" customHeight="1" x14ac:dyDescent="0.35">
      <c r="B6" s="132"/>
      <c r="C6" s="10" t="s">
        <v>14</v>
      </c>
      <c r="D6" s="45">
        <v>3</v>
      </c>
      <c r="E6" s="30">
        <v>1800</v>
      </c>
      <c r="F6" s="30">
        <v>400</v>
      </c>
      <c r="G6" s="30">
        <f>D6*E6</f>
        <v>5400</v>
      </c>
      <c r="H6" s="30">
        <v>6000</v>
      </c>
      <c r="I6" s="30">
        <v>0</v>
      </c>
      <c r="J6" s="50" t="s">
        <v>122</v>
      </c>
      <c r="K6" s="30">
        <f>SUM(G6:I6)</f>
        <v>11400</v>
      </c>
      <c r="L6" s="38"/>
    </row>
    <row r="7" spans="2:12" ht="16.5" customHeight="1" x14ac:dyDescent="0.35">
      <c r="B7" s="132"/>
      <c r="C7" s="10" t="s">
        <v>15</v>
      </c>
      <c r="D7" s="45">
        <v>4</v>
      </c>
      <c r="E7" s="30">
        <v>1000</v>
      </c>
      <c r="F7" s="30">
        <v>0</v>
      </c>
      <c r="G7" s="30">
        <f>D7*E7</f>
        <v>4000</v>
      </c>
      <c r="H7" s="30">
        <v>0</v>
      </c>
      <c r="I7" s="30">
        <v>0</v>
      </c>
      <c r="J7" s="30"/>
      <c r="K7" s="30">
        <f>SUM(G7:I7)</f>
        <v>4000</v>
      </c>
      <c r="L7" s="38"/>
    </row>
    <row r="8" spans="2:12" ht="16.5" customHeight="1" thickBot="1" x14ac:dyDescent="0.4">
      <c r="B8" s="133"/>
      <c r="C8" s="11" t="s">
        <v>8</v>
      </c>
      <c r="D8" s="46"/>
      <c r="E8" s="46"/>
      <c r="F8" s="46"/>
      <c r="G8" s="31">
        <f>SUM(G5:G7)</f>
        <v>11200</v>
      </c>
      <c r="H8" s="31">
        <f>SUM(H5:H7)</f>
        <v>8000</v>
      </c>
      <c r="I8" s="31">
        <f>SUM(I5:I7)</f>
        <v>0</v>
      </c>
      <c r="J8" s="31"/>
      <c r="K8" s="31">
        <f>SUM(K5:K7)</f>
        <v>19200</v>
      </c>
      <c r="L8" s="54">
        <f>K8/K46</f>
        <v>5.5765320941039788E-2</v>
      </c>
    </row>
    <row r="9" spans="2:12" ht="33" customHeight="1" thickBot="1" x14ac:dyDescent="0.5">
      <c r="C9" s="12"/>
      <c r="D9" s="32"/>
      <c r="E9" s="32"/>
      <c r="F9" s="32"/>
      <c r="G9" s="32"/>
      <c r="H9" s="32"/>
      <c r="I9" s="32"/>
      <c r="J9" s="32"/>
      <c r="K9" s="32"/>
      <c r="L9" s="39"/>
    </row>
    <row r="10" spans="2:12" ht="16.5" customHeight="1" x14ac:dyDescent="0.35">
      <c r="B10" s="134" t="s">
        <v>16</v>
      </c>
      <c r="C10" s="9" t="s">
        <v>18</v>
      </c>
      <c r="D10" s="44">
        <v>10</v>
      </c>
      <c r="E10" s="29">
        <v>800</v>
      </c>
      <c r="F10" s="29">
        <v>0</v>
      </c>
      <c r="G10" s="29">
        <v>8000</v>
      </c>
      <c r="H10" s="29">
        <v>0</v>
      </c>
      <c r="I10" s="29">
        <v>0</v>
      </c>
      <c r="J10" s="29"/>
      <c r="K10" s="29">
        <f>SUM(G10:I10)</f>
        <v>8000</v>
      </c>
      <c r="L10" s="37"/>
    </row>
    <row r="11" spans="2:12" ht="16.5" customHeight="1" x14ac:dyDescent="0.35">
      <c r="B11" s="135"/>
      <c r="C11" s="10" t="s">
        <v>19</v>
      </c>
      <c r="D11" s="45">
        <v>5</v>
      </c>
      <c r="E11" s="30">
        <v>0</v>
      </c>
      <c r="F11" s="30">
        <v>400</v>
      </c>
      <c r="G11" s="30">
        <f>D11*E11</f>
        <v>0</v>
      </c>
      <c r="H11" s="30">
        <v>2000</v>
      </c>
      <c r="I11" s="30">
        <v>0</v>
      </c>
      <c r="J11" s="30"/>
      <c r="K11" s="30">
        <f>SUM(G11:I11)</f>
        <v>2000</v>
      </c>
      <c r="L11" s="38"/>
    </row>
    <row r="12" spans="2:12" ht="16.5" customHeight="1" x14ac:dyDescent="0.35">
      <c r="B12" s="135"/>
      <c r="C12" s="10" t="s">
        <v>20</v>
      </c>
      <c r="D12" s="45">
        <v>4</v>
      </c>
      <c r="E12" s="30">
        <v>0</v>
      </c>
      <c r="F12" s="30">
        <v>400</v>
      </c>
      <c r="G12" s="30">
        <f>D12*E12</f>
        <v>0</v>
      </c>
      <c r="H12" s="30">
        <v>1600</v>
      </c>
      <c r="I12" s="30">
        <v>0</v>
      </c>
      <c r="J12" s="50"/>
      <c r="K12" s="30">
        <f>SUM(G12:I12)</f>
        <v>1600</v>
      </c>
      <c r="L12" s="38"/>
    </row>
    <row r="13" spans="2:12" ht="16.5" customHeight="1" thickBot="1" x14ac:dyDescent="0.4">
      <c r="B13" s="136"/>
      <c r="C13" s="11" t="s">
        <v>9</v>
      </c>
      <c r="D13" s="46"/>
      <c r="E13" s="46"/>
      <c r="F13" s="46"/>
      <c r="G13" s="31">
        <f>SUM(G10:G12)</f>
        <v>8000</v>
      </c>
      <c r="H13" s="31">
        <f>SUM(H10:H12)</f>
        <v>3600</v>
      </c>
      <c r="I13" s="31">
        <f>SUM(I10:I12)</f>
        <v>0</v>
      </c>
      <c r="J13" s="31"/>
      <c r="K13" s="31">
        <f>SUM(K10:K12)</f>
        <v>11600</v>
      </c>
      <c r="L13" s="54">
        <f>K13/K46</f>
        <v>3.3691548068544873E-2</v>
      </c>
    </row>
    <row r="14" spans="2:12" ht="33" customHeight="1" thickBot="1" x14ac:dyDescent="0.5">
      <c r="C14" s="12"/>
      <c r="D14" s="32"/>
      <c r="E14" s="32"/>
      <c r="F14" s="32"/>
      <c r="G14" s="33"/>
      <c r="H14" s="33"/>
      <c r="I14" s="33"/>
      <c r="J14" s="33"/>
      <c r="K14" s="33"/>
      <c r="L14" s="39"/>
    </row>
    <row r="15" spans="2:12" ht="16.5" customHeight="1" x14ac:dyDescent="0.35">
      <c r="B15" s="137" t="s">
        <v>21</v>
      </c>
      <c r="C15" s="9" t="s">
        <v>25</v>
      </c>
      <c r="D15" s="44">
        <v>2</v>
      </c>
      <c r="E15" s="29">
        <v>800</v>
      </c>
      <c r="F15" s="29">
        <v>0</v>
      </c>
      <c r="G15" s="29">
        <v>1600</v>
      </c>
      <c r="H15" s="29">
        <v>0</v>
      </c>
      <c r="I15" s="29">
        <v>0</v>
      </c>
      <c r="J15" s="29"/>
      <c r="K15" s="29">
        <f>SUM(G15:I15)</f>
        <v>1600</v>
      </c>
      <c r="L15" s="37"/>
    </row>
    <row r="16" spans="2:12" ht="16.5" customHeight="1" x14ac:dyDescent="0.35">
      <c r="B16" s="145"/>
      <c r="C16" s="10" t="s">
        <v>22</v>
      </c>
      <c r="D16" s="45">
        <v>5</v>
      </c>
      <c r="E16" s="30">
        <v>0</v>
      </c>
      <c r="F16" s="30">
        <v>400</v>
      </c>
      <c r="G16" s="30">
        <v>0</v>
      </c>
      <c r="H16" s="30">
        <v>2000</v>
      </c>
      <c r="I16" s="30">
        <v>0</v>
      </c>
      <c r="J16" s="30"/>
      <c r="K16" s="30">
        <f>SUM(G16:I16)</f>
        <v>2000</v>
      </c>
      <c r="L16" s="38"/>
    </row>
    <row r="17" spans="2:12" ht="16.5" customHeight="1" x14ac:dyDescent="0.35">
      <c r="B17" s="145"/>
      <c r="C17" s="10" t="s">
        <v>23</v>
      </c>
      <c r="D17" s="45">
        <v>12</v>
      </c>
      <c r="E17" s="30">
        <v>0</v>
      </c>
      <c r="F17" s="30">
        <v>400</v>
      </c>
      <c r="G17" s="30">
        <v>0</v>
      </c>
      <c r="H17" s="30">
        <v>4800</v>
      </c>
      <c r="I17" s="30">
        <v>0</v>
      </c>
      <c r="J17" s="30"/>
      <c r="K17" s="30">
        <f>SUM(G17:I17)</f>
        <v>4800</v>
      </c>
      <c r="L17" s="38"/>
    </row>
    <row r="18" spans="2:12" ht="16.5" customHeight="1" x14ac:dyDescent="0.35">
      <c r="B18" s="145"/>
      <c r="C18" s="10" t="s">
        <v>24</v>
      </c>
      <c r="D18" s="45">
        <v>15</v>
      </c>
      <c r="E18" s="30">
        <v>0</v>
      </c>
      <c r="F18" s="30">
        <v>400</v>
      </c>
      <c r="G18" s="30">
        <v>0</v>
      </c>
      <c r="H18" s="30">
        <v>6000</v>
      </c>
      <c r="I18" s="30">
        <v>0</v>
      </c>
      <c r="J18" s="30"/>
      <c r="K18" s="30">
        <f>SUM(G18:I18)</f>
        <v>6000</v>
      </c>
      <c r="L18" s="38"/>
    </row>
    <row r="19" spans="2:12" ht="16.5" customHeight="1" thickBot="1" x14ac:dyDescent="0.4">
      <c r="B19" s="146"/>
      <c r="C19" s="11" t="s">
        <v>10</v>
      </c>
      <c r="D19" s="46"/>
      <c r="E19" s="46"/>
      <c r="F19" s="46"/>
      <c r="G19" s="31">
        <f>SUM(G15:G18)</f>
        <v>1600</v>
      </c>
      <c r="H19" s="31">
        <f>SUM(H15:H18)</f>
        <v>12800</v>
      </c>
      <c r="I19" s="31">
        <f>SUM(I15:I18)</f>
        <v>0</v>
      </c>
      <c r="J19" s="31"/>
      <c r="K19" s="31">
        <f>SUM(K15:K18)</f>
        <v>14400</v>
      </c>
      <c r="L19" s="54">
        <f>K19/K46</f>
        <v>4.1823990705779843E-2</v>
      </c>
    </row>
    <row r="20" spans="2:12" ht="33" customHeight="1" thickBot="1" x14ac:dyDescent="0.4">
      <c r="D20" s="27"/>
      <c r="E20" s="27"/>
      <c r="F20" s="27"/>
      <c r="G20" s="34"/>
      <c r="H20" s="34"/>
      <c r="I20" s="34"/>
      <c r="J20" s="34"/>
      <c r="K20" s="34"/>
      <c r="L20" s="40"/>
    </row>
    <row r="21" spans="2:12" ht="16.5" customHeight="1" x14ac:dyDescent="0.35">
      <c r="B21" s="147" t="s">
        <v>26</v>
      </c>
      <c r="C21" s="9" t="s">
        <v>27</v>
      </c>
      <c r="D21" s="44">
        <v>4</v>
      </c>
      <c r="E21" s="29">
        <v>800</v>
      </c>
      <c r="F21" s="29">
        <v>0</v>
      </c>
      <c r="G21" s="29">
        <v>3200</v>
      </c>
      <c r="H21" s="29">
        <v>0</v>
      </c>
      <c r="I21" s="29">
        <v>0</v>
      </c>
      <c r="J21" s="29"/>
      <c r="K21" s="29">
        <f t="shared" ref="K21:K26" si="0">SUM(G21:I21)</f>
        <v>3200</v>
      </c>
      <c r="L21" s="37"/>
    </row>
    <row r="22" spans="2:12" ht="16.5" customHeight="1" x14ac:dyDescent="0.35">
      <c r="B22" s="148"/>
      <c r="C22" s="10" t="s">
        <v>28</v>
      </c>
      <c r="D22" s="45">
        <v>3</v>
      </c>
      <c r="E22" s="30">
        <v>0</v>
      </c>
      <c r="F22" s="30">
        <v>400</v>
      </c>
      <c r="G22" s="30">
        <v>0</v>
      </c>
      <c r="H22" s="30">
        <v>1200</v>
      </c>
      <c r="I22" s="30">
        <v>0</v>
      </c>
      <c r="J22" s="30"/>
      <c r="K22" s="30">
        <f t="shared" si="0"/>
        <v>1200</v>
      </c>
      <c r="L22" s="38"/>
    </row>
    <row r="23" spans="2:12" ht="16.5" customHeight="1" x14ac:dyDescent="0.35">
      <c r="B23" s="148"/>
      <c r="C23" s="10" t="s">
        <v>29</v>
      </c>
      <c r="D23" s="45">
        <v>4</v>
      </c>
      <c r="E23" s="30">
        <v>0</v>
      </c>
      <c r="F23" s="30">
        <v>400</v>
      </c>
      <c r="G23" s="30">
        <v>0</v>
      </c>
      <c r="H23" s="30">
        <v>1600</v>
      </c>
      <c r="I23" s="30">
        <v>0</v>
      </c>
      <c r="J23" s="30"/>
      <c r="K23" s="30">
        <f t="shared" si="0"/>
        <v>1600</v>
      </c>
      <c r="L23" s="38"/>
    </row>
    <row r="24" spans="2:12" ht="16.5" customHeight="1" x14ac:dyDescent="0.35">
      <c r="B24" s="148"/>
      <c r="C24" s="10" t="s">
        <v>30</v>
      </c>
      <c r="D24" s="45">
        <v>3</v>
      </c>
      <c r="E24" s="30">
        <v>0</v>
      </c>
      <c r="F24" s="30">
        <v>400</v>
      </c>
      <c r="G24" s="30">
        <v>0</v>
      </c>
      <c r="H24" s="30">
        <v>1200</v>
      </c>
      <c r="I24" s="30">
        <v>0</v>
      </c>
      <c r="J24" s="30"/>
      <c r="K24" s="30">
        <f t="shared" si="0"/>
        <v>1200</v>
      </c>
      <c r="L24" s="38"/>
    </row>
    <row r="25" spans="2:12" ht="16.5" customHeight="1" x14ac:dyDescent="0.35">
      <c r="B25" s="148"/>
      <c r="C25" s="10" t="s">
        <v>31</v>
      </c>
      <c r="D25" s="45">
        <v>5</v>
      </c>
      <c r="E25" s="30">
        <v>0</v>
      </c>
      <c r="F25" s="30">
        <v>400</v>
      </c>
      <c r="G25" s="30">
        <v>0</v>
      </c>
      <c r="H25" s="30">
        <v>2000</v>
      </c>
      <c r="I25" s="30">
        <v>0</v>
      </c>
      <c r="J25" s="30"/>
      <c r="K25" s="30">
        <f t="shared" si="0"/>
        <v>2000</v>
      </c>
      <c r="L25" s="38"/>
    </row>
    <row r="26" spans="2:12" ht="16.5" customHeight="1" x14ac:dyDescent="0.35">
      <c r="B26" s="148"/>
      <c r="C26" s="10" t="s">
        <v>15</v>
      </c>
      <c r="D26" s="45">
        <v>2</v>
      </c>
      <c r="E26" s="30">
        <v>0</v>
      </c>
      <c r="F26" s="30">
        <v>400</v>
      </c>
      <c r="G26" s="30">
        <v>0</v>
      </c>
      <c r="H26" s="30">
        <v>800</v>
      </c>
      <c r="I26" s="30">
        <v>0</v>
      </c>
      <c r="J26" s="30"/>
      <c r="K26" s="30">
        <f t="shared" si="0"/>
        <v>800</v>
      </c>
      <c r="L26" s="38"/>
    </row>
    <row r="27" spans="2:12" ht="16.5" customHeight="1" thickBot="1" x14ac:dyDescent="0.4">
      <c r="B27" s="149"/>
      <c r="C27" s="11" t="s">
        <v>11</v>
      </c>
      <c r="D27" s="46"/>
      <c r="E27" s="46"/>
      <c r="F27" s="46"/>
      <c r="G27" s="31">
        <f>SUM(G21:G26)</f>
        <v>3200</v>
      </c>
      <c r="H27" s="31">
        <f>SUM(H21:H26)</f>
        <v>6800</v>
      </c>
      <c r="I27" s="31">
        <f>SUM(I21:I26)</f>
        <v>0</v>
      </c>
      <c r="J27" s="31"/>
      <c r="K27" s="31">
        <f>SUM(K21:K26)</f>
        <v>10000</v>
      </c>
      <c r="L27" s="54">
        <f>K27/K46</f>
        <v>2.9044437990124891E-2</v>
      </c>
    </row>
    <row r="28" spans="2:12" ht="33" customHeight="1" thickBot="1" x14ac:dyDescent="0.5">
      <c r="C28" s="12"/>
      <c r="D28" s="32"/>
      <c r="E28" s="32"/>
      <c r="F28" s="32"/>
      <c r="G28" s="33"/>
      <c r="H28" s="33"/>
      <c r="I28" s="33"/>
      <c r="J28" s="33"/>
      <c r="K28" s="33"/>
      <c r="L28" s="39"/>
    </row>
    <row r="29" spans="2:12" ht="16.5" customHeight="1" x14ac:dyDescent="0.35">
      <c r="B29" s="150" t="s">
        <v>32</v>
      </c>
      <c r="C29" s="13" t="s">
        <v>33</v>
      </c>
      <c r="D29" s="51">
        <v>3</v>
      </c>
      <c r="E29" s="29">
        <v>1000</v>
      </c>
      <c r="F29" s="29">
        <v>0</v>
      </c>
      <c r="G29" s="29">
        <v>3000</v>
      </c>
      <c r="H29" s="29">
        <v>0</v>
      </c>
      <c r="I29" s="29">
        <v>0</v>
      </c>
      <c r="J29" s="29"/>
      <c r="K29" s="29">
        <f>SUM(G29:I29)</f>
        <v>3000</v>
      </c>
      <c r="L29" s="37"/>
    </row>
    <row r="30" spans="2:12" ht="16.5" customHeight="1" x14ac:dyDescent="0.35">
      <c r="B30" s="151"/>
      <c r="C30" s="14" t="s">
        <v>34</v>
      </c>
      <c r="D30" s="52">
        <v>2</v>
      </c>
      <c r="E30" s="30">
        <v>1000</v>
      </c>
      <c r="F30" s="30">
        <v>0</v>
      </c>
      <c r="G30" s="30">
        <f>D30*E30</f>
        <v>2000</v>
      </c>
      <c r="H30" s="30">
        <v>0</v>
      </c>
      <c r="I30" s="30">
        <v>0</v>
      </c>
      <c r="J30" s="30"/>
      <c r="K30" s="30">
        <f>SUM(G30:I30)</f>
        <v>2000</v>
      </c>
      <c r="L30" s="38"/>
    </row>
    <row r="31" spans="2:12" ht="16.5" customHeight="1" x14ac:dyDescent="0.35">
      <c r="B31" s="151"/>
      <c r="C31" s="14" t="s">
        <v>35</v>
      </c>
      <c r="D31" s="52">
        <v>3</v>
      </c>
      <c r="E31" s="30">
        <v>1000</v>
      </c>
      <c r="F31" s="30">
        <v>0</v>
      </c>
      <c r="G31" s="30">
        <f>D31*E31</f>
        <v>3000</v>
      </c>
      <c r="H31" s="30">
        <v>0</v>
      </c>
      <c r="I31" s="30">
        <v>0</v>
      </c>
      <c r="J31" s="30"/>
      <c r="K31" s="30">
        <f>SUM(G31:I31)</f>
        <v>3000</v>
      </c>
      <c r="L31" s="38"/>
    </row>
    <row r="32" spans="2:12" ht="16.5" customHeight="1" x14ac:dyDescent="0.35">
      <c r="B32" s="151"/>
      <c r="C32" s="14" t="s">
        <v>36</v>
      </c>
      <c r="D32" s="52">
        <v>3</v>
      </c>
      <c r="E32" s="30">
        <v>1000</v>
      </c>
      <c r="F32" s="30">
        <v>0</v>
      </c>
      <c r="G32" s="30">
        <f>D32*E32</f>
        <v>3000</v>
      </c>
      <c r="H32" s="30">
        <v>0</v>
      </c>
      <c r="I32" s="30">
        <v>0</v>
      </c>
      <c r="J32" s="30"/>
      <c r="K32" s="30">
        <f>SUM(G32:I32)</f>
        <v>3000</v>
      </c>
      <c r="L32" s="38"/>
    </row>
    <row r="33" spans="2:12" ht="16.5" customHeight="1" x14ac:dyDescent="0.35">
      <c r="B33" s="151"/>
      <c r="C33" s="14" t="s">
        <v>37</v>
      </c>
      <c r="D33" s="52">
        <v>2</v>
      </c>
      <c r="E33" s="30">
        <v>1000</v>
      </c>
      <c r="F33" s="30">
        <v>0</v>
      </c>
      <c r="G33" s="30">
        <v>2000</v>
      </c>
      <c r="H33" s="30">
        <v>0</v>
      </c>
      <c r="I33" s="30">
        <v>0</v>
      </c>
      <c r="J33" s="50"/>
      <c r="K33" s="30">
        <f>SUM(G33:I33)</f>
        <v>2000</v>
      </c>
      <c r="L33" s="38"/>
    </row>
    <row r="34" spans="2:12" ht="16.5" customHeight="1" thickBot="1" x14ac:dyDescent="0.4">
      <c r="B34" s="152"/>
      <c r="C34" s="11" t="s">
        <v>12</v>
      </c>
      <c r="D34" s="46"/>
      <c r="E34" s="46"/>
      <c r="F34" s="46"/>
      <c r="G34" s="31">
        <f>SUM(G29:G33)</f>
        <v>13000</v>
      </c>
      <c r="H34" s="31">
        <f>SUM(H29:H33)</f>
        <v>0</v>
      </c>
      <c r="I34" s="31">
        <f>SUM(I29:I31)</f>
        <v>0</v>
      </c>
      <c r="J34" s="31"/>
      <c r="K34" s="31">
        <f>SUM(K29:K33)</f>
        <v>13000</v>
      </c>
      <c r="L34" s="54">
        <f>K34/K46</f>
        <v>3.7757769387162361E-2</v>
      </c>
    </row>
    <row r="35" spans="2:12" ht="33" customHeight="1" thickBot="1" x14ac:dyDescent="0.5">
      <c r="C35" s="12"/>
      <c r="D35" s="32"/>
      <c r="E35" s="32"/>
      <c r="F35" s="32"/>
      <c r="G35" s="33"/>
      <c r="H35" s="33"/>
      <c r="I35" s="33"/>
      <c r="J35" s="33"/>
      <c r="K35" s="33"/>
      <c r="L35" s="39"/>
    </row>
    <row r="36" spans="2:12" ht="19.149999999999999" customHeight="1" x14ac:dyDescent="0.35">
      <c r="B36" s="150" t="s">
        <v>40</v>
      </c>
      <c r="C36" s="13" t="s">
        <v>38</v>
      </c>
      <c r="D36" s="51">
        <v>5</v>
      </c>
      <c r="E36" s="53">
        <v>0</v>
      </c>
      <c r="F36" s="53">
        <v>400</v>
      </c>
      <c r="G36" s="29">
        <v>0</v>
      </c>
      <c r="H36" s="29">
        <v>2000</v>
      </c>
      <c r="I36" s="29">
        <v>0</v>
      </c>
      <c r="J36" s="29"/>
      <c r="K36" s="29">
        <f>SUM(G36:I36)</f>
        <v>2000</v>
      </c>
      <c r="L36" s="37"/>
    </row>
    <row r="37" spans="2:12" ht="20.25" customHeight="1" x14ac:dyDescent="0.35">
      <c r="B37" s="151"/>
      <c r="C37" s="14" t="s">
        <v>39</v>
      </c>
      <c r="D37" s="52">
        <v>4</v>
      </c>
      <c r="E37" s="30">
        <v>0</v>
      </c>
      <c r="F37" s="30">
        <v>400</v>
      </c>
      <c r="G37" s="30">
        <v>0</v>
      </c>
      <c r="H37" s="30">
        <v>1600</v>
      </c>
      <c r="I37" s="30">
        <v>0</v>
      </c>
      <c r="J37" s="30"/>
      <c r="K37" s="30">
        <f>SUM(G37:I37)</f>
        <v>1600</v>
      </c>
      <c r="L37" s="38"/>
    </row>
    <row r="38" spans="2:12" ht="16.5" customHeight="1" x14ac:dyDescent="0.35">
      <c r="B38" s="151"/>
      <c r="C38" s="14" t="s">
        <v>42</v>
      </c>
      <c r="D38" s="52">
        <v>1</v>
      </c>
      <c r="E38" s="30">
        <v>1800</v>
      </c>
      <c r="F38" s="30">
        <v>0</v>
      </c>
      <c r="G38" s="30">
        <v>1800</v>
      </c>
      <c r="H38" s="30">
        <v>0</v>
      </c>
      <c r="I38" s="30">
        <v>0</v>
      </c>
      <c r="J38" s="30"/>
      <c r="K38" s="30">
        <f>SUM(G38:I38)</f>
        <v>1800</v>
      </c>
      <c r="L38" s="38"/>
    </row>
    <row r="39" spans="2:12" ht="16.5" customHeight="1" x14ac:dyDescent="0.35">
      <c r="B39" s="151"/>
      <c r="C39" s="14" t="s">
        <v>46</v>
      </c>
      <c r="D39" s="52">
        <v>15</v>
      </c>
      <c r="E39" s="30">
        <v>0</v>
      </c>
      <c r="F39" s="30">
        <v>400</v>
      </c>
      <c r="G39" s="30">
        <v>0</v>
      </c>
      <c r="H39" s="30">
        <v>6000</v>
      </c>
      <c r="I39" s="30">
        <v>0</v>
      </c>
      <c r="J39" s="50"/>
      <c r="K39" s="30">
        <f>SUM(G39:I39)</f>
        <v>6000</v>
      </c>
      <c r="L39" s="38"/>
    </row>
    <row r="40" spans="2:12" ht="16.5" customHeight="1" thickBot="1" x14ac:dyDescent="0.4">
      <c r="B40" s="152"/>
      <c r="C40" s="11" t="s">
        <v>12</v>
      </c>
      <c r="D40" s="46"/>
      <c r="E40" s="46"/>
      <c r="F40" s="46"/>
      <c r="G40" s="31">
        <f>SUM(G36:G39)</f>
        <v>1800</v>
      </c>
      <c r="H40" s="31">
        <f>SUM(H36:H39)</f>
        <v>9600</v>
      </c>
      <c r="I40" s="31">
        <f>SUM(I36:I39)</f>
        <v>0</v>
      </c>
      <c r="J40" s="31"/>
      <c r="K40" s="31">
        <f>SUM(K36:K39)</f>
        <v>11400</v>
      </c>
      <c r="L40" s="54">
        <f>K40/K46</f>
        <v>3.3110659308742373E-2</v>
      </c>
    </row>
    <row r="41" spans="2:12" ht="33.75" customHeight="1" thickBot="1" x14ac:dyDescent="0.5">
      <c r="C41" s="12"/>
      <c r="D41" s="32"/>
      <c r="E41" s="32"/>
      <c r="F41" s="32"/>
      <c r="G41" s="33"/>
      <c r="H41" s="33"/>
      <c r="I41" s="33"/>
      <c r="J41" s="33"/>
      <c r="K41" s="33"/>
      <c r="L41" s="39"/>
    </row>
    <row r="42" spans="2:12" ht="16.5" customHeight="1" x14ac:dyDescent="0.35">
      <c r="B42" s="15" t="s">
        <v>128</v>
      </c>
      <c r="C42" s="16"/>
      <c r="D42" s="47"/>
      <c r="E42" s="47"/>
      <c r="F42" s="47"/>
      <c r="G42" s="35">
        <f>SUM(G8,G13,G19,G27,G34,G40)</f>
        <v>38800</v>
      </c>
      <c r="H42" s="35">
        <f>SUM(H8,H13,H19,H27,H34,H40)</f>
        <v>40800</v>
      </c>
      <c r="I42" s="35">
        <f>SUM(I8,I13,I19,I27,I34,I40)</f>
        <v>0</v>
      </c>
      <c r="J42" s="35"/>
      <c r="K42" s="35">
        <f>SUM(K8,K13,K19,K27,K34,K40)</f>
        <v>79600</v>
      </c>
      <c r="L42" s="41"/>
    </row>
    <row r="43" spans="2:12" s="116" customFormat="1" ht="16.5" customHeight="1" x14ac:dyDescent="0.35">
      <c r="B43" s="104" t="s">
        <v>164</v>
      </c>
      <c r="C43" s="100"/>
      <c r="D43" s="129">
        <f>SUM(D10:D12,D5:D7,D15:D18,D21:D26,D29:D33,D29:D33,D36:D39)</f>
        <v>133</v>
      </c>
      <c r="E43" s="120">
        <v>900</v>
      </c>
      <c r="F43" s="120">
        <f>200*5</f>
        <v>1000</v>
      </c>
      <c r="G43" s="102">
        <f>D43*E43</f>
        <v>119700</v>
      </c>
      <c r="H43" s="102">
        <f>D43*F43</f>
        <v>133000</v>
      </c>
      <c r="I43" s="102">
        <v>0</v>
      </c>
      <c r="J43" s="102"/>
      <c r="K43" s="102">
        <f>SUM(G43:I43)</f>
        <v>252700</v>
      </c>
      <c r="L43" s="103"/>
    </row>
    <row r="44" spans="2:12" ht="16.5" customHeight="1" x14ac:dyDescent="0.35">
      <c r="B44" s="104" t="s">
        <v>127</v>
      </c>
      <c r="C44" s="100"/>
      <c r="D44" s="101"/>
      <c r="E44" s="101"/>
      <c r="F44" s="101"/>
      <c r="G44" s="102"/>
      <c r="H44" s="102"/>
      <c r="I44" s="102">
        <v>10000</v>
      </c>
      <c r="J44" s="102"/>
      <c r="K44" s="102">
        <v>10000</v>
      </c>
      <c r="L44" s="103"/>
    </row>
    <row r="45" spans="2:12" ht="16.5" customHeight="1" x14ac:dyDescent="0.35">
      <c r="B45" s="17" t="s">
        <v>192</v>
      </c>
      <c r="C45" s="18"/>
      <c r="D45" s="48"/>
      <c r="E45" s="48"/>
      <c r="F45" s="48"/>
      <c r="G45" s="102"/>
      <c r="H45" s="102"/>
      <c r="I45" s="102">
        <v>2000</v>
      </c>
      <c r="J45" s="102"/>
      <c r="K45" s="102">
        <v>2000</v>
      </c>
      <c r="L45" s="103"/>
    </row>
    <row r="46" spans="2:12" ht="16.5" customHeight="1" thickBot="1" x14ac:dyDescent="0.4">
      <c r="B46" s="19" t="s">
        <v>129</v>
      </c>
      <c r="C46" s="20"/>
      <c r="D46" s="49"/>
      <c r="E46" s="49"/>
      <c r="F46" s="49"/>
      <c r="G46" s="36">
        <f>SUM(G42:G45)</f>
        <v>158500</v>
      </c>
      <c r="H46" s="36">
        <f>SUM(H42:H45)</f>
        <v>173800</v>
      </c>
      <c r="I46" s="36">
        <f>SUM(I42:I45)</f>
        <v>12000</v>
      </c>
      <c r="J46" s="36"/>
      <c r="K46" s="36">
        <f>SUM(K42:K45)</f>
        <v>344300</v>
      </c>
      <c r="L46" s="42"/>
    </row>
    <row r="47" spans="2:12" ht="16.5" customHeight="1" x14ac:dyDescent="0.35">
      <c r="D47" s="27"/>
      <c r="E47" s="27"/>
      <c r="F47" s="27"/>
    </row>
    <row r="51" spans="10:10" ht="16.5" customHeight="1" x14ac:dyDescent="0.35">
      <c r="J51" s="95"/>
    </row>
  </sheetData>
  <mergeCells count="6">
    <mergeCell ref="B36:B40"/>
    <mergeCell ref="B29:B34"/>
    <mergeCell ref="B15:B19"/>
    <mergeCell ref="B21:B27"/>
    <mergeCell ref="B5:B8"/>
    <mergeCell ref="B10:B13"/>
  </mergeCells>
  <phoneticPr fontId="4" type="noConversion"/>
  <pageMargins left="0.7" right="0.7" top="0.75" bottom="0.75" header="0.3" footer="0.3"/>
  <pageSetup scale="68" fitToHeight="0" orientation="portrait" r:id="rId1"/>
  <ignoredErrors>
    <ignoredError sqref="K6 K7 K10 K11:K12 K15:K18 I34 K21:K26 K29:K33 K36:K37 K38:K39" formulaRange="1"/>
  </ignoredErrors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664F-8D73-440F-859F-821E5F43C804}">
  <sheetPr>
    <tabColor theme="2" tint="-0.499984740745262"/>
    <pageSetUpPr autoPageBreaks="0" fitToPage="1"/>
  </sheetPr>
  <dimension ref="A1:K20"/>
  <sheetViews>
    <sheetView showGridLines="0" zoomScale="85" zoomScaleNormal="85" workbookViewId="0">
      <selection activeCell="G37" sqref="G37"/>
    </sheetView>
  </sheetViews>
  <sheetFormatPr defaultColWidth="9.15234375" defaultRowHeight="16.5" customHeight="1" x14ac:dyDescent="0.35"/>
  <cols>
    <col min="1" max="1" width="2.69140625" style="3" customWidth="1"/>
    <col min="2" max="2" width="22.15234375" style="3" customWidth="1"/>
    <col min="3" max="4" width="30.69140625" style="3" customWidth="1"/>
    <col min="5" max="5" width="30.69140625" style="27" customWidth="1"/>
    <col min="6" max="6" width="30.69140625" style="3" customWidth="1"/>
    <col min="7" max="7" width="35.23046875" style="3" customWidth="1"/>
    <col min="8" max="8" width="36.07421875" style="3" customWidth="1"/>
    <col min="9" max="11" width="2.69140625" style="3" customWidth="1"/>
    <col min="12" max="16384" width="9.15234375" style="3"/>
  </cols>
  <sheetData>
    <row r="1" spans="1:11" ht="6.75" customHeight="1" x14ac:dyDescent="0.35">
      <c r="B1" s="1"/>
      <c r="C1" s="1"/>
      <c r="D1" s="1"/>
      <c r="E1" s="21"/>
      <c r="F1" s="1"/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</row>
    <row r="2" spans="1:11" ht="42" customHeight="1" x14ac:dyDescent="1.3">
      <c r="A2" s="6" t="s">
        <v>125</v>
      </c>
      <c r="C2" s="22"/>
      <c r="D2" s="22"/>
      <c r="E2" s="23"/>
      <c r="F2" s="22"/>
    </row>
    <row r="3" spans="1:11" ht="11.65" customHeight="1" x14ac:dyDescent="0.35"/>
    <row r="4" spans="1:11" ht="32.25" customHeight="1" x14ac:dyDescent="0.35">
      <c r="B4" s="24" t="s">
        <v>51</v>
      </c>
      <c r="C4" s="24" t="s">
        <v>45</v>
      </c>
      <c r="D4" s="24" t="s">
        <v>43</v>
      </c>
      <c r="E4" s="24" t="s">
        <v>104</v>
      </c>
      <c r="F4" s="24" t="s">
        <v>105</v>
      </c>
      <c r="G4" s="24" t="s">
        <v>88</v>
      </c>
      <c r="H4" s="24" t="s">
        <v>106</v>
      </c>
    </row>
    <row r="5" spans="1:11" ht="16.5" customHeight="1" x14ac:dyDescent="0.35">
      <c r="B5" s="25">
        <v>1</v>
      </c>
      <c r="C5" s="26">
        <v>32500</v>
      </c>
      <c r="D5" s="26">
        <v>28800</v>
      </c>
      <c r="E5" s="26">
        <v>32500</v>
      </c>
      <c r="F5" s="26">
        <v>28800</v>
      </c>
      <c r="G5" s="93">
        <v>38280</v>
      </c>
      <c r="H5" s="93">
        <f>tblCosts32[[#This Row],[EV]]</f>
        <v>38280</v>
      </c>
    </row>
    <row r="6" spans="1:11" ht="16.5" customHeight="1" x14ac:dyDescent="0.35">
      <c r="B6" s="25">
        <v>2</v>
      </c>
      <c r="C6" s="26">
        <v>18900</v>
      </c>
      <c r="D6" s="26">
        <v>18900</v>
      </c>
      <c r="E6" s="26">
        <v>51400</v>
      </c>
      <c r="F6" s="26">
        <v>47700</v>
      </c>
      <c r="G6" s="93">
        <v>18900</v>
      </c>
      <c r="H6" s="93">
        <f>H5+tblCosts32[[#This Row],[EV]]</f>
        <v>57180</v>
      </c>
    </row>
    <row r="7" spans="1:11" ht="16.5" customHeight="1" x14ac:dyDescent="0.35">
      <c r="B7" s="25">
        <v>3</v>
      </c>
      <c r="C7" s="26">
        <v>17100</v>
      </c>
      <c r="D7" s="26">
        <v>18100</v>
      </c>
      <c r="E7" s="26">
        <v>68500</v>
      </c>
      <c r="F7" s="26">
        <v>65800</v>
      </c>
      <c r="G7" s="93">
        <v>18620</v>
      </c>
      <c r="H7" s="93">
        <f>H6+tblCosts32[[#This Row],[EV]]</f>
        <v>75800</v>
      </c>
    </row>
    <row r="8" spans="1:11" ht="16.5" customHeight="1" x14ac:dyDescent="0.35">
      <c r="B8" s="25">
        <v>4</v>
      </c>
      <c r="C8" s="26">
        <v>16900</v>
      </c>
      <c r="D8" s="26">
        <v>16100</v>
      </c>
      <c r="E8" s="26">
        <v>85400</v>
      </c>
      <c r="F8" s="26">
        <v>81900</v>
      </c>
      <c r="G8" s="93">
        <v>12420</v>
      </c>
      <c r="H8" s="93">
        <f>H7+tblCosts32[[#This Row],[EV]]</f>
        <v>88220</v>
      </c>
    </row>
    <row r="9" spans="1:11" ht="16.5" customHeight="1" x14ac:dyDescent="0.35">
      <c r="B9" s="25">
        <v>5</v>
      </c>
      <c r="C9" s="26">
        <v>16100</v>
      </c>
      <c r="D9" s="26">
        <v>17300</v>
      </c>
      <c r="E9" s="26">
        <v>101500</v>
      </c>
      <c r="F9" s="26">
        <v>99200</v>
      </c>
      <c r="G9" s="93">
        <v>16840</v>
      </c>
      <c r="H9" s="93">
        <f>H8+tblCosts32[[#This Row],[EV]]</f>
        <v>105060</v>
      </c>
    </row>
    <row r="10" spans="1:11" ht="16.5" customHeight="1" x14ac:dyDescent="0.35">
      <c r="B10" s="25">
        <v>6</v>
      </c>
      <c r="C10" s="26">
        <v>16100</v>
      </c>
      <c r="D10" s="26">
        <v>16100</v>
      </c>
      <c r="E10" s="26">
        <v>117600</v>
      </c>
      <c r="F10" s="26">
        <v>115300</v>
      </c>
      <c r="G10" s="93">
        <v>14950</v>
      </c>
      <c r="H10" s="93">
        <f>H9+tblCosts32[[#This Row],[EV]]</f>
        <v>120010</v>
      </c>
    </row>
    <row r="11" spans="1:11" ht="16.5" customHeight="1" x14ac:dyDescent="0.35">
      <c r="B11" s="25">
        <v>7</v>
      </c>
      <c r="C11" s="26">
        <v>16100</v>
      </c>
      <c r="D11" s="26">
        <v>16100</v>
      </c>
      <c r="E11" s="26">
        <v>133700</v>
      </c>
      <c r="F11" s="26">
        <v>131400</v>
      </c>
      <c r="G11" s="93">
        <v>15065</v>
      </c>
      <c r="H11" s="93">
        <f>H10+tblCosts32[[#This Row],[EV]]</f>
        <v>135075</v>
      </c>
    </row>
    <row r="12" spans="1:11" ht="16.5" customHeight="1" x14ac:dyDescent="0.35">
      <c r="B12" s="25">
        <v>8</v>
      </c>
      <c r="C12" s="26">
        <v>16100</v>
      </c>
      <c r="D12" s="26"/>
      <c r="E12" s="26">
        <v>149800</v>
      </c>
      <c r="F12" s="26"/>
      <c r="G12" s="93"/>
      <c r="H12" s="93"/>
    </row>
    <row r="13" spans="1:11" ht="16.5" customHeight="1" x14ac:dyDescent="0.35">
      <c r="B13" s="25">
        <v>9</v>
      </c>
      <c r="C13" s="26">
        <v>18100</v>
      </c>
      <c r="D13" s="26"/>
      <c r="E13" s="26">
        <v>167900</v>
      </c>
      <c r="F13" s="26"/>
      <c r="G13" s="93"/>
      <c r="H13" s="93"/>
    </row>
    <row r="14" spans="1:11" ht="16.5" customHeight="1" x14ac:dyDescent="0.35">
      <c r="B14" s="25">
        <v>10</v>
      </c>
      <c r="C14" s="26">
        <v>16100</v>
      </c>
      <c r="D14" s="26"/>
      <c r="E14" s="26">
        <v>184000</v>
      </c>
      <c r="F14" s="26"/>
      <c r="G14" s="93"/>
      <c r="H14" s="93"/>
    </row>
    <row r="15" spans="1:11" ht="16.5" customHeight="1" x14ac:dyDescent="0.35">
      <c r="B15" s="25">
        <v>11</v>
      </c>
      <c r="C15" s="26">
        <v>16500</v>
      </c>
      <c r="D15" s="26"/>
      <c r="E15" s="26">
        <v>200500</v>
      </c>
      <c r="F15" s="26"/>
      <c r="G15" s="93"/>
      <c r="H15" s="93"/>
    </row>
    <row r="16" spans="1:11" ht="16.5" customHeight="1" x14ac:dyDescent="0.35">
      <c r="B16" s="25">
        <v>12</v>
      </c>
      <c r="C16" s="26">
        <v>19100</v>
      </c>
      <c r="D16" s="26"/>
      <c r="E16" s="26">
        <v>219600</v>
      </c>
      <c r="F16" s="26"/>
      <c r="G16" s="93"/>
      <c r="H16" s="93"/>
    </row>
    <row r="17" spans="2:8" ht="16.5" customHeight="1" x14ac:dyDescent="0.35">
      <c r="B17" s="25">
        <v>13</v>
      </c>
      <c r="C17" s="26">
        <v>21300</v>
      </c>
      <c r="D17" s="26"/>
      <c r="E17" s="26">
        <v>240900</v>
      </c>
      <c r="F17" s="26"/>
      <c r="G17" s="93"/>
      <c r="H17" s="93"/>
    </row>
    <row r="18" spans="2:8" ht="16.5" customHeight="1" x14ac:dyDescent="0.35">
      <c r="B18" s="25">
        <v>14</v>
      </c>
      <c r="C18" s="26">
        <v>16100</v>
      </c>
      <c r="D18" s="26"/>
      <c r="E18" s="26">
        <v>257000</v>
      </c>
      <c r="F18" s="26"/>
      <c r="G18" s="93"/>
      <c r="H18" s="93"/>
    </row>
    <row r="19" spans="2:8" ht="16.5" customHeight="1" x14ac:dyDescent="0.35">
      <c r="B19" s="25">
        <v>15</v>
      </c>
      <c r="C19" s="26">
        <v>18100</v>
      </c>
      <c r="D19" s="26"/>
      <c r="E19" s="26">
        <v>275100</v>
      </c>
      <c r="F19" s="26"/>
      <c r="G19" s="93"/>
      <c r="H19" s="93"/>
    </row>
    <row r="20" spans="2:8" ht="16.5" customHeight="1" x14ac:dyDescent="0.35">
      <c r="B20" s="25">
        <v>16</v>
      </c>
      <c r="C20" s="26">
        <v>17300</v>
      </c>
      <c r="D20" s="26"/>
      <c r="E20" s="26">
        <v>292400</v>
      </c>
      <c r="F20" s="26"/>
      <c r="G20" s="93"/>
      <c r="H20" s="93"/>
    </row>
  </sheetData>
  <phoneticPr fontId="4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drawing r:id="rId2"/>
  <picture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0306-BEC8-4454-9E0E-E7945DBA9082}">
  <sheetPr>
    <tabColor theme="7"/>
    <pageSetUpPr autoPageBreaks="0" fitToPage="1"/>
  </sheetPr>
  <dimension ref="A1:J20"/>
  <sheetViews>
    <sheetView showGridLines="0" topLeftCell="A42" workbookViewId="0">
      <selection activeCell="I10" sqref="I10"/>
    </sheetView>
  </sheetViews>
  <sheetFormatPr defaultColWidth="9.15234375" defaultRowHeight="16.5" customHeight="1" x14ac:dyDescent="0.35"/>
  <cols>
    <col min="1" max="1" width="2.69140625" style="3" customWidth="1"/>
    <col min="2" max="2" width="22.15234375" style="3" customWidth="1"/>
    <col min="3" max="4" width="30.69140625" style="3" customWidth="1"/>
    <col min="5" max="5" width="30.69140625" style="27" customWidth="1"/>
    <col min="6" max="6" width="30.69140625" style="3" customWidth="1"/>
    <col min="7" max="7" width="2.69140625" style="3" customWidth="1"/>
    <col min="8" max="8" width="9.15234375" style="3"/>
    <col min="9" max="9" width="12" style="3" bestFit="1" customWidth="1"/>
    <col min="10" max="10" width="11.4609375" style="3" bestFit="1" customWidth="1"/>
    <col min="11" max="16384" width="9.15234375" style="3"/>
  </cols>
  <sheetData>
    <row r="1" spans="1:10" ht="6.75" customHeight="1" x14ac:dyDescent="0.35">
      <c r="B1" s="1"/>
      <c r="C1" s="1"/>
      <c r="D1" s="1"/>
      <c r="E1" s="21"/>
      <c r="F1" s="1"/>
      <c r="G1" s="3" t="s">
        <v>0</v>
      </c>
    </row>
    <row r="2" spans="1:10" ht="42" customHeight="1" x14ac:dyDescent="1.3">
      <c r="A2" s="6" t="s">
        <v>44</v>
      </c>
      <c r="C2" s="22"/>
      <c r="D2" s="22"/>
      <c r="E2" s="23"/>
      <c r="F2" s="22"/>
    </row>
    <row r="3" spans="1:10" ht="11.65" customHeight="1" x14ac:dyDescent="0.35">
      <c r="E3" s="117" t="s">
        <v>165</v>
      </c>
      <c r="F3" s="118">
        <f>1900*7</f>
        <v>13300</v>
      </c>
    </row>
    <row r="4" spans="1:10" ht="32.25" customHeight="1" x14ac:dyDescent="0.35">
      <c r="B4" s="24" t="s">
        <v>51</v>
      </c>
      <c r="C4" s="24" t="s">
        <v>45</v>
      </c>
      <c r="D4" s="24" t="s">
        <v>43</v>
      </c>
      <c r="E4" s="24" t="s">
        <v>49</v>
      </c>
      <c r="F4" s="24" t="s">
        <v>50</v>
      </c>
    </row>
    <row r="5" spans="1:10" ht="16.5" customHeight="1" x14ac:dyDescent="0.35">
      <c r="B5" s="25">
        <v>1</v>
      </c>
      <c r="C5" s="26">
        <f>19200+13300</f>
        <v>32500</v>
      </c>
      <c r="D5" s="26">
        <f>15500+13300</f>
        <v>28800</v>
      </c>
      <c r="E5" s="26">
        <f>tblCosts3[[#This Row],[Estimated Cost]]</f>
        <v>32500</v>
      </c>
      <c r="F5" s="26">
        <f>tblCosts3[[#This Row],[Actual Cost]]</f>
        <v>28800</v>
      </c>
    </row>
    <row r="6" spans="1:10" ht="16.5" customHeight="1" x14ac:dyDescent="0.35">
      <c r="B6" s="25">
        <v>2</v>
      </c>
      <c r="C6" s="26">
        <f>5600+13300</f>
        <v>18900</v>
      </c>
      <c r="D6" s="26">
        <f>5600+13300</f>
        <v>18900</v>
      </c>
      <c r="E6" s="26">
        <f>C5+tblCosts3[[#This Row],[Estimated Cost]]</f>
        <v>51400</v>
      </c>
      <c r="F6" s="26">
        <f>F5+tblCosts3[[#This Row],[Actual Cost]]</f>
        <v>47700</v>
      </c>
    </row>
    <row r="7" spans="1:10" ht="16.5" customHeight="1" x14ac:dyDescent="0.35">
      <c r="B7" s="25">
        <v>3</v>
      </c>
      <c r="C7" s="26">
        <f>3800+13300</f>
        <v>17100</v>
      </c>
      <c r="D7" s="26">
        <f>4800+13300</f>
        <v>18100</v>
      </c>
      <c r="E7" s="26">
        <f>E6+tblCosts3[[#This Row],[Estimated Cost]]</f>
        <v>68500</v>
      </c>
      <c r="F7" s="26">
        <f>F6+tblCosts3[[#This Row],[Actual Cost]]</f>
        <v>65800</v>
      </c>
    </row>
    <row r="8" spans="1:10" ht="16.5" customHeight="1" x14ac:dyDescent="0.35">
      <c r="B8" s="25">
        <v>4</v>
      </c>
      <c r="C8" s="26">
        <f>3600+13300</f>
        <v>16900</v>
      </c>
      <c r="D8" s="26">
        <f>2800+13300</f>
        <v>16100</v>
      </c>
      <c r="E8" s="26">
        <f>E7+tblCosts3[[#This Row],[Estimated Cost]]</f>
        <v>85400</v>
      </c>
      <c r="F8" s="26">
        <f>F7+tblCosts3[[#This Row],[Actual Cost]]</f>
        <v>81900</v>
      </c>
      <c r="I8" s="113"/>
    </row>
    <row r="9" spans="1:10" ht="16.5" customHeight="1" x14ac:dyDescent="0.35">
      <c r="B9" s="25">
        <v>5</v>
      </c>
      <c r="C9" s="26">
        <f>2800+13300</f>
        <v>16100</v>
      </c>
      <c r="D9" s="26">
        <f>4000+13300</f>
        <v>17300</v>
      </c>
      <c r="E9" s="26">
        <f>E8+tblCosts3[[#This Row],[Estimated Cost]]</f>
        <v>101500</v>
      </c>
      <c r="F9" s="26">
        <f>F8+tblCosts3[[#This Row],[Actual Cost]]</f>
        <v>99200</v>
      </c>
    </row>
    <row r="10" spans="1:10" ht="16.5" customHeight="1" x14ac:dyDescent="0.35">
      <c r="B10" s="25">
        <v>6</v>
      </c>
      <c r="C10" s="26">
        <f>2800+13300</f>
        <v>16100</v>
      </c>
      <c r="D10" s="26">
        <f>2800+13300</f>
        <v>16100</v>
      </c>
      <c r="E10" s="26">
        <f>E9+tblCosts3[[#This Row],[Estimated Cost]]</f>
        <v>117600</v>
      </c>
      <c r="F10" s="26">
        <f>F9+tblCosts3[[#This Row],[Actual Cost]]</f>
        <v>115300</v>
      </c>
    </row>
    <row r="11" spans="1:10" ht="16.5" customHeight="1" x14ac:dyDescent="0.35">
      <c r="B11" s="25">
        <v>7</v>
      </c>
      <c r="C11" s="26">
        <f>2800+13300</f>
        <v>16100</v>
      </c>
      <c r="D11" s="26">
        <f>2800+13300</f>
        <v>16100</v>
      </c>
      <c r="E11" s="26">
        <f>E10+tblCosts3[[#This Row],[Estimated Cost]]</f>
        <v>133700</v>
      </c>
      <c r="F11" s="26">
        <f>F10+tblCosts3[[#This Row],[Actual Cost]]</f>
        <v>131400</v>
      </c>
    </row>
    <row r="12" spans="1:10" ht="16.5" customHeight="1" x14ac:dyDescent="0.35">
      <c r="B12" s="25">
        <v>8</v>
      </c>
      <c r="C12" s="26">
        <f>2800+13300</f>
        <v>16100</v>
      </c>
      <c r="D12" s="26">
        <f>2800+13300</f>
        <v>16100</v>
      </c>
      <c r="E12" s="26">
        <f>E11+tblCosts3[[#This Row],[Estimated Cost]]</f>
        <v>149800</v>
      </c>
      <c r="F12" s="26">
        <f>F11+tblCosts3[[#This Row],[Actual Cost]]</f>
        <v>147500</v>
      </c>
      <c r="I12" s="95"/>
      <c r="J12" s="95"/>
    </row>
    <row r="13" spans="1:10" ht="16.5" customHeight="1" x14ac:dyDescent="0.35">
      <c r="B13" s="25">
        <v>9</v>
      </c>
      <c r="C13" s="26">
        <f>4800+13300</f>
        <v>18100</v>
      </c>
      <c r="D13" s="26">
        <f>4000+13300</f>
        <v>17300</v>
      </c>
      <c r="E13" s="26">
        <f>E12+tblCosts3[[#This Row],[Estimated Cost]]</f>
        <v>167900</v>
      </c>
      <c r="F13" s="26">
        <f>F12+tblCosts3[[#This Row],[Actual Cost]]</f>
        <v>164800</v>
      </c>
    </row>
    <row r="14" spans="1:10" ht="16.5" customHeight="1" x14ac:dyDescent="0.35">
      <c r="B14" s="25">
        <v>10</v>
      </c>
      <c r="C14" s="26">
        <f>2800+13300</f>
        <v>16100</v>
      </c>
      <c r="D14" s="26">
        <f>2800+13300</f>
        <v>16100</v>
      </c>
      <c r="E14" s="26">
        <f>E13+tblCosts3[[#This Row],[Estimated Cost]]</f>
        <v>184000</v>
      </c>
      <c r="F14" s="26">
        <f>F13+tblCosts3[[#This Row],[Actual Cost]]</f>
        <v>180900</v>
      </c>
    </row>
    <row r="15" spans="1:10" ht="16.5" customHeight="1" x14ac:dyDescent="0.35">
      <c r="B15" s="25">
        <v>11</v>
      </c>
      <c r="C15" s="26">
        <f>3200+13300</f>
        <v>16500</v>
      </c>
      <c r="D15" s="26">
        <f>2800+13300</f>
        <v>16100</v>
      </c>
      <c r="E15" s="26">
        <f>E14+tblCosts3[[#This Row],[Estimated Cost]]</f>
        <v>200500</v>
      </c>
      <c r="F15" s="26">
        <f>F14+tblCosts3[[#This Row],[Actual Cost]]</f>
        <v>197000</v>
      </c>
    </row>
    <row r="16" spans="1:10" ht="16.5" customHeight="1" x14ac:dyDescent="0.35">
      <c r="B16" s="25">
        <v>12</v>
      </c>
      <c r="C16" s="26">
        <f>5800+13300</f>
        <v>19100</v>
      </c>
      <c r="D16" s="26">
        <f>7000+13300</f>
        <v>20300</v>
      </c>
      <c r="E16" s="26">
        <f>E15+tblCosts3[[#This Row],[Estimated Cost]]</f>
        <v>219600</v>
      </c>
      <c r="F16" s="26">
        <f>F15+tblCosts3[[#This Row],[Actual Cost]]</f>
        <v>217300</v>
      </c>
      <c r="I16" s="95"/>
    </row>
    <row r="17" spans="2:9" ht="16.5" customHeight="1" x14ac:dyDescent="0.35">
      <c r="B17" s="25">
        <v>13</v>
      </c>
      <c r="C17" s="26">
        <f>8000+13300</f>
        <v>21300</v>
      </c>
      <c r="D17" s="26">
        <f>7000+13300</f>
        <v>20300</v>
      </c>
      <c r="E17" s="26">
        <f>E16+tblCosts3[[#This Row],[Estimated Cost]]</f>
        <v>240900</v>
      </c>
      <c r="F17" s="26">
        <f>F16+tblCosts3[[#This Row],[Actual Cost]]</f>
        <v>237600</v>
      </c>
    </row>
    <row r="18" spans="2:9" ht="16.5" customHeight="1" x14ac:dyDescent="0.35">
      <c r="B18" s="25">
        <v>14</v>
      </c>
      <c r="C18" s="26">
        <f>2800+13300</f>
        <v>16100</v>
      </c>
      <c r="D18" s="26">
        <f>3400+13300</f>
        <v>16700</v>
      </c>
      <c r="E18" s="26">
        <f>E17+tblCosts3[[#This Row],[Estimated Cost]]</f>
        <v>257000</v>
      </c>
      <c r="F18" s="26">
        <f>F17+tblCosts3[[#This Row],[Actual Cost]]</f>
        <v>254300</v>
      </c>
    </row>
    <row r="19" spans="2:9" ht="16.5" customHeight="1" x14ac:dyDescent="0.35">
      <c r="B19" s="25">
        <v>15</v>
      </c>
      <c r="C19" s="26">
        <f>4800+13300</f>
        <v>18100</v>
      </c>
      <c r="D19" s="26">
        <f>4200+13300</f>
        <v>17500</v>
      </c>
      <c r="E19" s="26">
        <f>E18+tblCosts3[[#This Row],[Estimated Cost]]</f>
        <v>275100</v>
      </c>
      <c r="F19" s="26">
        <f>F18+tblCosts3[[#This Row],[Actual Cost]]</f>
        <v>271800</v>
      </c>
    </row>
    <row r="20" spans="2:9" ht="16.5" customHeight="1" x14ac:dyDescent="0.35">
      <c r="B20" s="25">
        <v>16</v>
      </c>
      <c r="C20" s="26">
        <f>4000+13300</f>
        <v>17300</v>
      </c>
      <c r="D20" s="26">
        <f>7000+13300</f>
        <v>20300</v>
      </c>
      <c r="E20" s="26">
        <f>E19+tblCosts3[[#This Row],[Estimated Cost]]</f>
        <v>292400</v>
      </c>
      <c r="F20" s="26">
        <f>F19+tblCosts3[[#This Row],[Actual Cost]]</f>
        <v>292100</v>
      </c>
      <c r="I20" s="95"/>
    </row>
  </sheetData>
  <phoneticPr fontId="4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ignoredErrors>
    <ignoredError sqref="C13:D13 D9" formula="1"/>
  </ignoredErrors>
  <drawing r:id="rId2"/>
  <picture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DF3B-20AB-4B00-A98C-68126B95D42A}">
  <sheetPr>
    <tabColor theme="5" tint="0.59999389629810485"/>
    <pageSetUpPr autoPageBreaks="0" fitToPage="1"/>
  </sheetPr>
  <dimension ref="B1:J26"/>
  <sheetViews>
    <sheetView showGridLines="0" workbookViewId="0">
      <selection activeCell="I27" sqref="I27"/>
    </sheetView>
  </sheetViews>
  <sheetFormatPr defaultColWidth="9.15234375" defaultRowHeight="16.5" customHeight="1" x14ac:dyDescent="0.35"/>
  <cols>
    <col min="1" max="1" width="2.69140625" style="3" customWidth="1"/>
    <col min="2" max="2" width="5.3828125" style="3" customWidth="1"/>
    <col min="3" max="3" width="37.61328125" style="3" customWidth="1"/>
    <col min="4" max="4" width="24.69140625" style="112" customWidth="1"/>
    <col min="5" max="9" width="24.69140625" style="3" customWidth="1"/>
    <col min="10" max="10" width="26.15234375" style="3" customWidth="1"/>
    <col min="11" max="16384" width="9.15234375" style="3"/>
  </cols>
  <sheetData>
    <row r="1" spans="2:10" ht="6.75" customHeight="1" x14ac:dyDescent="0.35">
      <c r="B1" s="1"/>
      <c r="C1" s="1"/>
      <c r="D1" s="1"/>
      <c r="E1" s="1"/>
      <c r="F1" s="1"/>
      <c r="G1" s="1"/>
      <c r="H1" s="1"/>
      <c r="I1" s="1"/>
    </row>
    <row r="2" spans="2:10" ht="42" customHeight="1" x14ac:dyDescent="0.35">
      <c r="B2" s="4" t="s">
        <v>132</v>
      </c>
      <c r="H2" s="4"/>
      <c r="I2" s="4"/>
    </row>
    <row r="3" spans="2:10" ht="27" customHeight="1" x14ac:dyDescent="0.35">
      <c r="B3" s="56"/>
      <c r="F3" s="55"/>
      <c r="H3" s="4"/>
      <c r="I3" s="63" t="s">
        <v>200</v>
      </c>
    </row>
    <row r="4" spans="2:10" ht="16.5" customHeight="1" thickBot="1" x14ac:dyDescent="0.4">
      <c r="C4" s="7"/>
      <c r="D4" s="28"/>
      <c r="E4" s="28" t="s">
        <v>53</v>
      </c>
      <c r="F4" s="28" t="s">
        <v>54</v>
      </c>
      <c r="G4" s="28" t="s">
        <v>55</v>
      </c>
      <c r="H4" s="28" t="s">
        <v>56</v>
      </c>
      <c r="I4" s="28" t="s">
        <v>158</v>
      </c>
    </row>
    <row r="5" spans="2:10" ht="16.5" customHeight="1" x14ac:dyDescent="0.35">
      <c r="B5" s="131" t="s">
        <v>60</v>
      </c>
      <c r="C5" s="9" t="s">
        <v>57</v>
      </c>
      <c r="D5" s="29">
        <v>900000</v>
      </c>
      <c r="E5" s="29">
        <v>1410128.083904</v>
      </c>
      <c r="F5" s="29">
        <v>1868251.8799040001</v>
      </c>
      <c r="G5" s="29">
        <v>2063023.275104</v>
      </c>
      <c r="H5" s="29">
        <v>2414773.6993439998</v>
      </c>
      <c r="I5" s="29">
        <v>3054597.5386160002</v>
      </c>
    </row>
    <row r="6" spans="2:10" ht="16.5" customHeight="1" x14ac:dyDescent="0.35">
      <c r="B6" s="132"/>
      <c r="C6" s="10" t="s">
        <v>58</v>
      </c>
      <c r="D6" s="60">
        <v>1</v>
      </c>
      <c r="E6" s="60">
        <v>1</v>
      </c>
      <c r="F6" s="61">
        <f>1/(1+10.6%)</f>
        <v>0.90415913200723319</v>
      </c>
      <c r="G6" s="61">
        <f>1/(1+10.6%)^2</f>
        <v>0.81750373599207338</v>
      </c>
      <c r="H6" s="61">
        <f>1/(1+10.6%)^3</f>
        <v>0.73915346834726336</v>
      </c>
      <c r="I6" s="61">
        <f>1/(1+10.6%)^4</f>
        <v>0.66831235836099756</v>
      </c>
    </row>
    <row r="7" spans="2:10" ht="16.5" customHeight="1" x14ac:dyDescent="0.35">
      <c r="B7" s="132"/>
      <c r="C7" s="10" t="s">
        <v>59</v>
      </c>
      <c r="D7" s="30">
        <v>900000</v>
      </c>
      <c r="E7" s="30">
        <f t="shared" ref="E7:I7" si="0">E5*E6</f>
        <v>1410128.083904</v>
      </c>
      <c r="F7" s="30">
        <f t="shared" si="0"/>
        <v>1689196.9981048824</v>
      </c>
      <c r="G7" s="30">
        <f t="shared" si="0"/>
        <v>1686529.234836123</v>
      </c>
      <c r="H7" s="30">
        <f t="shared" si="0"/>
        <v>1784888.3551438693</v>
      </c>
      <c r="I7" s="30">
        <f t="shared" si="0"/>
        <v>2041425.2848761575</v>
      </c>
    </row>
    <row r="8" spans="2:10" ht="16.5" customHeight="1" thickBot="1" x14ac:dyDescent="0.4">
      <c r="B8" s="133"/>
      <c r="C8" s="11" t="s">
        <v>64</v>
      </c>
      <c r="D8" s="62">
        <f>D5</f>
        <v>900000</v>
      </c>
      <c r="E8" s="62">
        <f>E7+D8</f>
        <v>2310128.083904</v>
      </c>
      <c r="F8" s="62">
        <f>E8+F7</f>
        <v>3999325.0820088824</v>
      </c>
      <c r="G8" s="62">
        <f>F8+G7</f>
        <v>5685854.3168450054</v>
      </c>
      <c r="H8" s="62">
        <f>G8+H7</f>
        <v>7470742.6719888747</v>
      </c>
      <c r="I8" s="62">
        <f>H8+I7</f>
        <v>9512167.9568650313</v>
      </c>
    </row>
    <row r="9" spans="2:10" ht="33" customHeight="1" thickBot="1" x14ac:dyDescent="0.5">
      <c r="C9" s="12"/>
      <c r="D9" s="12"/>
      <c r="E9" s="32"/>
      <c r="F9" s="32"/>
      <c r="G9" s="32"/>
      <c r="H9" s="32"/>
      <c r="I9" s="32"/>
    </row>
    <row r="10" spans="2:10" ht="16.5" customHeight="1" x14ac:dyDescent="0.35">
      <c r="B10" s="134" t="s">
        <v>61</v>
      </c>
      <c r="C10" s="9" t="s">
        <v>61</v>
      </c>
      <c r="D10" s="29">
        <v>0</v>
      </c>
      <c r="E10" s="29">
        <v>1575686.3263999999</v>
      </c>
      <c r="F10" s="29">
        <v>2533054.9264000002</v>
      </c>
      <c r="G10" s="29">
        <v>2402591.2464000001</v>
      </c>
      <c r="H10" s="29">
        <v>2829537.3303999999</v>
      </c>
      <c r="I10" s="29">
        <v>3394263.3555999999</v>
      </c>
    </row>
    <row r="11" spans="2:10" ht="16.5" customHeight="1" x14ac:dyDescent="0.35">
      <c r="B11" s="135"/>
      <c r="C11" s="10" t="s">
        <v>58</v>
      </c>
      <c r="D11" s="60">
        <v>1</v>
      </c>
      <c r="E11" s="60">
        <v>1</v>
      </c>
      <c r="F11" s="61">
        <f>1/(1+10.6%)</f>
        <v>0.90415913200723319</v>
      </c>
      <c r="G11" s="61">
        <f>1/(1+10.6%)^2</f>
        <v>0.81750373599207338</v>
      </c>
      <c r="H11" s="61">
        <f>1/(1+10.6%)^3</f>
        <v>0.73915346834726336</v>
      </c>
      <c r="I11" s="61">
        <f>1/(1+10.6%)^4</f>
        <v>0.66831235836099756</v>
      </c>
    </row>
    <row r="12" spans="2:10" ht="16.5" customHeight="1" x14ac:dyDescent="0.35">
      <c r="B12" s="135"/>
      <c r="C12" s="10" t="s">
        <v>62</v>
      </c>
      <c r="D12" s="30">
        <f t="shared" ref="D12:I12" si="1">D10*D11</f>
        <v>0</v>
      </c>
      <c r="E12" s="30">
        <f t="shared" si="1"/>
        <v>1575686.3263999999</v>
      </c>
      <c r="F12" s="30">
        <f t="shared" si="1"/>
        <v>2290284.7435804703</v>
      </c>
      <c r="G12" s="30">
        <f t="shared" si="1"/>
        <v>1964127.3199938522</v>
      </c>
      <c r="H12" s="30">
        <f t="shared" si="1"/>
        <v>2091462.3315832163</v>
      </c>
      <c r="I12" s="30">
        <f t="shared" si="1"/>
        <v>2268428.1480793492</v>
      </c>
    </row>
    <row r="13" spans="2:10" ht="16.5" customHeight="1" thickBot="1" x14ac:dyDescent="0.4">
      <c r="B13" s="136"/>
      <c r="C13" s="11" t="s">
        <v>65</v>
      </c>
      <c r="D13" s="62">
        <f>D12</f>
        <v>0</v>
      </c>
      <c r="E13" s="62">
        <f>E12+D13</f>
        <v>1575686.3263999999</v>
      </c>
      <c r="F13" s="62">
        <f>E13+F12</f>
        <v>3865971.0699804705</v>
      </c>
      <c r="G13" s="62">
        <f>F13+G12</f>
        <v>5830098.3899743222</v>
      </c>
      <c r="H13" s="62">
        <f>G13+H12</f>
        <v>7921560.721557539</v>
      </c>
      <c r="I13" s="62">
        <f>H13+I12</f>
        <v>10189988.869636888</v>
      </c>
    </row>
    <row r="14" spans="2:10" ht="33" customHeight="1" thickBot="1" x14ac:dyDescent="0.5">
      <c r="C14" s="12"/>
      <c r="D14" s="12"/>
      <c r="E14" s="32"/>
      <c r="F14" s="32"/>
      <c r="G14" s="32"/>
      <c r="H14" s="33"/>
      <c r="I14" s="33"/>
    </row>
    <row r="15" spans="2:10" ht="16.5" customHeight="1" x14ac:dyDescent="0.35">
      <c r="B15" s="137"/>
      <c r="C15" s="9" t="s">
        <v>63</v>
      </c>
      <c r="D15" s="29">
        <f>0-D7</f>
        <v>-900000</v>
      </c>
      <c r="E15" s="29">
        <f t="shared" ref="E15:I15" si="2">E12-E7</f>
        <v>165558.2424959999</v>
      </c>
      <c r="F15" s="29">
        <f t="shared" si="2"/>
        <v>601087.7454755879</v>
      </c>
      <c r="G15" s="29">
        <f t="shared" si="2"/>
        <v>277598.08515772922</v>
      </c>
      <c r="H15" s="29">
        <f t="shared" si="2"/>
        <v>306573.97643934703</v>
      </c>
      <c r="I15" s="29">
        <f t="shared" si="2"/>
        <v>227002.86320319166</v>
      </c>
      <c r="J15" s="114"/>
    </row>
    <row r="16" spans="2:10" ht="16.5" customHeight="1" x14ac:dyDescent="0.35">
      <c r="B16" s="138"/>
      <c r="C16" s="10" t="s">
        <v>121</v>
      </c>
      <c r="D16" s="30">
        <f t="shared" ref="D16:I16" si="3">D10-D5</f>
        <v>-900000</v>
      </c>
      <c r="E16" s="30">
        <f t="shared" si="3"/>
        <v>165558.2424959999</v>
      </c>
      <c r="F16" s="30">
        <f>F10-F5</f>
        <v>664803.04649600014</v>
      </c>
      <c r="G16" s="30">
        <f t="shared" si="3"/>
        <v>339567.97129600006</v>
      </c>
      <c r="H16" s="30">
        <f t="shared" si="3"/>
        <v>414763.63105600001</v>
      </c>
      <c r="I16" s="30">
        <f t="shared" si="3"/>
        <v>339665.81698399968</v>
      </c>
    </row>
    <row r="17" spans="2:9" ht="16.5" customHeight="1" x14ac:dyDescent="0.35">
      <c r="B17" s="138"/>
      <c r="C17" s="57" t="s">
        <v>66</v>
      </c>
      <c r="D17" s="58">
        <f t="shared" ref="D17:I17" si="4">D13-D8</f>
        <v>-900000</v>
      </c>
      <c r="E17" s="58">
        <f t="shared" si="4"/>
        <v>-734441.7575040001</v>
      </c>
      <c r="F17" s="58">
        <f t="shared" si="4"/>
        <v>-133354.01202841196</v>
      </c>
      <c r="G17" s="58">
        <f t="shared" si="4"/>
        <v>144244.07312931679</v>
      </c>
      <c r="H17" s="58">
        <f t="shared" si="4"/>
        <v>450818.04956866428</v>
      </c>
      <c r="I17" s="58">
        <f t="shared" si="4"/>
        <v>677820.91277185641</v>
      </c>
    </row>
    <row r="18" spans="2:9" ht="33.75" customHeight="1" x14ac:dyDescent="0.45">
      <c r="C18" s="12"/>
      <c r="D18" s="12"/>
      <c r="E18" s="98"/>
      <c r="F18" s="98"/>
      <c r="G18" s="98"/>
      <c r="H18" s="98"/>
      <c r="I18" s="98"/>
    </row>
    <row r="19" spans="2:9" ht="21.4" customHeight="1" x14ac:dyDescent="0.45">
      <c r="C19" s="12"/>
      <c r="D19" s="12"/>
      <c r="E19" s="28" t="s">
        <v>140</v>
      </c>
      <c r="F19" s="28" t="s">
        <v>141</v>
      </c>
      <c r="G19" s="32"/>
      <c r="H19" s="33"/>
      <c r="I19" s="33"/>
    </row>
    <row r="20" spans="2:9" ht="28.5" customHeight="1" x14ac:dyDescent="0.35">
      <c r="B20" s="59"/>
      <c r="C20" s="59" t="s">
        <v>142</v>
      </c>
      <c r="D20" s="59"/>
      <c r="E20" s="81">
        <f>SUM(D15:I15)</f>
        <v>677820.91277185571</v>
      </c>
      <c r="F20" s="27" t="s">
        <v>159</v>
      </c>
      <c r="G20" s="27"/>
    </row>
    <row r="21" spans="2:9" ht="25.15" customHeight="1" x14ac:dyDescent="0.35">
      <c r="B21" s="59"/>
      <c r="C21" s="59" t="s">
        <v>139</v>
      </c>
      <c r="D21" s="59"/>
      <c r="E21" s="40">
        <f>IRR(D15:I15)</f>
        <v>0.22770274371574639</v>
      </c>
      <c r="F21" s="27" t="s">
        <v>143</v>
      </c>
    </row>
    <row r="22" spans="2:9" ht="27" customHeight="1" x14ac:dyDescent="0.35">
      <c r="B22" s="59"/>
      <c r="C22" s="59" t="s">
        <v>144</v>
      </c>
      <c r="D22" s="59"/>
      <c r="E22" s="99" t="s">
        <v>55</v>
      </c>
      <c r="F22" s="27" t="s">
        <v>191</v>
      </c>
    </row>
    <row r="26" spans="2:9" ht="16.5" customHeight="1" x14ac:dyDescent="0.35">
      <c r="C26" s="59"/>
      <c r="D26" s="59"/>
    </row>
  </sheetData>
  <mergeCells count="3">
    <mergeCell ref="B5:B8"/>
    <mergeCell ref="B10:B13"/>
    <mergeCell ref="B15:B17"/>
  </mergeCells>
  <phoneticPr fontId="4" type="noConversion"/>
  <pageMargins left="0.7" right="0.7" top="0.75" bottom="0.75" header="0.3" footer="0.3"/>
  <pageSetup scale="68" fitToHeight="0" orientation="portrait" r:id="rId1"/>
  <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87AD-0463-4F39-AABD-832ACACD8C58}">
  <sheetPr>
    <tabColor theme="2" tint="-0.249977111117893"/>
    <pageSetUpPr autoPageBreaks="0" fitToPage="1"/>
  </sheetPr>
  <dimension ref="B1:F32"/>
  <sheetViews>
    <sheetView showGridLines="0" topLeftCell="A3" zoomScaleNormal="100" workbookViewId="0">
      <selection activeCell="M10" sqref="M10"/>
    </sheetView>
  </sheetViews>
  <sheetFormatPr defaultColWidth="9.15234375" defaultRowHeight="16.5" customHeight="1" x14ac:dyDescent="0.35"/>
  <cols>
    <col min="1" max="1" width="2.69140625" style="124" customWidth="1"/>
    <col min="2" max="2" width="5.3828125" style="124" customWidth="1"/>
    <col min="3" max="3" width="25.84375" style="124" customWidth="1"/>
    <col min="4" max="4" width="24.3828125" style="124" customWidth="1"/>
    <col min="5" max="5" width="28.61328125" style="124" customWidth="1"/>
    <col min="6" max="6" width="24.61328125" style="124" customWidth="1"/>
    <col min="7" max="7" width="26.15234375" style="124" customWidth="1"/>
    <col min="8" max="16384" width="9.15234375" style="124"/>
  </cols>
  <sheetData>
    <row r="1" spans="2:6" ht="6.75" customHeight="1" x14ac:dyDescent="0.35">
      <c r="B1" s="1"/>
      <c r="C1" s="1"/>
      <c r="D1" s="1"/>
      <c r="E1" s="1"/>
      <c r="F1" s="1"/>
    </row>
    <row r="2" spans="2:6" ht="42" customHeight="1" x14ac:dyDescent="0.35">
      <c r="B2" s="4" t="s">
        <v>197</v>
      </c>
      <c r="D2" s="64"/>
      <c r="E2" s="64"/>
      <c r="F2" s="64"/>
    </row>
    <row r="3" spans="2:6" ht="27" customHeight="1" x14ac:dyDescent="0.35">
      <c r="B3" s="56"/>
      <c r="D3" s="55"/>
      <c r="F3" s="94"/>
    </row>
    <row r="4" spans="2:6" ht="16.5" customHeight="1" thickBot="1" x14ac:dyDescent="0.4">
      <c r="C4" s="28" t="s">
        <v>194</v>
      </c>
      <c r="D4" s="28" t="s">
        <v>195</v>
      </c>
      <c r="E4" s="28" t="s">
        <v>193</v>
      </c>
      <c r="F4" s="28" t="s">
        <v>196</v>
      </c>
    </row>
    <row r="5" spans="2:6" ht="16.5" customHeight="1" x14ac:dyDescent="0.35">
      <c r="B5" s="131" t="s">
        <v>107</v>
      </c>
      <c r="C5" s="29">
        <f>2533054.9264*0.9</f>
        <v>2279749.4337600004</v>
      </c>
      <c r="D5" s="125">
        <v>-0.1</v>
      </c>
      <c r="E5" s="29">
        <v>381723.1482894253</v>
      </c>
      <c r="F5" s="37">
        <f>E5/E7-1</f>
        <v>-0.38102336319772523</v>
      </c>
    </row>
    <row r="6" spans="2:6" ht="16.5" customHeight="1" x14ac:dyDescent="0.35">
      <c r="B6" s="132"/>
      <c r="C6" s="30">
        <f>2533054.9264*0.95</f>
        <v>2406402.1800800003</v>
      </c>
      <c r="D6" s="91">
        <v>-0.05</v>
      </c>
      <c r="E6" s="30">
        <v>499211.78123933217</v>
      </c>
      <c r="F6" s="38">
        <f>E6/E7-1</f>
        <v>-0.190511681598863</v>
      </c>
    </row>
    <row r="7" spans="2:6" ht="16.5" customHeight="1" x14ac:dyDescent="0.35">
      <c r="B7" s="132"/>
      <c r="C7" s="30">
        <v>2533054.9264000002</v>
      </c>
      <c r="D7" s="91">
        <v>0</v>
      </c>
      <c r="E7" s="30">
        <v>616700.4141892395</v>
      </c>
      <c r="F7" s="38">
        <v>0</v>
      </c>
    </row>
    <row r="8" spans="2:6" ht="16.5" customHeight="1" x14ac:dyDescent="0.35">
      <c r="B8" s="132"/>
      <c r="C8" s="30">
        <f>2533054.9264*1.05</f>
        <v>2659707.6727200001</v>
      </c>
      <c r="D8" s="91">
        <v>0.05</v>
      </c>
      <c r="E8" s="30">
        <v>734189.04713914683</v>
      </c>
      <c r="F8" s="38">
        <f>E8/E7-1</f>
        <v>0.190511681598863</v>
      </c>
    </row>
    <row r="9" spans="2:6" ht="16.5" customHeight="1" thickBot="1" x14ac:dyDescent="0.4">
      <c r="B9" s="157"/>
      <c r="C9" s="126">
        <f>2533054.9264*1.1</f>
        <v>2786360.4190400005</v>
      </c>
      <c r="D9" s="127">
        <v>0.1</v>
      </c>
      <c r="E9" s="126">
        <v>851677.68008905416</v>
      </c>
      <c r="F9" s="128">
        <f>E9/E7-1</f>
        <v>0.38102336319772601</v>
      </c>
    </row>
    <row r="10" spans="2:6" ht="33" customHeight="1" thickBot="1" x14ac:dyDescent="0.5">
      <c r="C10" s="32"/>
      <c r="D10" s="32"/>
      <c r="E10" s="32"/>
      <c r="F10" s="32"/>
    </row>
    <row r="11" spans="2:6" ht="16.5" customHeight="1" x14ac:dyDescent="0.35">
      <c r="B11" s="134" t="s">
        <v>198</v>
      </c>
      <c r="C11" s="29">
        <f>970300*0.9</f>
        <v>873270</v>
      </c>
      <c r="D11" s="125">
        <v>-0.1</v>
      </c>
      <c r="E11" s="29">
        <v>706709.69062708737</v>
      </c>
      <c r="F11" s="37">
        <f>E11/E13-1</f>
        <v>0.14595300143616874</v>
      </c>
    </row>
    <row r="12" spans="2:6" ht="16.5" customHeight="1" x14ac:dyDescent="0.35">
      <c r="B12" s="135"/>
      <c r="C12" s="30">
        <f>970300*0.95</f>
        <v>921785</v>
      </c>
      <c r="D12" s="91">
        <v>-0.05</v>
      </c>
      <c r="E12" s="30">
        <v>661705.05240816344</v>
      </c>
      <c r="F12" s="38">
        <f>E12/E13-1</f>
        <v>7.2976500718084258E-2</v>
      </c>
    </row>
    <row r="13" spans="2:6" ht="16.5" customHeight="1" x14ac:dyDescent="0.35">
      <c r="B13" s="135"/>
      <c r="C13" s="30">
        <v>970300</v>
      </c>
      <c r="D13" s="91">
        <v>0</v>
      </c>
      <c r="E13" s="30">
        <v>616700.4141892395</v>
      </c>
      <c r="F13" s="38">
        <v>0</v>
      </c>
    </row>
    <row r="14" spans="2:6" ht="16.5" customHeight="1" x14ac:dyDescent="0.35">
      <c r="B14" s="135"/>
      <c r="C14" s="30">
        <f>970300*1.05</f>
        <v>1018815</v>
      </c>
      <c r="D14" s="91">
        <v>0.05</v>
      </c>
      <c r="E14" s="30">
        <v>571695.77597031556</v>
      </c>
      <c r="F14" s="38">
        <f>E14/E13-1</f>
        <v>-7.2976500718084369E-2</v>
      </c>
    </row>
    <row r="15" spans="2:6" ht="16.5" customHeight="1" thickBot="1" x14ac:dyDescent="0.4">
      <c r="B15" s="136"/>
      <c r="C15" s="126">
        <f>970300*1.1</f>
        <v>1067330</v>
      </c>
      <c r="D15" s="127">
        <v>0.1</v>
      </c>
      <c r="E15" s="126">
        <v>526691.13775139162</v>
      </c>
      <c r="F15" s="128">
        <f>E15/E13-1</f>
        <v>-0.14595300143616863</v>
      </c>
    </row>
    <row r="16" spans="2:6" ht="33" customHeight="1" thickBot="1" x14ac:dyDescent="0.5">
      <c r="C16" s="32"/>
      <c r="D16" s="32"/>
      <c r="E16" s="32"/>
      <c r="F16" s="33"/>
    </row>
    <row r="17" spans="2:6" ht="16.5" customHeight="1" x14ac:dyDescent="0.35">
      <c r="B17" s="137" t="s">
        <v>199</v>
      </c>
      <c r="C17" s="29">
        <f>342180*0.9</f>
        <v>307962</v>
      </c>
      <c r="D17" s="125">
        <v>-0.1</v>
      </c>
      <c r="E17" s="29">
        <v>648442.5292170688</v>
      </c>
      <c r="F17" s="37">
        <f>E17/E19-1</f>
        <v>5.1470883264380207E-2</v>
      </c>
    </row>
    <row r="18" spans="2:6" ht="16.5" customHeight="1" x14ac:dyDescent="0.35">
      <c r="B18" s="138"/>
      <c r="C18" s="30">
        <f>342180*0.95</f>
        <v>325071</v>
      </c>
      <c r="D18" s="91">
        <v>-0.05</v>
      </c>
      <c r="E18" s="30">
        <v>632571.47170315403</v>
      </c>
      <c r="F18" s="38">
        <f>E18/E19-1</f>
        <v>2.5735441632189993E-2</v>
      </c>
    </row>
    <row r="19" spans="2:6" ht="16.5" customHeight="1" x14ac:dyDescent="0.35">
      <c r="B19" s="138"/>
      <c r="C19" s="30">
        <v>342180</v>
      </c>
      <c r="D19" s="91">
        <v>0</v>
      </c>
      <c r="E19" s="30">
        <v>616700.4141892395</v>
      </c>
      <c r="F19" s="38">
        <v>0</v>
      </c>
    </row>
    <row r="20" spans="2:6" ht="16.5" customHeight="1" x14ac:dyDescent="0.35">
      <c r="B20" s="138"/>
      <c r="C20" s="30">
        <f>342180*1.05</f>
        <v>359289</v>
      </c>
      <c r="D20" s="91">
        <v>0.05</v>
      </c>
      <c r="E20" s="30">
        <v>600829.35667532473</v>
      </c>
      <c r="F20" s="38">
        <f>E20/E19-1</f>
        <v>-2.5735441632190326E-2</v>
      </c>
    </row>
    <row r="21" spans="2:6" ht="16.5" customHeight="1" x14ac:dyDescent="0.35">
      <c r="B21" s="138"/>
      <c r="C21" s="126">
        <f>342180*1.1</f>
        <v>376398.00000000006</v>
      </c>
      <c r="D21" s="127">
        <v>0.1</v>
      </c>
      <c r="E21" s="126">
        <v>584958.29916141019</v>
      </c>
      <c r="F21" s="128">
        <f>E21/E19-1</f>
        <v>-5.1470883264380318E-2</v>
      </c>
    </row>
    <row r="22" spans="2:6" ht="33.75" customHeight="1" x14ac:dyDescent="0.45">
      <c r="C22" s="32"/>
      <c r="D22" s="32"/>
      <c r="E22" s="32"/>
      <c r="F22" s="33"/>
    </row>
    <row r="23" spans="2:6" ht="16.5" customHeight="1" x14ac:dyDescent="0.35">
      <c r="C23" s="27"/>
      <c r="D23" s="27"/>
      <c r="E23" s="27"/>
      <c r="F23" s="27"/>
    </row>
    <row r="24" spans="2:6" ht="16.5" customHeight="1" x14ac:dyDescent="0.35">
      <c r="C24" s="27"/>
      <c r="D24" s="27"/>
      <c r="E24" s="27"/>
      <c r="F24" s="27"/>
    </row>
    <row r="25" spans="2:6" ht="16.5" customHeight="1" x14ac:dyDescent="0.35">
      <c r="C25" s="27"/>
      <c r="D25" s="27"/>
      <c r="E25" s="27"/>
      <c r="F25" s="27"/>
    </row>
    <row r="26" spans="2:6" ht="16.5" customHeight="1" x14ac:dyDescent="0.35">
      <c r="C26" s="27"/>
      <c r="D26" s="27"/>
      <c r="E26" s="27"/>
      <c r="F26" s="27"/>
    </row>
    <row r="27" spans="2:6" ht="16.5" customHeight="1" x14ac:dyDescent="0.35">
      <c r="C27" s="27"/>
      <c r="D27" s="27"/>
      <c r="E27" s="27"/>
      <c r="F27" s="27"/>
    </row>
    <row r="28" spans="2:6" ht="16.5" customHeight="1" x14ac:dyDescent="0.35">
      <c r="C28" s="27"/>
      <c r="D28" s="27"/>
      <c r="E28" s="27"/>
      <c r="F28" s="27"/>
    </row>
    <row r="29" spans="2:6" ht="16.5" customHeight="1" x14ac:dyDescent="0.35">
      <c r="C29" s="27"/>
      <c r="D29" s="27"/>
      <c r="E29" s="27"/>
      <c r="F29" s="27"/>
    </row>
    <row r="30" spans="2:6" ht="16.5" customHeight="1" x14ac:dyDescent="0.35">
      <c r="C30" s="27"/>
      <c r="D30" s="27"/>
      <c r="E30" s="27"/>
      <c r="F30" s="27"/>
    </row>
    <row r="31" spans="2:6" ht="16.5" customHeight="1" x14ac:dyDescent="0.35">
      <c r="C31" s="27"/>
      <c r="D31" s="27"/>
      <c r="E31" s="27"/>
      <c r="F31" s="27"/>
    </row>
    <row r="32" spans="2:6" ht="16.5" customHeight="1" x14ac:dyDescent="0.35">
      <c r="C32" s="27"/>
      <c r="D32" s="27"/>
      <c r="E32" s="27"/>
      <c r="F32" s="27"/>
    </row>
  </sheetData>
  <mergeCells count="3">
    <mergeCell ref="B5:B9"/>
    <mergeCell ref="B11:B15"/>
    <mergeCell ref="B17:B21"/>
  </mergeCells>
  <phoneticPr fontId="4" type="noConversion"/>
  <pageMargins left="0.7" right="0.7" top="0.75" bottom="0.75" header="0.3" footer="0.3"/>
  <pageSetup scale="68" fitToHeight="0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YearProfit</vt:lpstr>
      <vt:lpstr>12monthProfit</vt:lpstr>
      <vt:lpstr>EarnedValue</vt:lpstr>
      <vt:lpstr>ActualCost</vt:lpstr>
      <vt:lpstr>EstimatedCost</vt:lpstr>
      <vt:lpstr>EVChart</vt:lpstr>
      <vt:lpstr>DateSheet</vt:lpstr>
      <vt:lpstr>Break-Even</vt:lpstr>
      <vt:lpstr>Sensitivity</vt:lpstr>
      <vt:lpstr>DateSheet!打印标题</vt:lpstr>
      <vt:lpstr>EVChart!打印标题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eternity Dr</dc:creator>
  <cp:keywords/>
  <cp:lastModifiedBy>eternity Dr</cp:lastModifiedBy>
  <dcterms:created xsi:type="dcterms:W3CDTF">2018-04-27T01:22:02Z</dcterms:created>
  <dcterms:modified xsi:type="dcterms:W3CDTF">2018-06-26T01:06:42Z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