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 Gutierrez\Desktop\Thesis\Methanol Model\01. Input\"/>
    </mc:Choice>
  </mc:AlternateContent>
  <xr:revisionPtr revIDLastSave="0" documentId="13_ncr:1_{F7252290-C483-4BFB-97CA-4629A5604AA6}" xr6:coauthVersionLast="47" xr6:coauthVersionMax="47" xr10:uidLastSave="{00000000-0000-0000-0000-000000000000}"/>
  <bookViews>
    <workbookView xWindow="28680" yWindow="-120" windowWidth="29040" windowHeight="15840" activeTab="4" xr2:uid="{658E10BF-DC26-4F05-9E2B-9DBC43C0F60B}"/>
  </bookViews>
  <sheets>
    <sheet name="Costs" sheetId="6" r:id="rId1"/>
    <sheet name="Max Capacities" sheetId="9" r:id="rId2"/>
    <sheet name="Machines" sheetId="3" r:id="rId3"/>
    <sheet name="Machines Old" sheetId="12" r:id="rId4"/>
    <sheet name="Storages" sheetId="11" r:id="rId5"/>
    <sheet name="Operation" sheetId="5" r:id="rId6"/>
    <sheet name="Financial param" sheetId="8" r:id="rId7"/>
    <sheet name="Python_param" sheetId="4" r:id="rId8"/>
    <sheet name="Python_costs" sheetId="10" r:id="rId9"/>
    <sheet name="Python_discounted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G32" i="6"/>
  <c r="G33" i="6"/>
  <c r="G19" i="6"/>
  <c r="G18" i="6" s="1"/>
  <c r="G26" i="6"/>
  <c r="G27" i="6"/>
  <c r="G28" i="6"/>
  <c r="G25" i="6"/>
  <c r="G21" i="6" l="1"/>
  <c r="G14" i="6" l="1"/>
  <c r="G11" i="6"/>
  <c r="G4" i="6"/>
  <c r="G6" i="6"/>
  <c r="B27" i="6"/>
  <c r="B25" i="6"/>
  <c r="B39" i="6"/>
  <c r="C41" i="6"/>
  <c r="B42" i="6"/>
  <c r="B3" i="3"/>
  <c r="B3" i="12"/>
  <c r="B18" i="6" l="1"/>
  <c r="B13" i="6"/>
  <c r="B11" i="6"/>
  <c r="B4" i="6"/>
  <c r="B7" i="6"/>
  <c r="B28" i="12"/>
  <c r="B28" i="3" l="1"/>
  <c r="B25" i="3"/>
  <c r="B18" i="3"/>
  <c r="B12" i="3"/>
  <c r="B11" i="3"/>
  <c r="B4" i="3"/>
  <c r="B25" i="12"/>
  <c r="B21" i="12"/>
  <c r="B18" i="12"/>
  <c r="B15" i="12"/>
  <c r="E13" i="12"/>
  <c r="B12" i="12"/>
  <c r="B11" i="12"/>
  <c r="J11" i="12" s="1"/>
  <c r="B10" i="12"/>
  <c r="B9" i="12"/>
  <c r="B6" i="12"/>
  <c r="B5" i="12"/>
  <c r="B4" i="12"/>
  <c r="G35" i="6"/>
  <c r="C15" i="6"/>
  <c r="C8" i="6"/>
  <c r="B6" i="6"/>
  <c r="B33" i="6"/>
  <c r="B34" i="6"/>
  <c r="F3" i="11" l="1"/>
  <c r="E11" i="11" l="1"/>
  <c r="G13" i="6"/>
  <c r="AM5" i="7"/>
  <c r="AM4" i="7"/>
  <c r="AM3" i="7"/>
  <c r="AI5" i="7"/>
  <c r="AI4" i="7"/>
  <c r="AI3" i="7"/>
  <c r="AE5" i="7"/>
  <c r="AE4" i="7"/>
  <c r="AE3" i="7"/>
  <c r="AA5" i="7"/>
  <c r="AA4" i="7"/>
  <c r="AA3" i="7"/>
  <c r="W5" i="7"/>
  <c r="W4" i="7"/>
  <c r="W3" i="7"/>
  <c r="S5" i="7"/>
  <c r="S4" i="7"/>
  <c r="S3" i="7"/>
  <c r="O5" i="7"/>
  <c r="O4" i="7"/>
  <c r="O3" i="7"/>
  <c r="K5" i="7"/>
  <c r="K4" i="7"/>
  <c r="K3" i="7"/>
  <c r="G5" i="7"/>
  <c r="G4" i="7"/>
  <c r="G3" i="7"/>
  <c r="C4" i="7"/>
  <c r="D4" i="7"/>
  <c r="C5" i="7"/>
  <c r="D5" i="7"/>
  <c r="D3" i="7"/>
  <c r="C3" i="7"/>
  <c r="B3" i="7"/>
  <c r="B4" i="7"/>
  <c r="B20" i="6" l="1"/>
  <c r="D9" i="6" l="1"/>
  <c r="D2" i="6"/>
  <c r="P2" i="4" l="1"/>
  <c r="A4" i="4" l="1"/>
  <c r="B4" i="4"/>
  <c r="C4" i="4"/>
  <c r="F9" i="4"/>
  <c r="F8" i="4"/>
  <c r="H8" i="4"/>
  <c r="G8" i="4"/>
  <c r="E8" i="4"/>
  <c r="D8" i="4"/>
  <c r="D4" i="4"/>
  <c r="E4" i="4"/>
  <c r="F4" i="4"/>
  <c r="G4" i="4"/>
  <c r="H4" i="4"/>
  <c r="D5" i="4"/>
  <c r="E5" i="4"/>
  <c r="F5" i="4"/>
  <c r="G5" i="4"/>
  <c r="H5" i="4"/>
  <c r="D6" i="4"/>
  <c r="E6" i="4"/>
  <c r="F6" i="4"/>
  <c r="G6" i="4"/>
  <c r="H6" i="4"/>
  <c r="D7" i="4"/>
  <c r="E7" i="4"/>
  <c r="F7" i="4"/>
  <c r="G7" i="4"/>
  <c r="H7" i="4"/>
  <c r="H3" i="4"/>
  <c r="E2" i="4"/>
  <c r="E3" i="4"/>
  <c r="F2" i="4"/>
  <c r="F3" i="4"/>
  <c r="G2" i="4"/>
  <c r="G3" i="4"/>
  <c r="H2" i="4"/>
  <c r="D3" i="4"/>
  <c r="D2" i="4"/>
  <c r="B21" i="3"/>
  <c r="N2" i="4" l="1"/>
  <c r="B5" i="3"/>
  <c r="I3" i="4" s="1"/>
  <c r="B6" i="3"/>
  <c r="E13" i="3"/>
  <c r="M2" i="4"/>
  <c r="Z3" i="10" l="1"/>
  <c r="AM3" i="10"/>
  <c r="AN3" i="10"/>
  <c r="AK3" i="10"/>
  <c r="AL3" i="10"/>
  <c r="AH3" i="10"/>
  <c r="AD3" i="10"/>
  <c r="O11" i="4"/>
  <c r="O3" i="4"/>
  <c r="O4" i="4"/>
  <c r="O5" i="4"/>
  <c r="O6" i="4"/>
  <c r="O7" i="4"/>
  <c r="O8" i="4"/>
  <c r="O9" i="4"/>
  <c r="O10" i="4"/>
  <c r="O2" i="4"/>
  <c r="K4" i="4"/>
  <c r="I2" i="4" l="1"/>
  <c r="V3" i="10"/>
  <c r="N3" i="10"/>
  <c r="J3" i="10"/>
  <c r="B3" i="10"/>
  <c r="C3" i="10"/>
  <c r="AA3" i="10"/>
  <c r="AG3" i="10"/>
  <c r="AJ3" i="10"/>
  <c r="AE3" i="10"/>
  <c r="AI3" i="10"/>
  <c r="AB3" i="10"/>
  <c r="Y3" i="10"/>
  <c r="W3" i="10"/>
  <c r="U3" i="10"/>
  <c r="G7" i="6"/>
  <c r="X3" i="10" s="1"/>
  <c r="S3" i="10"/>
  <c r="O3" i="10"/>
  <c r="M3" i="10"/>
  <c r="B28" i="6"/>
  <c r="B35" i="6" s="1"/>
  <c r="T3" i="10" s="1"/>
  <c r="B21" i="6"/>
  <c r="L3" i="10" s="1"/>
  <c r="I3" i="10"/>
  <c r="B14" i="6"/>
  <c r="H3" i="10" s="1"/>
  <c r="D3" i="10"/>
  <c r="F3" i="10"/>
  <c r="G3" i="10"/>
  <c r="E3" i="10"/>
  <c r="A3" i="10"/>
  <c r="B35" i="7"/>
  <c r="E3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L2" i="4"/>
  <c r="K5" i="4"/>
  <c r="J5" i="4"/>
  <c r="J4" i="4"/>
  <c r="K3" i="4"/>
  <c r="B15" i="3"/>
  <c r="K2" i="4" s="1"/>
  <c r="B10" i="3"/>
  <c r="J3" i="4" s="1"/>
  <c r="B9" i="3"/>
  <c r="J2" i="4" s="1"/>
  <c r="C3" i="4"/>
  <c r="C2" i="4"/>
  <c r="B3" i="4"/>
  <c r="B2" i="4"/>
  <c r="A3" i="4"/>
  <c r="A2" i="4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AC3" i="10" l="1"/>
  <c r="AF3" i="10"/>
  <c r="B32" i="6"/>
  <c r="Q3" i="10" s="1"/>
  <c r="P3" i="10"/>
  <c r="R3" i="10"/>
  <c r="B37" i="6"/>
  <c r="K3" i="10"/>
</calcChain>
</file>

<file path=xl/sharedStrings.xml><?xml version="1.0" encoding="utf-8"?>
<sst xmlns="http://schemas.openxmlformats.org/spreadsheetml/2006/main" count="563" uniqueCount="141">
  <si>
    <t>Windfarm</t>
  </si>
  <si>
    <t>Cost per MW installed</t>
  </si>
  <si>
    <t>Solarfarm</t>
  </si>
  <si>
    <t>ASSETS</t>
  </si>
  <si>
    <t>Cost per MWh of capacity</t>
  </si>
  <si>
    <t>Hydrogen Storage</t>
  </si>
  <si>
    <t>Reactor</t>
  </si>
  <si>
    <t>Destilator</t>
  </si>
  <si>
    <t>Liquid raw methanol storage</t>
  </si>
  <si>
    <t xml:space="preserve"> Cost per daily produced ton installed </t>
  </si>
  <si>
    <t>Cost per kg of capacity</t>
  </si>
  <si>
    <t>Efficiencies</t>
  </si>
  <si>
    <t>Battery</t>
  </si>
  <si>
    <t>Efficiency IN</t>
  </si>
  <si>
    <t>Efficiency OUT</t>
  </si>
  <si>
    <t>Electrolyzer</t>
  </si>
  <si>
    <t>Hydrogen storage</t>
  </si>
  <si>
    <t>(requirements to produce 1 kg of RAW MeOH)</t>
  </si>
  <si>
    <t>Hydrogen</t>
  </si>
  <si>
    <t>CO2</t>
  </si>
  <si>
    <t>Electricity</t>
  </si>
  <si>
    <t>Heat</t>
  </si>
  <si>
    <t>Destillator</t>
  </si>
  <si>
    <t>Pure methanol output per 1 kg input</t>
  </si>
  <si>
    <t>Water output per 1 kg input</t>
  </si>
  <si>
    <t>Liquid MeOH storage</t>
  </si>
  <si>
    <t>Efficiency</t>
  </si>
  <si>
    <t>%</t>
  </si>
  <si>
    <t>kWh/kg</t>
  </si>
  <si>
    <t>kg/kg</t>
  </si>
  <si>
    <t>Ramp UP</t>
  </si>
  <si>
    <t>Ramp DOWN</t>
  </si>
  <si>
    <t>ABEX</t>
  </si>
  <si>
    <t>OPEX</t>
  </si>
  <si>
    <t>CAPEX</t>
  </si>
  <si>
    <t>DEVEX</t>
  </si>
  <si>
    <t>SOLAR</t>
  </si>
  <si>
    <t>WIND</t>
  </si>
  <si>
    <t>YEAR</t>
  </si>
  <si>
    <t>Disc factor</t>
  </si>
  <si>
    <t>Discount rate</t>
  </si>
  <si>
    <t>% variation over total capacity per h</t>
  </si>
  <si>
    <t>H2storage</t>
  </si>
  <si>
    <t>MeOH sto</t>
  </si>
  <si>
    <t>Pure MeOH sto</t>
  </si>
  <si>
    <t>Energy to produce 1 kg of H2 in MWh</t>
  </si>
  <si>
    <t>Energy to produce 1 kg of H2 in kWh</t>
  </si>
  <si>
    <t>MWh/kg</t>
  </si>
  <si>
    <t>Machines</t>
  </si>
  <si>
    <t>Electric heater</t>
  </si>
  <si>
    <t>Efficiency to produce 1 kwh of heat</t>
  </si>
  <si>
    <t>Heater</t>
  </si>
  <si>
    <t>Solar farm</t>
  </si>
  <si>
    <t>MW</t>
  </si>
  <si>
    <t>Maximum Capacities of Assets</t>
  </si>
  <si>
    <t>MWh</t>
  </si>
  <si>
    <t>Max Capacities</t>
  </si>
  <si>
    <t>ELEC</t>
  </si>
  <si>
    <t>REAC</t>
  </si>
  <si>
    <t>DEST</t>
  </si>
  <si>
    <t>BATT</t>
  </si>
  <si>
    <t>H2_STO</t>
  </si>
  <si>
    <t>MeOH_sto</t>
  </si>
  <si>
    <t>CO2 storage tank</t>
  </si>
  <si>
    <t>CO2_sto</t>
  </si>
  <si>
    <t xml:space="preserve"> Cost per daily produced ton </t>
  </si>
  <si>
    <t>OPEX (cost per produced ton)</t>
  </si>
  <si>
    <r>
      <t>1,000 kg hydrogen storage system</t>
    </r>
    <r>
      <rPr>
        <sz val="11"/>
        <color theme="1"/>
        <rFont val="Aptos Narrow"/>
        <family val="2"/>
        <scheme val="minor"/>
      </rPr>
      <t>,</t>
    </r>
  </si>
  <si>
    <t>Summary of Costs for a 1,000 m³ Liquid Methanol Storage System (800,000 kg )</t>
  </si>
  <si>
    <t>Summary of Costs for a 1,000 MT CO2 Storage System</t>
  </si>
  <si>
    <t>H2_sto</t>
  </si>
  <si>
    <t>CO2 storage</t>
  </si>
  <si>
    <t>CO2storage</t>
  </si>
  <si>
    <t>rawMeOH_sto</t>
  </si>
  <si>
    <t>Liquid pure methanol storage</t>
  </si>
  <si>
    <t>raw_MeOH_sto</t>
  </si>
  <si>
    <t>Raw Liquid MeOH storage</t>
  </si>
  <si>
    <t>AWE</t>
  </si>
  <si>
    <t>Water electrolyzer operation scheduling for green hydrogen production:</t>
  </si>
  <si>
    <t>0.17%/s-0.3%/s</t>
  </si>
  <si>
    <t>Ramp rate</t>
  </si>
  <si>
    <t>Load range</t>
  </si>
  <si>
    <t>15%–100 %</t>
  </si>
  <si>
    <t>Max stream</t>
  </si>
  <si>
    <t>Min stream</t>
  </si>
  <si>
    <t>Compressor</t>
  </si>
  <si>
    <t>Desalinator</t>
  </si>
  <si>
    <t>Electricity to desalinize 1 kg of water</t>
  </si>
  <si>
    <t>Source</t>
  </si>
  <si>
    <t>Feasibility study of methanol production plant from hydrogen and captured carbon dioxide</t>
  </si>
  <si>
    <t>152 kg/h</t>
  </si>
  <si>
    <t> Water consumption</t>
  </si>
  <si>
    <t>285 kg/h</t>
  </si>
  <si>
    <t>O2 outlet per 1 kg produced</t>
  </si>
  <si>
    <t>Water consumption per 1 kg produced</t>
  </si>
  <si>
    <t>Sources</t>
  </si>
  <si>
    <t>Water electrolyzer operation scheduling for green hydrogen production</t>
  </si>
  <si>
    <t>Energy consumption and water production cost of conventional and renewable-energy-powered desalination processes</t>
  </si>
  <si>
    <t>kWh/m3</t>
  </si>
  <si>
    <t>Energy to compress 1 kg of H2 + CO2</t>
  </si>
  <si>
    <t>Initial SOC</t>
  </si>
  <si>
    <t>Final SOC</t>
  </si>
  <si>
    <t>Min operational point</t>
  </si>
  <si>
    <t>Max operational point</t>
  </si>
  <si>
    <t>C rate</t>
  </si>
  <si>
    <t>Cost-optimal Power-to-Methanol: Flexible operation or intermediate storage</t>
  </si>
  <si>
    <t>Op Reac</t>
  </si>
  <si>
    <t>Op Dest</t>
  </si>
  <si>
    <t>Op Elec</t>
  </si>
  <si>
    <t>Machines Operation</t>
  </si>
  <si>
    <t>Min Operation point</t>
  </si>
  <si>
    <t>% over total capacity</t>
  </si>
  <si>
    <t>20%–100%</t>
  </si>
  <si>
    <t>Energy analysis and surrogate modeling for the green methanol production under dynamic operating conditions</t>
  </si>
  <si>
    <t>50%/h</t>
  </si>
  <si>
    <t>Grid</t>
  </si>
  <si>
    <t>*</t>
  </si>
  <si>
    <t>Grid import</t>
  </si>
  <si>
    <t>Danish Energy Agency</t>
  </si>
  <si>
    <t>€/MW</t>
  </si>
  <si>
    <t>Electrolyzer AWE</t>
  </si>
  <si>
    <t>€/ton/day</t>
  </si>
  <si>
    <t>€/ton</t>
  </si>
  <si>
    <t>Seamless steel or aluminum</t>
  </si>
  <si>
    <t>kwh/ton</t>
  </si>
  <si>
    <t>Conversion of units</t>
  </si>
  <si>
    <t>€/MWh</t>
  </si>
  <si>
    <t>120 tons per tank</t>
  </si>
  <si>
    <t>500 kg per tank</t>
  </si>
  <si>
    <t>* notes: Full load hours / capacity factor</t>
  </si>
  <si>
    <t>No sto limit</t>
  </si>
  <si>
    <t>Distilator</t>
  </si>
  <si>
    <t>ton</t>
  </si>
  <si>
    <t>MWh/ton</t>
  </si>
  <si>
    <t>ton/ton</t>
  </si>
  <si>
    <t>Electricity to desalinize 1 ton of water</t>
  </si>
  <si>
    <t>Electricity to desalinize 1 m3 of water</t>
  </si>
  <si>
    <t>ton/h</t>
  </si>
  <si>
    <t>€/ton/h</t>
  </si>
  <si>
    <t>Distillator</t>
  </si>
  <si>
    <t>Battery NA-S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</si>
</sst>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color rgb="FF1F1F1F"/>
      <name val="Georgia"/>
      <family val="1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8E8E8E"/>
      </top>
      <bottom style="medium">
        <color rgb="FF8E8E8E"/>
      </bottom>
      <diagonal/>
    </border>
    <border>
      <left/>
      <right/>
      <top style="medium">
        <color rgb="FF8E8E8E"/>
      </top>
      <bottom/>
      <diagonal/>
    </border>
    <border>
      <left/>
      <right/>
      <top/>
      <bottom style="medium">
        <color rgb="FF8E8E8E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0" fillId="0" borderId="0" xfId="0" applyAlignment="1">
      <alignment horizontal="right"/>
    </xf>
    <xf numFmtId="0" fontId="1" fillId="5" borderId="1" xfId="0" applyFont="1" applyFill="1" applyBorder="1"/>
    <xf numFmtId="0" fontId="1" fillId="6" borderId="1" xfId="0" applyFont="1" applyFill="1" applyBorder="1"/>
    <xf numFmtId="164" fontId="0" fillId="0" borderId="0" xfId="0" applyNumberFormat="1"/>
    <xf numFmtId="0" fontId="0" fillId="0" borderId="1" xfId="0" applyBorder="1"/>
    <xf numFmtId="0" fontId="1" fillId="7" borderId="1" xfId="0" applyFont="1" applyFill="1" applyBorder="1"/>
    <xf numFmtId="2" fontId="0" fillId="0" borderId="0" xfId="0" applyNumberFormat="1"/>
    <xf numFmtId="0" fontId="0" fillId="0" borderId="2" xfId="0" applyBorder="1" applyAlignment="1">
      <alignment horizontal="right"/>
    </xf>
    <xf numFmtId="0" fontId="0" fillId="0" borderId="3" xfId="0" applyBorder="1"/>
    <xf numFmtId="11" fontId="0" fillId="0" borderId="0" xfId="0" applyNumberFormat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0" fontId="2" fillId="0" borderId="0" xfId="0" applyFont="1"/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1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/>
    <xf numFmtId="2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A971-5600-4A59-B90D-8A3105252FE8}">
  <dimension ref="A1:M42"/>
  <sheetViews>
    <sheetView workbookViewId="0">
      <selection activeCell="G12" sqref="G12"/>
    </sheetView>
  </sheetViews>
  <sheetFormatPr defaultRowHeight="14.4" x14ac:dyDescent="0.3"/>
  <cols>
    <col min="1" max="1" width="39" customWidth="1"/>
    <col min="3" max="3" width="11.6640625" style="5" customWidth="1"/>
    <col min="4" max="4" width="34.77734375" customWidth="1"/>
    <col min="6" max="6" width="25" customWidth="1"/>
    <col min="7" max="7" width="9.109375" customWidth="1"/>
    <col min="8" max="8" width="10.88671875" customWidth="1"/>
    <col min="14" max="14" width="12" bestFit="1" customWidth="1"/>
  </cols>
  <sheetData>
    <row r="1" spans="1:13" x14ac:dyDescent="0.3">
      <c r="A1" s="1" t="s">
        <v>3</v>
      </c>
      <c r="B1" s="3"/>
      <c r="D1" t="s">
        <v>95</v>
      </c>
      <c r="L1" t="s">
        <v>95</v>
      </c>
    </row>
    <row r="2" spans="1:13" x14ac:dyDescent="0.3">
      <c r="A2" s="2" t="s">
        <v>0</v>
      </c>
      <c r="D2">
        <f>2050*0.85*1000</f>
        <v>1742500</v>
      </c>
      <c r="F2" s="2" t="s">
        <v>140</v>
      </c>
      <c r="H2" s="5"/>
    </row>
    <row r="3" spans="1:13" ht="15" thickBot="1" x14ac:dyDescent="0.35">
      <c r="A3" t="s">
        <v>1</v>
      </c>
      <c r="D3" s="28" t="s">
        <v>118</v>
      </c>
      <c r="F3" t="s">
        <v>4</v>
      </c>
    </row>
    <row r="4" spans="1:13" x14ac:dyDescent="0.3">
      <c r="A4" t="s">
        <v>35</v>
      </c>
      <c r="B4" s="19">
        <f>0.2*B5</f>
        <v>360000</v>
      </c>
      <c r="C4" s="5" t="s">
        <v>119</v>
      </c>
      <c r="F4" t="s">
        <v>35</v>
      </c>
      <c r="G4" s="34">
        <f>G5*0.2</f>
        <v>44916.4</v>
      </c>
      <c r="H4" s="5" t="s">
        <v>126</v>
      </c>
    </row>
    <row r="5" spans="1:13" x14ac:dyDescent="0.3">
      <c r="A5" t="s">
        <v>34</v>
      </c>
      <c r="B5" s="20">
        <v>1800000</v>
      </c>
      <c r="C5" s="5" t="s">
        <v>119</v>
      </c>
      <c r="F5" t="s">
        <v>34</v>
      </c>
      <c r="G5" s="35">
        <v>224582</v>
      </c>
      <c r="H5" s="5" t="s">
        <v>126</v>
      </c>
      <c r="L5" s="28" t="s">
        <v>118</v>
      </c>
    </row>
    <row r="6" spans="1:13" x14ac:dyDescent="0.3">
      <c r="A6" t="s">
        <v>33</v>
      </c>
      <c r="B6" s="20">
        <f>39000*30</f>
        <v>1170000</v>
      </c>
      <c r="C6" s="5" t="s">
        <v>119</v>
      </c>
      <c r="F6" t="s">
        <v>33</v>
      </c>
      <c r="G6" s="35">
        <f>G5*0.015*30</f>
        <v>101061.9</v>
      </c>
      <c r="H6" s="5" t="s">
        <v>126</v>
      </c>
    </row>
    <row r="7" spans="1:13" ht="15" thickBot="1" x14ac:dyDescent="0.35">
      <c r="A7" t="s">
        <v>32</v>
      </c>
      <c r="B7" s="21">
        <f>B5/10</f>
        <v>180000</v>
      </c>
      <c r="C7" s="5" t="s">
        <v>119</v>
      </c>
      <c r="F7" t="s">
        <v>32</v>
      </c>
      <c r="G7" s="36">
        <f>G5/10</f>
        <v>22458.2</v>
      </c>
      <c r="H7" s="5" t="s">
        <v>126</v>
      </c>
    </row>
    <row r="8" spans="1:13" x14ac:dyDescent="0.3">
      <c r="A8" t="s">
        <v>129</v>
      </c>
      <c r="B8" s="14">
        <v>4800</v>
      </c>
      <c r="C8" s="31">
        <f>B8/8760</f>
        <v>0.54794520547945202</v>
      </c>
    </row>
    <row r="9" spans="1:13" x14ac:dyDescent="0.3">
      <c r="A9" s="2" t="s">
        <v>2</v>
      </c>
      <c r="D9">
        <f>0.45*1000000</f>
        <v>450000</v>
      </c>
      <c r="F9" s="2" t="s">
        <v>5</v>
      </c>
      <c r="G9" s="5"/>
      <c r="H9" s="5"/>
      <c r="I9" s="15" t="s">
        <v>67</v>
      </c>
      <c r="M9" t="s">
        <v>123</v>
      </c>
    </row>
    <row r="10" spans="1:13" ht="15" thickBot="1" x14ac:dyDescent="0.35">
      <c r="A10" t="s">
        <v>1</v>
      </c>
      <c r="D10" s="28" t="s">
        <v>118</v>
      </c>
      <c r="F10" t="s">
        <v>10</v>
      </c>
      <c r="H10" s="5"/>
    </row>
    <row r="11" spans="1:13" x14ac:dyDescent="0.3">
      <c r="A11" t="s">
        <v>35</v>
      </c>
      <c r="B11" s="16">
        <f>0.2*B12</f>
        <v>76000</v>
      </c>
      <c r="C11" s="5" t="s">
        <v>119</v>
      </c>
      <c r="F11" t="s">
        <v>35</v>
      </c>
      <c r="G11" s="16">
        <f>G12*0.2</f>
        <v>100000</v>
      </c>
      <c r="H11" s="5" t="s">
        <v>122</v>
      </c>
      <c r="K11" s="5"/>
    </row>
    <row r="12" spans="1:13" x14ac:dyDescent="0.3">
      <c r="A12" t="s">
        <v>34</v>
      </c>
      <c r="B12" s="17">
        <v>380000</v>
      </c>
      <c r="C12" s="5" t="s">
        <v>119</v>
      </c>
      <c r="F12" t="s">
        <v>34</v>
      </c>
      <c r="G12" s="17">
        <v>500000</v>
      </c>
      <c r="H12" s="5" t="s">
        <v>122</v>
      </c>
      <c r="L12" s="28" t="s">
        <v>118</v>
      </c>
    </row>
    <row r="13" spans="1:13" x14ac:dyDescent="0.3">
      <c r="A13" t="s">
        <v>33</v>
      </c>
      <c r="B13" s="17">
        <f>9300*30</f>
        <v>279000</v>
      </c>
      <c r="C13" s="5" t="s">
        <v>119</v>
      </c>
      <c r="F13" t="s">
        <v>33</v>
      </c>
      <c r="G13" s="17">
        <f>G12*0.01*30</f>
        <v>150000</v>
      </c>
      <c r="H13" s="5" t="s">
        <v>122</v>
      </c>
      <c r="K13" s="5"/>
    </row>
    <row r="14" spans="1:13" ht="15" thickBot="1" x14ac:dyDescent="0.35">
      <c r="A14" t="s">
        <v>32</v>
      </c>
      <c r="B14" s="18">
        <f>B12/10</f>
        <v>38000</v>
      </c>
      <c r="C14" s="5" t="s">
        <v>119</v>
      </c>
      <c r="F14" t="s">
        <v>32</v>
      </c>
      <c r="G14" s="18">
        <f>G12*0.1</f>
        <v>50000</v>
      </c>
      <c r="H14" s="5" t="s">
        <v>122</v>
      </c>
      <c r="K14" s="5"/>
    </row>
    <row r="15" spans="1:13" x14ac:dyDescent="0.3">
      <c r="A15" t="s">
        <v>129</v>
      </c>
      <c r="B15" s="14">
        <v>1484</v>
      </c>
      <c r="C15" s="31">
        <f>B15/8760</f>
        <v>0.16940639269406393</v>
      </c>
    </row>
    <row r="16" spans="1:13" x14ac:dyDescent="0.3">
      <c r="A16" s="2" t="s">
        <v>120</v>
      </c>
      <c r="D16" s="28" t="s">
        <v>118</v>
      </c>
      <c r="F16" s="2" t="s">
        <v>8</v>
      </c>
      <c r="G16" s="5"/>
      <c r="H16" s="5"/>
      <c r="I16" s="15" t="s">
        <v>68</v>
      </c>
    </row>
    <row r="17" spans="1:11" ht="30" customHeight="1" thickBot="1" x14ac:dyDescent="0.35">
      <c r="A17" t="s">
        <v>1</v>
      </c>
      <c r="D17" s="27" t="s">
        <v>96</v>
      </c>
      <c r="F17" t="s">
        <v>10</v>
      </c>
    </row>
    <row r="18" spans="1:11" x14ac:dyDescent="0.3">
      <c r="A18" t="s">
        <v>35</v>
      </c>
      <c r="B18" s="16">
        <f>0.2*B19</f>
        <v>110000</v>
      </c>
      <c r="C18" s="5" t="s">
        <v>119</v>
      </c>
      <c r="F18" t="s">
        <v>35</v>
      </c>
      <c r="G18" s="16">
        <f>G19*0.2</f>
        <v>380</v>
      </c>
      <c r="H18" s="5" t="s">
        <v>122</v>
      </c>
    </row>
    <row r="19" spans="1:11" x14ac:dyDescent="0.3">
      <c r="A19" t="s">
        <v>34</v>
      </c>
      <c r="B19" s="17">
        <v>550000</v>
      </c>
      <c r="C19" s="5" t="s">
        <v>119</v>
      </c>
      <c r="F19" t="s">
        <v>34</v>
      </c>
      <c r="G19" s="17">
        <f>G26/2</f>
        <v>1900</v>
      </c>
      <c r="H19" s="5" t="s">
        <v>122</v>
      </c>
      <c r="I19" s="5"/>
    </row>
    <row r="20" spans="1:11" x14ac:dyDescent="0.3">
      <c r="A20" t="s">
        <v>33</v>
      </c>
      <c r="B20" s="17">
        <f>B19*0.04*30</f>
        <v>660000</v>
      </c>
      <c r="C20" s="5" t="s">
        <v>119</v>
      </c>
      <c r="F20" t="s">
        <v>33</v>
      </c>
      <c r="G20" s="17">
        <f>G27/2</f>
        <v>1710</v>
      </c>
      <c r="H20" s="5" t="s">
        <v>122</v>
      </c>
    </row>
    <row r="21" spans="1:11" ht="15" thickBot="1" x14ac:dyDescent="0.35">
      <c r="A21" t="s">
        <v>32</v>
      </c>
      <c r="B21" s="18">
        <f>B19/10</f>
        <v>55000</v>
      </c>
      <c r="C21" s="5" t="s">
        <v>119</v>
      </c>
      <c r="F21" t="s">
        <v>32</v>
      </c>
      <c r="G21" s="18">
        <f>G19*0.1</f>
        <v>190</v>
      </c>
      <c r="H21" s="5" t="s">
        <v>122</v>
      </c>
    </row>
    <row r="22" spans="1:11" x14ac:dyDescent="0.3">
      <c r="I22" s="5"/>
      <c r="J22" s="5"/>
    </row>
    <row r="23" spans="1:11" x14ac:dyDescent="0.3">
      <c r="A23" s="2" t="s">
        <v>6</v>
      </c>
      <c r="F23" s="2" t="s">
        <v>63</v>
      </c>
      <c r="G23" s="5"/>
      <c r="H23" s="5"/>
      <c r="I23" s="15" t="s">
        <v>69</v>
      </c>
    </row>
    <row r="24" spans="1:11" ht="43.8" customHeight="1" thickBot="1" x14ac:dyDescent="0.35">
      <c r="A24" t="s">
        <v>65</v>
      </c>
      <c r="D24" s="27" t="s">
        <v>89</v>
      </c>
      <c r="F24" t="s">
        <v>10</v>
      </c>
      <c r="H24" s="5"/>
    </row>
    <row r="25" spans="1:11" x14ac:dyDescent="0.3">
      <c r="A25" t="s">
        <v>35</v>
      </c>
      <c r="B25" s="16">
        <f>B26*0.2</f>
        <v>700000</v>
      </c>
      <c r="C25" s="5" t="s">
        <v>138</v>
      </c>
      <c r="F25" t="s">
        <v>35</v>
      </c>
      <c r="G25" s="16">
        <f>G26*0.2</f>
        <v>760</v>
      </c>
      <c r="H25" s="5" t="s">
        <v>122</v>
      </c>
      <c r="K25" s="5"/>
    </row>
    <row r="26" spans="1:11" x14ac:dyDescent="0.3">
      <c r="A26" t="s">
        <v>34</v>
      </c>
      <c r="B26" s="17">
        <v>3500000</v>
      </c>
      <c r="C26" s="5" t="s">
        <v>138</v>
      </c>
      <c r="F26" t="s">
        <v>34</v>
      </c>
      <c r="G26" s="17">
        <f>3800</f>
        <v>3800</v>
      </c>
      <c r="H26" s="5" t="s">
        <v>122</v>
      </c>
      <c r="J26" s="28" t="s">
        <v>118</v>
      </c>
    </row>
    <row r="27" spans="1:11" x14ac:dyDescent="0.3">
      <c r="A27" t="s">
        <v>66</v>
      </c>
      <c r="B27" s="17">
        <f>B26*0.03*30</f>
        <v>3150000</v>
      </c>
      <c r="C27" s="5" t="s">
        <v>138</v>
      </c>
      <c r="F27" t="s">
        <v>33</v>
      </c>
      <c r="G27" s="17">
        <f>114*30</f>
        <v>3420</v>
      </c>
      <c r="H27" s="5" t="s">
        <v>122</v>
      </c>
      <c r="K27" s="5"/>
    </row>
    <row r="28" spans="1:11" ht="15" thickBot="1" x14ac:dyDescent="0.35">
      <c r="A28" t="s">
        <v>32</v>
      </c>
      <c r="B28" s="18">
        <f>B26/10</f>
        <v>350000</v>
      </c>
      <c r="C28" s="5" t="s">
        <v>138</v>
      </c>
      <c r="F28" t="s">
        <v>32</v>
      </c>
      <c r="G28" s="18">
        <f>G26*0.1</f>
        <v>380</v>
      </c>
      <c r="H28" s="5" t="s">
        <v>122</v>
      </c>
      <c r="K28" s="5"/>
    </row>
    <row r="30" spans="1:11" x14ac:dyDescent="0.3">
      <c r="A30" s="2" t="s">
        <v>131</v>
      </c>
      <c r="F30" s="2" t="s">
        <v>74</v>
      </c>
      <c r="I30" t="s">
        <v>68</v>
      </c>
    </row>
    <row r="31" spans="1:11" ht="15" thickBot="1" x14ac:dyDescent="0.35">
      <c r="A31" t="s">
        <v>9</v>
      </c>
      <c r="F31" t="s">
        <v>10</v>
      </c>
    </row>
    <row r="32" spans="1:11" x14ac:dyDescent="0.3">
      <c r="A32" t="s">
        <v>35</v>
      </c>
      <c r="B32" s="16">
        <f>B25*0.8</f>
        <v>560000</v>
      </c>
      <c r="C32" s="5" t="s">
        <v>138</v>
      </c>
      <c r="F32" t="s">
        <v>35</v>
      </c>
      <c r="G32" s="16">
        <f>G33*0.2</f>
        <v>380</v>
      </c>
      <c r="H32" s="5" t="s">
        <v>122</v>
      </c>
    </row>
    <row r="33" spans="1:8" x14ac:dyDescent="0.3">
      <c r="A33" t="s">
        <v>34</v>
      </c>
      <c r="B33" s="17">
        <f>B26*0.7</f>
        <v>2450000</v>
      </c>
      <c r="C33" s="5" t="s">
        <v>138</v>
      </c>
      <c r="F33" t="s">
        <v>34</v>
      </c>
      <c r="G33" s="17">
        <f>G19</f>
        <v>1900</v>
      </c>
      <c r="H33" s="5" t="s">
        <v>122</v>
      </c>
    </row>
    <row r="34" spans="1:8" x14ac:dyDescent="0.3">
      <c r="A34" t="s">
        <v>33</v>
      </c>
      <c r="B34" s="17">
        <f>B27*0.7</f>
        <v>2205000</v>
      </c>
      <c r="C34" s="5" t="s">
        <v>138</v>
      </c>
      <c r="F34" t="s">
        <v>33</v>
      </c>
      <c r="G34" s="17">
        <v>114</v>
      </c>
      <c r="H34" s="5" t="s">
        <v>122</v>
      </c>
    </row>
    <row r="35" spans="1:8" ht="15" thickBot="1" x14ac:dyDescent="0.35">
      <c r="A35" t="s">
        <v>32</v>
      </c>
      <c r="B35" s="18">
        <f t="shared" ref="B35" si="0">B28*0.8</f>
        <v>280000</v>
      </c>
      <c r="C35" s="5" t="s">
        <v>138</v>
      </c>
      <c r="F35" t="s">
        <v>32</v>
      </c>
      <c r="G35" s="18">
        <f>G33*0.1</f>
        <v>190</v>
      </c>
      <c r="H35" s="5" t="s">
        <v>122</v>
      </c>
    </row>
    <row r="37" spans="1:8" x14ac:dyDescent="0.3">
      <c r="B37">
        <f>B26+B33</f>
        <v>5950000</v>
      </c>
    </row>
    <row r="38" spans="1:8" x14ac:dyDescent="0.3">
      <c r="B38" s="15">
        <v>250000</v>
      </c>
      <c r="C38" s="29" t="s">
        <v>121</v>
      </c>
      <c r="D38" s="28" t="s">
        <v>118</v>
      </c>
    </row>
    <row r="39" spans="1:8" x14ac:dyDescent="0.3">
      <c r="B39" s="30">
        <f>B38*24</f>
        <v>6000000</v>
      </c>
      <c r="C39" s="29" t="s">
        <v>138</v>
      </c>
      <c r="D39" s="22" t="s">
        <v>125</v>
      </c>
    </row>
    <row r="41" spans="1:8" x14ac:dyDescent="0.3">
      <c r="C41" s="5">
        <f>1.09*138/600</f>
        <v>0.25070000000000003</v>
      </c>
    </row>
    <row r="42" spans="1:8" x14ac:dyDescent="0.3">
      <c r="B42">
        <f>150*365</f>
        <v>54750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E529-4DDB-4C76-B0BD-D49B3257F7A0}">
  <dimension ref="A1:AP35"/>
  <sheetViews>
    <sheetView workbookViewId="0">
      <selection activeCell="AJ6" sqref="AJ6"/>
    </sheetView>
  </sheetViews>
  <sheetFormatPr defaultColWidth="8.77734375" defaultRowHeight="14.4" x14ac:dyDescent="0.3"/>
  <cols>
    <col min="2" max="2" width="10" customWidth="1"/>
    <col min="31" max="31" width="13.109375" customWidth="1"/>
    <col min="32" max="33" width="13.44140625" customWidth="1"/>
    <col min="34" max="34" width="13.33203125" customWidth="1"/>
  </cols>
  <sheetData>
    <row r="1" spans="1:42" x14ac:dyDescent="0.3">
      <c r="A1" t="s">
        <v>38</v>
      </c>
      <c r="B1" t="s">
        <v>39</v>
      </c>
      <c r="C1" t="s">
        <v>37</v>
      </c>
      <c r="D1" t="s">
        <v>37</v>
      </c>
      <c r="E1" t="s">
        <v>37</v>
      </c>
      <c r="F1" t="s">
        <v>37</v>
      </c>
      <c r="G1" t="s">
        <v>36</v>
      </c>
      <c r="H1" t="s">
        <v>36</v>
      </c>
      <c r="I1" t="s">
        <v>36</v>
      </c>
      <c r="J1" t="s">
        <v>36</v>
      </c>
      <c r="K1" t="s">
        <v>57</v>
      </c>
      <c r="L1" t="s">
        <v>57</v>
      </c>
      <c r="M1" t="s">
        <v>57</v>
      </c>
      <c r="N1" t="s">
        <v>57</v>
      </c>
      <c r="O1" t="s">
        <v>58</v>
      </c>
      <c r="P1" t="s">
        <v>58</v>
      </c>
      <c r="Q1" t="s">
        <v>58</v>
      </c>
      <c r="R1" t="s">
        <v>58</v>
      </c>
      <c r="S1" t="s">
        <v>59</v>
      </c>
      <c r="T1" t="s">
        <v>59</v>
      </c>
      <c r="U1" t="s">
        <v>59</v>
      </c>
      <c r="V1" t="s">
        <v>59</v>
      </c>
      <c r="W1" t="s">
        <v>60</v>
      </c>
      <c r="X1" t="s">
        <v>60</v>
      </c>
      <c r="Y1" t="s">
        <v>60</v>
      </c>
      <c r="Z1" t="s">
        <v>60</v>
      </c>
      <c r="AA1" t="s">
        <v>61</v>
      </c>
      <c r="AB1" t="s">
        <v>61</v>
      </c>
      <c r="AC1" t="s">
        <v>61</v>
      </c>
      <c r="AD1" t="s">
        <v>61</v>
      </c>
      <c r="AE1" t="s">
        <v>75</v>
      </c>
      <c r="AF1" t="s">
        <v>75</v>
      </c>
      <c r="AG1" t="s">
        <v>75</v>
      </c>
      <c r="AH1" t="s">
        <v>75</v>
      </c>
      <c r="AI1" t="s">
        <v>64</v>
      </c>
      <c r="AJ1" t="s">
        <v>64</v>
      </c>
      <c r="AK1" t="s">
        <v>64</v>
      </c>
      <c r="AL1" t="s">
        <v>64</v>
      </c>
      <c r="AM1" t="s">
        <v>62</v>
      </c>
      <c r="AN1" t="s">
        <v>62</v>
      </c>
      <c r="AO1" t="s">
        <v>62</v>
      </c>
      <c r="AP1" t="s">
        <v>62</v>
      </c>
    </row>
    <row r="2" spans="1:42" s="9" customFormat="1" x14ac:dyDescent="0.3">
      <c r="C2" s="9" t="s">
        <v>35</v>
      </c>
      <c r="D2" s="9" t="s">
        <v>34</v>
      </c>
      <c r="E2" s="9" t="s">
        <v>33</v>
      </c>
      <c r="F2" s="9" t="s">
        <v>32</v>
      </c>
      <c r="G2" s="9" t="s">
        <v>35</v>
      </c>
      <c r="H2" s="9" t="s">
        <v>34</v>
      </c>
      <c r="I2" s="9" t="s">
        <v>33</v>
      </c>
      <c r="J2" s="9" t="s">
        <v>32</v>
      </c>
      <c r="K2" s="9" t="s">
        <v>35</v>
      </c>
      <c r="L2" s="9" t="s">
        <v>34</v>
      </c>
      <c r="M2" s="9" t="s">
        <v>33</v>
      </c>
      <c r="N2" s="9" t="s">
        <v>32</v>
      </c>
      <c r="O2" s="9" t="s">
        <v>35</v>
      </c>
      <c r="P2" s="9" t="s">
        <v>34</v>
      </c>
      <c r="Q2" s="9" t="s">
        <v>33</v>
      </c>
      <c r="R2" s="9" t="s">
        <v>32</v>
      </c>
      <c r="S2" s="9" t="s">
        <v>35</v>
      </c>
      <c r="T2" s="9" t="s">
        <v>34</v>
      </c>
      <c r="U2" s="9" t="s">
        <v>33</v>
      </c>
      <c r="V2" s="9" t="s">
        <v>32</v>
      </c>
      <c r="W2" s="9" t="s">
        <v>35</v>
      </c>
      <c r="X2" s="9" t="s">
        <v>34</v>
      </c>
      <c r="Y2" s="9" t="s">
        <v>33</v>
      </c>
      <c r="Z2" s="9" t="s">
        <v>32</v>
      </c>
      <c r="AA2" s="9" t="s">
        <v>35</v>
      </c>
      <c r="AB2" s="9" t="s">
        <v>34</v>
      </c>
      <c r="AC2" s="9" t="s">
        <v>33</v>
      </c>
      <c r="AD2" s="9" t="s">
        <v>32</v>
      </c>
      <c r="AE2" s="9" t="s">
        <v>35</v>
      </c>
      <c r="AF2" s="9" t="s">
        <v>34</v>
      </c>
      <c r="AG2" s="9" t="s">
        <v>33</v>
      </c>
      <c r="AH2" s="9" t="s">
        <v>32</v>
      </c>
      <c r="AI2" s="9" t="s">
        <v>35</v>
      </c>
      <c r="AJ2" s="9" t="s">
        <v>34</v>
      </c>
      <c r="AK2" s="9" t="s">
        <v>33</v>
      </c>
      <c r="AL2" s="9" t="s">
        <v>32</v>
      </c>
      <c r="AM2" s="9" t="s">
        <v>35</v>
      </c>
      <c r="AN2" s="9" t="s">
        <v>34</v>
      </c>
      <c r="AO2" s="9" t="s">
        <v>33</v>
      </c>
      <c r="AP2" s="9" t="s">
        <v>32</v>
      </c>
    </row>
    <row r="3" spans="1:42" x14ac:dyDescent="0.3">
      <c r="A3">
        <v>0</v>
      </c>
      <c r="B3" s="26">
        <f>1/(1+'Financial param'!$B$1/100)^A3</f>
        <v>1</v>
      </c>
      <c r="C3" s="8">
        <f>1/3</f>
        <v>0.33333333333333331</v>
      </c>
      <c r="D3" s="8">
        <f>1/3</f>
        <v>0.33333333333333331</v>
      </c>
      <c r="E3">
        <v>0</v>
      </c>
      <c r="F3">
        <v>0</v>
      </c>
      <c r="G3" s="8">
        <f>1/3</f>
        <v>0.33333333333333331</v>
      </c>
      <c r="H3">
        <v>0</v>
      </c>
      <c r="I3">
        <v>0</v>
      </c>
      <c r="J3">
        <v>0</v>
      </c>
      <c r="K3" s="8">
        <f>1/3</f>
        <v>0.33333333333333331</v>
      </c>
      <c r="L3">
        <v>0</v>
      </c>
      <c r="M3">
        <v>0</v>
      </c>
      <c r="N3">
        <v>0</v>
      </c>
      <c r="O3" s="8">
        <f>1/3</f>
        <v>0.33333333333333331</v>
      </c>
      <c r="P3">
        <v>0</v>
      </c>
      <c r="Q3">
        <v>0</v>
      </c>
      <c r="R3">
        <v>0</v>
      </c>
      <c r="S3" s="8">
        <f>1/3</f>
        <v>0.33333333333333331</v>
      </c>
      <c r="T3">
        <v>0</v>
      </c>
      <c r="U3">
        <v>0</v>
      </c>
      <c r="V3">
        <v>0</v>
      </c>
      <c r="W3" s="8">
        <f>1/3</f>
        <v>0.33333333333333331</v>
      </c>
      <c r="X3">
        <v>0</v>
      </c>
      <c r="Y3">
        <v>0</v>
      </c>
      <c r="Z3">
        <v>0</v>
      </c>
      <c r="AA3" s="8">
        <f>1/3</f>
        <v>0.33333333333333331</v>
      </c>
      <c r="AB3">
        <v>0</v>
      </c>
      <c r="AC3">
        <v>0</v>
      </c>
      <c r="AD3">
        <v>0</v>
      </c>
      <c r="AE3" s="8">
        <f>1/3</f>
        <v>0.33333333333333331</v>
      </c>
      <c r="AF3">
        <v>0</v>
      </c>
      <c r="AG3">
        <v>0</v>
      </c>
      <c r="AH3">
        <v>0</v>
      </c>
      <c r="AI3" s="8">
        <f>1/3</f>
        <v>0.33333333333333331</v>
      </c>
      <c r="AJ3">
        <v>0</v>
      </c>
      <c r="AK3">
        <v>0</v>
      </c>
      <c r="AL3">
        <v>0</v>
      </c>
      <c r="AM3" s="8">
        <f>1/3</f>
        <v>0.33333333333333331</v>
      </c>
      <c r="AN3">
        <v>0</v>
      </c>
      <c r="AO3">
        <v>0</v>
      </c>
      <c r="AP3">
        <v>0</v>
      </c>
    </row>
    <row r="4" spans="1:42" x14ac:dyDescent="0.3">
      <c r="A4">
        <v>1</v>
      </c>
      <c r="B4" s="8">
        <f>1/(1+'Financial param'!$B$1/100)^A4</f>
        <v>0.92592592592592582</v>
      </c>
      <c r="C4" s="8">
        <f t="shared" ref="C4:D5" si="0">1/3</f>
        <v>0.33333333333333331</v>
      </c>
      <c r="D4" s="8">
        <f t="shared" si="0"/>
        <v>0.33333333333333331</v>
      </c>
      <c r="E4">
        <v>0</v>
      </c>
      <c r="F4">
        <v>0</v>
      </c>
      <c r="G4" s="8">
        <f t="shared" ref="G4:G5" si="1">1/3</f>
        <v>0.33333333333333331</v>
      </c>
      <c r="H4">
        <v>0</v>
      </c>
      <c r="I4">
        <v>0</v>
      </c>
      <c r="J4">
        <v>0</v>
      </c>
      <c r="K4" s="8">
        <f t="shared" ref="K4:K5" si="2">1/3</f>
        <v>0.33333333333333331</v>
      </c>
      <c r="L4">
        <v>0.5</v>
      </c>
      <c r="M4">
        <v>0</v>
      </c>
      <c r="N4">
        <v>0</v>
      </c>
      <c r="O4" s="8">
        <f t="shared" ref="O4:O5" si="3">1/3</f>
        <v>0.33333333333333331</v>
      </c>
      <c r="P4">
        <v>0.5</v>
      </c>
      <c r="Q4">
        <v>0</v>
      </c>
      <c r="R4">
        <v>0</v>
      </c>
      <c r="S4" s="8">
        <f t="shared" ref="S4:S5" si="4">1/3</f>
        <v>0.33333333333333331</v>
      </c>
      <c r="T4">
        <v>0.5</v>
      </c>
      <c r="U4">
        <v>0</v>
      </c>
      <c r="V4">
        <v>0</v>
      </c>
      <c r="W4" s="8">
        <f t="shared" ref="W4:W5" si="5">1/3</f>
        <v>0.33333333333333331</v>
      </c>
      <c r="X4">
        <v>0</v>
      </c>
      <c r="Y4">
        <v>0</v>
      </c>
      <c r="Z4">
        <v>0</v>
      </c>
      <c r="AA4" s="8">
        <f t="shared" ref="AA4:AA5" si="6">1/3</f>
        <v>0.33333333333333331</v>
      </c>
      <c r="AB4">
        <v>0</v>
      </c>
      <c r="AC4">
        <v>0</v>
      </c>
      <c r="AD4">
        <v>0</v>
      </c>
      <c r="AE4" s="8">
        <f t="shared" ref="AE4:AE5" si="7">1/3</f>
        <v>0.33333333333333331</v>
      </c>
      <c r="AF4">
        <v>0</v>
      </c>
      <c r="AG4">
        <v>0</v>
      </c>
      <c r="AH4">
        <v>0</v>
      </c>
      <c r="AI4" s="8">
        <f t="shared" ref="AI4:AI5" si="8">1/3</f>
        <v>0.33333333333333331</v>
      </c>
      <c r="AJ4">
        <v>0.5</v>
      </c>
      <c r="AK4">
        <v>0</v>
      </c>
      <c r="AL4">
        <v>0</v>
      </c>
      <c r="AM4" s="8">
        <f t="shared" ref="AM4:AM5" si="9">1/3</f>
        <v>0.33333333333333331</v>
      </c>
      <c r="AN4">
        <v>0</v>
      </c>
      <c r="AO4">
        <v>0</v>
      </c>
      <c r="AP4">
        <v>0</v>
      </c>
    </row>
    <row r="5" spans="1:42" x14ac:dyDescent="0.3">
      <c r="A5">
        <v>2</v>
      </c>
      <c r="B5" s="8">
        <f>1/(1+'Financial param'!$B$1/100)^A5</f>
        <v>0.85733882030178321</v>
      </c>
      <c r="C5" s="8">
        <f t="shared" si="0"/>
        <v>0.33333333333333331</v>
      </c>
      <c r="D5" s="8">
        <f t="shared" si="0"/>
        <v>0.33333333333333331</v>
      </c>
      <c r="E5">
        <v>0</v>
      </c>
      <c r="F5">
        <v>0</v>
      </c>
      <c r="G5" s="8">
        <f t="shared" si="1"/>
        <v>0.33333333333333331</v>
      </c>
      <c r="H5">
        <v>1</v>
      </c>
      <c r="I5">
        <v>0</v>
      </c>
      <c r="J5">
        <v>0</v>
      </c>
      <c r="K5" s="8">
        <f t="shared" si="2"/>
        <v>0.33333333333333331</v>
      </c>
      <c r="L5">
        <v>0.5</v>
      </c>
      <c r="M5">
        <v>0</v>
      </c>
      <c r="N5">
        <v>0</v>
      </c>
      <c r="O5" s="8">
        <f t="shared" si="3"/>
        <v>0.33333333333333331</v>
      </c>
      <c r="P5">
        <v>0.5</v>
      </c>
      <c r="Q5">
        <v>0</v>
      </c>
      <c r="R5">
        <v>0</v>
      </c>
      <c r="S5" s="8">
        <f t="shared" si="4"/>
        <v>0.33333333333333331</v>
      </c>
      <c r="T5">
        <v>0.5</v>
      </c>
      <c r="U5">
        <v>0</v>
      </c>
      <c r="V5">
        <v>0</v>
      </c>
      <c r="W5" s="8">
        <f t="shared" si="5"/>
        <v>0.33333333333333331</v>
      </c>
      <c r="X5">
        <v>1</v>
      </c>
      <c r="Y5">
        <v>0</v>
      </c>
      <c r="Z5">
        <v>0</v>
      </c>
      <c r="AA5" s="8">
        <f t="shared" si="6"/>
        <v>0.33333333333333331</v>
      </c>
      <c r="AB5">
        <v>1</v>
      </c>
      <c r="AC5">
        <v>0</v>
      </c>
      <c r="AD5">
        <v>0</v>
      </c>
      <c r="AE5" s="8">
        <f t="shared" si="7"/>
        <v>0.33333333333333331</v>
      </c>
      <c r="AF5">
        <v>1</v>
      </c>
      <c r="AG5">
        <v>0</v>
      </c>
      <c r="AH5">
        <v>0</v>
      </c>
      <c r="AI5" s="8">
        <f t="shared" si="8"/>
        <v>0.33333333333333331</v>
      </c>
      <c r="AJ5">
        <v>0.5</v>
      </c>
      <c r="AK5">
        <v>0</v>
      </c>
      <c r="AL5">
        <v>0</v>
      </c>
      <c r="AM5" s="8">
        <f t="shared" si="9"/>
        <v>0.33333333333333331</v>
      </c>
      <c r="AN5">
        <v>1</v>
      </c>
      <c r="AO5">
        <v>0</v>
      </c>
      <c r="AP5">
        <v>0</v>
      </c>
    </row>
    <row r="6" spans="1:42" x14ac:dyDescent="0.3">
      <c r="A6">
        <v>3</v>
      </c>
      <c r="B6" s="8">
        <f>1/(1+'Financial param'!$B$1/100)^A6</f>
        <v>0.79383224102016958</v>
      </c>
      <c r="C6">
        <v>0</v>
      </c>
      <c r="D6">
        <v>0</v>
      </c>
      <c r="E6" s="8">
        <f t="shared" ref="E6:E35" si="10">1/30</f>
        <v>3.3333333333333333E-2</v>
      </c>
      <c r="F6">
        <v>0</v>
      </c>
      <c r="G6">
        <v>0</v>
      </c>
      <c r="H6">
        <v>0</v>
      </c>
      <c r="I6" s="8">
        <v>3.3333333333333333E-2</v>
      </c>
      <c r="J6">
        <v>0</v>
      </c>
      <c r="K6">
        <v>0</v>
      </c>
      <c r="L6">
        <v>0</v>
      </c>
      <c r="M6" s="8">
        <v>3.3333333333333333E-2</v>
      </c>
      <c r="N6">
        <v>0</v>
      </c>
      <c r="O6">
        <v>0</v>
      </c>
      <c r="P6">
        <v>0</v>
      </c>
      <c r="Q6" s="8">
        <v>3.3333333333333333E-2</v>
      </c>
      <c r="R6">
        <v>0</v>
      </c>
      <c r="S6">
        <v>0</v>
      </c>
      <c r="T6">
        <v>0</v>
      </c>
      <c r="U6" s="8">
        <v>3.3333333333333333E-2</v>
      </c>
      <c r="V6">
        <v>0</v>
      </c>
      <c r="W6">
        <v>0</v>
      </c>
      <c r="X6">
        <v>0</v>
      </c>
      <c r="Y6" s="8">
        <v>3.3333333333333333E-2</v>
      </c>
      <c r="Z6">
        <v>0</v>
      </c>
      <c r="AA6">
        <v>0</v>
      </c>
      <c r="AB6">
        <v>0</v>
      </c>
      <c r="AC6" s="8">
        <v>3.3333333333333333E-2</v>
      </c>
      <c r="AD6">
        <v>0</v>
      </c>
      <c r="AE6">
        <v>0</v>
      </c>
      <c r="AF6">
        <v>0</v>
      </c>
      <c r="AG6" s="8">
        <v>3.3333333333333333E-2</v>
      </c>
      <c r="AH6">
        <v>0</v>
      </c>
      <c r="AI6">
        <v>0</v>
      </c>
      <c r="AJ6">
        <v>0</v>
      </c>
      <c r="AK6" s="8">
        <v>3.3333333333333333E-2</v>
      </c>
      <c r="AL6">
        <v>0</v>
      </c>
      <c r="AM6">
        <v>0</v>
      </c>
      <c r="AN6">
        <v>0</v>
      </c>
      <c r="AO6" s="8">
        <v>3.3333333333333333E-2</v>
      </c>
      <c r="AP6">
        <v>0</v>
      </c>
    </row>
    <row r="7" spans="1:42" x14ac:dyDescent="0.3">
      <c r="A7">
        <v>4</v>
      </c>
      <c r="B7" s="8">
        <f>1/(1+'Financial param'!$B$1/100)^A7</f>
        <v>0.73502985279645328</v>
      </c>
      <c r="C7">
        <v>0</v>
      </c>
      <c r="D7">
        <v>0</v>
      </c>
      <c r="E7" s="8">
        <f t="shared" si="10"/>
        <v>3.3333333333333333E-2</v>
      </c>
      <c r="F7">
        <v>0</v>
      </c>
      <c r="G7">
        <v>0</v>
      </c>
      <c r="H7">
        <v>0</v>
      </c>
      <c r="I7" s="8">
        <v>3.3333333333333333E-2</v>
      </c>
      <c r="J7">
        <v>0</v>
      </c>
      <c r="K7">
        <v>0</v>
      </c>
      <c r="L7">
        <v>0</v>
      </c>
      <c r="M7" s="8">
        <v>3.3333333333333333E-2</v>
      </c>
      <c r="N7">
        <v>0</v>
      </c>
      <c r="O7">
        <v>0</v>
      </c>
      <c r="P7">
        <v>0</v>
      </c>
      <c r="Q7" s="8">
        <v>3.3333333333333333E-2</v>
      </c>
      <c r="R7">
        <v>0</v>
      </c>
      <c r="S7">
        <v>0</v>
      </c>
      <c r="T7">
        <v>0</v>
      </c>
      <c r="U7" s="8">
        <v>3.3333333333333333E-2</v>
      </c>
      <c r="V7">
        <v>0</v>
      </c>
      <c r="W7">
        <v>0</v>
      </c>
      <c r="X7">
        <v>0</v>
      </c>
      <c r="Y7" s="8">
        <v>3.3333333333333333E-2</v>
      </c>
      <c r="Z7">
        <v>0</v>
      </c>
      <c r="AA7">
        <v>0</v>
      </c>
      <c r="AB7">
        <v>0</v>
      </c>
      <c r="AC7" s="8">
        <v>3.3333333333333333E-2</v>
      </c>
      <c r="AD7">
        <v>0</v>
      </c>
      <c r="AE7">
        <v>0</v>
      </c>
      <c r="AF7">
        <v>0</v>
      </c>
      <c r="AG7" s="8">
        <v>3.3333333333333333E-2</v>
      </c>
      <c r="AH7">
        <v>0</v>
      </c>
      <c r="AI7">
        <v>0</v>
      </c>
      <c r="AJ7">
        <v>0</v>
      </c>
      <c r="AK7" s="8">
        <v>3.3333333333333333E-2</v>
      </c>
      <c r="AL7">
        <v>0</v>
      </c>
      <c r="AM7">
        <v>0</v>
      </c>
      <c r="AN7">
        <v>0</v>
      </c>
      <c r="AO7" s="8">
        <v>3.3333333333333333E-2</v>
      </c>
      <c r="AP7">
        <v>0</v>
      </c>
    </row>
    <row r="8" spans="1:42" x14ac:dyDescent="0.3">
      <c r="A8">
        <v>5</v>
      </c>
      <c r="B8" s="8">
        <f>1/(1+'Financial param'!$B$1/100)^A8</f>
        <v>0.68058319703375303</v>
      </c>
      <c r="C8">
        <v>0</v>
      </c>
      <c r="D8">
        <v>0</v>
      </c>
      <c r="E8" s="8">
        <f t="shared" si="10"/>
        <v>3.3333333333333333E-2</v>
      </c>
      <c r="F8">
        <v>0</v>
      </c>
      <c r="G8">
        <v>0</v>
      </c>
      <c r="H8">
        <v>0</v>
      </c>
      <c r="I8" s="8">
        <v>3.3333333333333333E-2</v>
      </c>
      <c r="J8">
        <v>0</v>
      </c>
      <c r="K8">
        <v>0</v>
      </c>
      <c r="L8">
        <v>0</v>
      </c>
      <c r="M8" s="8">
        <v>3.3333333333333333E-2</v>
      </c>
      <c r="N8">
        <v>0</v>
      </c>
      <c r="O8">
        <v>0</v>
      </c>
      <c r="P8">
        <v>0</v>
      </c>
      <c r="Q8" s="8">
        <v>3.3333333333333333E-2</v>
      </c>
      <c r="R8">
        <v>0</v>
      </c>
      <c r="S8">
        <v>0</v>
      </c>
      <c r="T8">
        <v>0</v>
      </c>
      <c r="U8" s="8">
        <v>3.3333333333333333E-2</v>
      </c>
      <c r="V8">
        <v>0</v>
      </c>
      <c r="W8">
        <v>0</v>
      </c>
      <c r="X8">
        <v>0</v>
      </c>
      <c r="Y8" s="8">
        <v>3.3333333333333333E-2</v>
      </c>
      <c r="Z8">
        <v>0</v>
      </c>
      <c r="AA8">
        <v>0</v>
      </c>
      <c r="AB8">
        <v>0</v>
      </c>
      <c r="AC8" s="8">
        <v>3.3333333333333333E-2</v>
      </c>
      <c r="AD8">
        <v>0</v>
      </c>
      <c r="AE8">
        <v>0</v>
      </c>
      <c r="AF8">
        <v>0</v>
      </c>
      <c r="AG8" s="8">
        <v>3.3333333333333333E-2</v>
      </c>
      <c r="AH8">
        <v>0</v>
      </c>
      <c r="AI8">
        <v>0</v>
      </c>
      <c r="AJ8">
        <v>0</v>
      </c>
      <c r="AK8" s="8">
        <v>3.3333333333333333E-2</v>
      </c>
      <c r="AL8">
        <v>0</v>
      </c>
      <c r="AM8">
        <v>0</v>
      </c>
      <c r="AN8">
        <v>0</v>
      </c>
      <c r="AO8" s="8">
        <v>3.3333333333333333E-2</v>
      </c>
      <c r="AP8">
        <v>0</v>
      </c>
    </row>
    <row r="9" spans="1:42" x14ac:dyDescent="0.3">
      <c r="A9">
        <v>6</v>
      </c>
      <c r="B9" s="8">
        <f>1/(1+'Financial param'!$B$1/100)^A9</f>
        <v>0.63016962688310452</v>
      </c>
      <c r="C9">
        <v>0</v>
      </c>
      <c r="D9">
        <v>0</v>
      </c>
      <c r="E9" s="8">
        <f t="shared" si="10"/>
        <v>3.3333333333333333E-2</v>
      </c>
      <c r="F9">
        <v>0</v>
      </c>
      <c r="G9">
        <v>0</v>
      </c>
      <c r="H9">
        <v>0</v>
      </c>
      <c r="I9" s="8">
        <v>3.3333333333333333E-2</v>
      </c>
      <c r="J9">
        <v>0</v>
      </c>
      <c r="K9">
        <v>0</v>
      </c>
      <c r="L9">
        <v>0</v>
      </c>
      <c r="M9" s="8">
        <v>3.3333333333333333E-2</v>
      </c>
      <c r="N9">
        <v>0</v>
      </c>
      <c r="O9">
        <v>0</v>
      </c>
      <c r="P9">
        <v>0</v>
      </c>
      <c r="Q9" s="8">
        <v>3.3333333333333333E-2</v>
      </c>
      <c r="R9">
        <v>0</v>
      </c>
      <c r="S9">
        <v>0</v>
      </c>
      <c r="T9">
        <v>0</v>
      </c>
      <c r="U9" s="8">
        <v>3.3333333333333333E-2</v>
      </c>
      <c r="V9">
        <v>0</v>
      </c>
      <c r="W9">
        <v>0</v>
      </c>
      <c r="X9">
        <v>0</v>
      </c>
      <c r="Y9" s="8">
        <v>3.3333333333333333E-2</v>
      </c>
      <c r="Z9">
        <v>0</v>
      </c>
      <c r="AA9">
        <v>0</v>
      </c>
      <c r="AB9">
        <v>0</v>
      </c>
      <c r="AC9" s="8">
        <v>3.3333333333333333E-2</v>
      </c>
      <c r="AD9">
        <v>0</v>
      </c>
      <c r="AE9">
        <v>0</v>
      </c>
      <c r="AF9">
        <v>0</v>
      </c>
      <c r="AG9" s="8">
        <v>3.3333333333333333E-2</v>
      </c>
      <c r="AH9">
        <v>0</v>
      </c>
      <c r="AI9">
        <v>0</v>
      </c>
      <c r="AJ9">
        <v>0</v>
      </c>
      <c r="AK9" s="8">
        <v>3.3333333333333333E-2</v>
      </c>
      <c r="AL9">
        <v>0</v>
      </c>
      <c r="AM9">
        <v>0</v>
      </c>
      <c r="AN9">
        <v>0</v>
      </c>
      <c r="AO9" s="8">
        <v>3.3333333333333333E-2</v>
      </c>
      <c r="AP9">
        <v>0</v>
      </c>
    </row>
    <row r="10" spans="1:42" x14ac:dyDescent="0.3">
      <c r="A10">
        <v>7</v>
      </c>
      <c r="B10" s="8">
        <f>1/(1+'Financial param'!$B$1/100)^A10</f>
        <v>0.58349039526213387</v>
      </c>
      <c r="C10">
        <v>0</v>
      </c>
      <c r="D10">
        <v>0</v>
      </c>
      <c r="E10" s="8">
        <f t="shared" si="10"/>
        <v>3.3333333333333333E-2</v>
      </c>
      <c r="F10">
        <v>0</v>
      </c>
      <c r="G10">
        <v>0</v>
      </c>
      <c r="H10">
        <v>0</v>
      </c>
      <c r="I10" s="8">
        <v>3.3333333333333333E-2</v>
      </c>
      <c r="J10">
        <v>0</v>
      </c>
      <c r="K10">
        <v>0</v>
      </c>
      <c r="L10">
        <v>0</v>
      </c>
      <c r="M10" s="8">
        <v>3.3333333333333333E-2</v>
      </c>
      <c r="N10">
        <v>0</v>
      </c>
      <c r="O10">
        <v>0</v>
      </c>
      <c r="P10">
        <v>0</v>
      </c>
      <c r="Q10" s="8">
        <v>3.3333333333333333E-2</v>
      </c>
      <c r="R10">
        <v>0</v>
      </c>
      <c r="S10">
        <v>0</v>
      </c>
      <c r="T10">
        <v>0</v>
      </c>
      <c r="U10" s="8">
        <v>3.3333333333333333E-2</v>
      </c>
      <c r="V10">
        <v>0</v>
      </c>
      <c r="W10">
        <v>0</v>
      </c>
      <c r="X10">
        <v>0</v>
      </c>
      <c r="Y10" s="8">
        <v>3.3333333333333333E-2</v>
      </c>
      <c r="Z10">
        <v>0</v>
      </c>
      <c r="AA10">
        <v>0</v>
      </c>
      <c r="AB10">
        <v>0</v>
      </c>
      <c r="AC10" s="8">
        <v>3.3333333333333333E-2</v>
      </c>
      <c r="AD10">
        <v>0</v>
      </c>
      <c r="AE10">
        <v>0</v>
      </c>
      <c r="AF10">
        <v>0</v>
      </c>
      <c r="AG10" s="8">
        <v>3.3333333333333333E-2</v>
      </c>
      <c r="AH10">
        <v>0</v>
      </c>
      <c r="AI10">
        <v>0</v>
      </c>
      <c r="AJ10">
        <v>0</v>
      </c>
      <c r="AK10" s="8">
        <v>3.3333333333333333E-2</v>
      </c>
      <c r="AL10">
        <v>0</v>
      </c>
      <c r="AM10">
        <v>0</v>
      </c>
      <c r="AN10">
        <v>0</v>
      </c>
      <c r="AO10" s="8">
        <v>3.3333333333333333E-2</v>
      </c>
      <c r="AP10">
        <v>0</v>
      </c>
    </row>
    <row r="11" spans="1:42" x14ac:dyDescent="0.3">
      <c r="A11">
        <v>8</v>
      </c>
      <c r="B11" s="8">
        <f>1/(1+'Financial param'!$B$1/100)^A11</f>
        <v>0.54026888450197574</v>
      </c>
      <c r="C11">
        <v>0</v>
      </c>
      <c r="D11">
        <v>0</v>
      </c>
      <c r="E11" s="8">
        <f t="shared" si="10"/>
        <v>3.3333333333333333E-2</v>
      </c>
      <c r="F11">
        <v>0</v>
      </c>
      <c r="G11">
        <v>0</v>
      </c>
      <c r="H11">
        <v>0</v>
      </c>
      <c r="I11" s="8">
        <v>3.3333333333333333E-2</v>
      </c>
      <c r="J11">
        <v>0</v>
      </c>
      <c r="K11">
        <v>0</v>
      </c>
      <c r="L11">
        <v>0</v>
      </c>
      <c r="M11" s="8">
        <v>3.3333333333333333E-2</v>
      </c>
      <c r="N11">
        <v>0</v>
      </c>
      <c r="O11">
        <v>0</v>
      </c>
      <c r="P11">
        <v>0</v>
      </c>
      <c r="Q11" s="8">
        <v>3.3333333333333333E-2</v>
      </c>
      <c r="R11">
        <v>0</v>
      </c>
      <c r="S11">
        <v>0</v>
      </c>
      <c r="T11">
        <v>0</v>
      </c>
      <c r="U11" s="8">
        <v>3.3333333333333333E-2</v>
      </c>
      <c r="V11">
        <v>0</v>
      </c>
      <c r="W11">
        <v>0</v>
      </c>
      <c r="X11">
        <v>0</v>
      </c>
      <c r="Y11" s="8">
        <v>3.3333333333333333E-2</v>
      </c>
      <c r="Z11">
        <v>0</v>
      </c>
      <c r="AA11">
        <v>0</v>
      </c>
      <c r="AB11">
        <v>0</v>
      </c>
      <c r="AC11" s="8">
        <v>3.3333333333333333E-2</v>
      </c>
      <c r="AD11">
        <v>0</v>
      </c>
      <c r="AE11">
        <v>0</v>
      </c>
      <c r="AF11">
        <v>0</v>
      </c>
      <c r="AG11" s="8">
        <v>3.3333333333333333E-2</v>
      </c>
      <c r="AH11">
        <v>0</v>
      </c>
      <c r="AI11">
        <v>0</v>
      </c>
      <c r="AJ11">
        <v>0</v>
      </c>
      <c r="AK11" s="8">
        <v>3.3333333333333333E-2</v>
      </c>
      <c r="AL11">
        <v>0</v>
      </c>
      <c r="AM11">
        <v>0</v>
      </c>
      <c r="AN11">
        <v>0</v>
      </c>
      <c r="AO11" s="8">
        <v>3.3333333333333333E-2</v>
      </c>
      <c r="AP11">
        <v>0</v>
      </c>
    </row>
    <row r="12" spans="1:42" x14ac:dyDescent="0.3">
      <c r="A12">
        <v>9</v>
      </c>
      <c r="B12" s="8">
        <f>1/(1+'Financial param'!$B$1/100)^A12</f>
        <v>0.50024896713145905</v>
      </c>
      <c r="C12">
        <v>0</v>
      </c>
      <c r="D12">
        <v>0</v>
      </c>
      <c r="E12" s="8">
        <f t="shared" si="10"/>
        <v>3.3333333333333333E-2</v>
      </c>
      <c r="F12">
        <v>0</v>
      </c>
      <c r="G12">
        <v>0</v>
      </c>
      <c r="H12">
        <v>0</v>
      </c>
      <c r="I12" s="8">
        <v>3.3333333333333333E-2</v>
      </c>
      <c r="J12">
        <v>0</v>
      </c>
      <c r="K12">
        <v>0</v>
      </c>
      <c r="L12">
        <v>0</v>
      </c>
      <c r="M12" s="8">
        <v>3.3333333333333333E-2</v>
      </c>
      <c r="N12">
        <v>0</v>
      </c>
      <c r="O12">
        <v>0</v>
      </c>
      <c r="P12">
        <v>0</v>
      </c>
      <c r="Q12" s="8">
        <v>3.3333333333333333E-2</v>
      </c>
      <c r="R12">
        <v>0</v>
      </c>
      <c r="S12">
        <v>0</v>
      </c>
      <c r="T12">
        <v>0</v>
      </c>
      <c r="U12" s="8">
        <v>3.3333333333333333E-2</v>
      </c>
      <c r="V12">
        <v>0</v>
      </c>
      <c r="W12">
        <v>0</v>
      </c>
      <c r="X12">
        <v>0</v>
      </c>
      <c r="Y12" s="8">
        <v>3.3333333333333333E-2</v>
      </c>
      <c r="Z12">
        <v>0</v>
      </c>
      <c r="AA12">
        <v>0</v>
      </c>
      <c r="AB12">
        <v>0</v>
      </c>
      <c r="AC12" s="8">
        <v>3.3333333333333333E-2</v>
      </c>
      <c r="AD12">
        <v>0</v>
      </c>
      <c r="AE12">
        <v>0</v>
      </c>
      <c r="AF12">
        <v>0</v>
      </c>
      <c r="AG12" s="8">
        <v>3.3333333333333333E-2</v>
      </c>
      <c r="AH12">
        <v>0</v>
      </c>
      <c r="AI12">
        <v>0</v>
      </c>
      <c r="AJ12">
        <v>0</v>
      </c>
      <c r="AK12" s="8">
        <v>3.3333333333333333E-2</v>
      </c>
      <c r="AL12">
        <v>0</v>
      </c>
      <c r="AM12">
        <v>0</v>
      </c>
      <c r="AN12">
        <v>0</v>
      </c>
      <c r="AO12" s="8">
        <v>3.3333333333333333E-2</v>
      </c>
      <c r="AP12">
        <v>0</v>
      </c>
    </row>
    <row r="13" spans="1:42" x14ac:dyDescent="0.3">
      <c r="A13">
        <v>10</v>
      </c>
      <c r="B13" s="8">
        <f>1/(1+'Financial param'!$B$1/100)^A13</f>
        <v>0.46319348808468425</v>
      </c>
      <c r="C13">
        <v>0</v>
      </c>
      <c r="D13">
        <v>0</v>
      </c>
      <c r="E13" s="8">
        <f t="shared" si="10"/>
        <v>3.3333333333333333E-2</v>
      </c>
      <c r="F13">
        <v>0</v>
      </c>
      <c r="G13">
        <v>0</v>
      </c>
      <c r="H13">
        <v>0</v>
      </c>
      <c r="I13" s="8">
        <v>3.3333333333333333E-2</v>
      </c>
      <c r="J13">
        <v>0</v>
      </c>
      <c r="K13">
        <v>0</v>
      </c>
      <c r="L13">
        <v>0</v>
      </c>
      <c r="M13" s="8">
        <v>3.3333333333333333E-2</v>
      </c>
      <c r="N13">
        <v>0</v>
      </c>
      <c r="O13">
        <v>0</v>
      </c>
      <c r="P13">
        <v>0</v>
      </c>
      <c r="Q13" s="8">
        <v>3.3333333333333333E-2</v>
      </c>
      <c r="R13">
        <v>0</v>
      </c>
      <c r="S13">
        <v>0</v>
      </c>
      <c r="T13">
        <v>0</v>
      </c>
      <c r="U13" s="8">
        <v>3.3333333333333333E-2</v>
      </c>
      <c r="V13">
        <v>0</v>
      </c>
      <c r="W13">
        <v>0</v>
      </c>
      <c r="X13">
        <v>0</v>
      </c>
      <c r="Y13" s="8">
        <v>3.3333333333333333E-2</v>
      </c>
      <c r="Z13">
        <v>0</v>
      </c>
      <c r="AA13">
        <v>0</v>
      </c>
      <c r="AB13">
        <v>0</v>
      </c>
      <c r="AC13" s="8">
        <v>3.3333333333333333E-2</v>
      </c>
      <c r="AD13">
        <v>0</v>
      </c>
      <c r="AE13">
        <v>0</v>
      </c>
      <c r="AF13">
        <v>0</v>
      </c>
      <c r="AG13" s="8">
        <v>3.3333333333333333E-2</v>
      </c>
      <c r="AH13">
        <v>0</v>
      </c>
      <c r="AI13">
        <v>0</v>
      </c>
      <c r="AJ13">
        <v>0</v>
      </c>
      <c r="AK13" s="8">
        <v>3.3333333333333333E-2</v>
      </c>
      <c r="AL13">
        <v>0</v>
      </c>
      <c r="AM13">
        <v>0</v>
      </c>
      <c r="AN13">
        <v>0</v>
      </c>
      <c r="AO13" s="8">
        <v>3.3333333333333333E-2</v>
      </c>
      <c r="AP13">
        <v>0</v>
      </c>
    </row>
    <row r="14" spans="1:42" x14ac:dyDescent="0.3">
      <c r="A14">
        <v>11</v>
      </c>
      <c r="B14" s="8">
        <f>1/(1+'Financial param'!$B$1/100)^A14</f>
        <v>0.42888285933767062</v>
      </c>
      <c r="C14">
        <v>0</v>
      </c>
      <c r="D14">
        <v>0</v>
      </c>
      <c r="E14" s="8">
        <f t="shared" si="10"/>
        <v>3.3333333333333333E-2</v>
      </c>
      <c r="F14">
        <v>0</v>
      </c>
      <c r="G14">
        <v>0</v>
      </c>
      <c r="H14">
        <v>0</v>
      </c>
      <c r="I14" s="8">
        <v>3.3333333333333333E-2</v>
      </c>
      <c r="J14">
        <v>0</v>
      </c>
      <c r="K14">
        <v>0</v>
      </c>
      <c r="L14">
        <v>0</v>
      </c>
      <c r="M14" s="8">
        <v>3.3333333333333333E-2</v>
      </c>
      <c r="N14">
        <v>0</v>
      </c>
      <c r="O14">
        <v>0</v>
      </c>
      <c r="P14">
        <v>0</v>
      </c>
      <c r="Q14" s="8">
        <v>3.3333333333333333E-2</v>
      </c>
      <c r="R14">
        <v>0</v>
      </c>
      <c r="S14">
        <v>0</v>
      </c>
      <c r="T14">
        <v>0</v>
      </c>
      <c r="U14" s="8">
        <v>3.3333333333333333E-2</v>
      </c>
      <c r="V14">
        <v>0</v>
      </c>
      <c r="W14">
        <v>0</v>
      </c>
      <c r="X14">
        <v>0</v>
      </c>
      <c r="Y14" s="8">
        <v>3.3333333333333333E-2</v>
      </c>
      <c r="Z14">
        <v>0</v>
      </c>
      <c r="AA14">
        <v>0</v>
      </c>
      <c r="AB14">
        <v>0</v>
      </c>
      <c r="AC14" s="8">
        <v>3.3333333333333333E-2</v>
      </c>
      <c r="AD14">
        <v>0</v>
      </c>
      <c r="AE14">
        <v>0</v>
      </c>
      <c r="AF14">
        <v>0</v>
      </c>
      <c r="AG14" s="8">
        <v>3.3333333333333333E-2</v>
      </c>
      <c r="AH14">
        <v>0</v>
      </c>
      <c r="AI14">
        <v>0</v>
      </c>
      <c r="AJ14">
        <v>0</v>
      </c>
      <c r="AK14" s="8">
        <v>3.3333333333333333E-2</v>
      </c>
      <c r="AL14">
        <v>0</v>
      </c>
      <c r="AM14">
        <v>0</v>
      </c>
      <c r="AN14">
        <v>0</v>
      </c>
      <c r="AO14" s="8">
        <v>3.3333333333333333E-2</v>
      </c>
      <c r="AP14">
        <v>0</v>
      </c>
    </row>
    <row r="15" spans="1:42" x14ac:dyDescent="0.3">
      <c r="A15">
        <v>12</v>
      </c>
      <c r="B15" s="8">
        <f>1/(1+'Financial param'!$B$1/100)^A15</f>
        <v>0.39711375864599124</v>
      </c>
      <c r="C15">
        <v>0</v>
      </c>
      <c r="D15">
        <v>0</v>
      </c>
      <c r="E15" s="8">
        <f t="shared" si="10"/>
        <v>3.3333333333333333E-2</v>
      </c>
      <c r="F15">
        <v>0</v>
      </c>
      <c r="G15">
        <v>0</v>
      </c>
      <c r="H15">
        <v>0</v>
      </c>
      <c r="I15" s="8">
        <v>3.3333333333333333E-2</v>
      </c>
      <c r="J15">
        <v>0</v>
      </c>
      <c r="K15">
        <v>0</v>
      </c>
      <c r="L15">
        <v>0.2</v>
      </c>
      <c r="M15" s="8">
        <v>3.3333333333333333E-2</v>
      </c>
      <c r="N15">
        <v>0</v>
      </c>
      <c r="O15">
        <v>0</v>
      </c>
      <c r="P15">
        <v>0</v>
      </c>
      <c r="Q15" s="8">
        <v>3.3333333333333333E-2</v>
      </c>
      <c r="R15">
        <v>0</v>
      </c>
      <c r="S15">
        <v>0</v>
      </c>
      <c r="T15">
        <v>0</v>
      </c>
      <c r="U15" s="8">
        <v>3.3333333333333333E-2</v>
      </c>
      <c r="V15">
        <v>0</v>
      </c>
      <c r="W15">
        <v>0</v>
      </c>
      <c r="X15">
        <v>0</v>
      </c>
      <c r="Y15" s="8">
        <v>3.3333333333333333E-2</v>
      </c>
      <c r="Z15">
        <v>0</v>
      </c>
      <c r="AA15">
        <v>0</v>
      </c>
      <c r="AB15">
        <v>0</v>
      </c>
      <c r="AC15" s="8">
        <v>3.3333333333333333E-2</v>
      </c>
      <c r="AD15">
        <v>0</v>
      </c>
      <c r="AE15">
        <v>0</v>
      </c>
      <c r="AF15">
        <v>0</v>
      </c>
      <c r="AG15" s="8">
        <v>3.3333333333333333E-2</v>
      </c>
      <c r="AH15">
        <v>0</v>
      </c>
      <c r="AI15">
        <v>0</v>
      </c>
      <c r="AJ15">
        <v>0</v>
      </c>
      <c r="AK15" s="8">
        <v>3.3333333333333333E-2</v>
      </c>
      <c r="AL15">
        <v>0</v>
      </c>
      <c r="AM15">
        <v>0</v>
      </c>
      <c r="AN15">
        <v>0</v>
      </c>
      <c r="AO15" s="8">
        <v>3.3333333333333333E-2</v>
      </c>
      <c r="AP15">
        <v>0</v>
      </c>
    </row>
    <row r="16" spans="1:42" x14ac:dyDescent="0.3">
      <c r="A16">
        <v>13</v>
      </c>
      <c r="B16" s="8">
        <f>1/(1+'Financial param'!$B$1/100)^A16</f>
        <v>0.36769792467221413</v>
      </c>
      <c r="C16">
        <v>0</v>
      </c>
      <c r="D16">
        <v>0</v>
      </c>
      <c r="E16" s="8">
        <f t="shared" si="10"/>
        <v>3.3333333333333333E-2</v>
      </c>
      <c r="F16">
        <v>0</v>
      </c>
      <c r="G16">
        <v>0</v>
      </c>
      <c r="H16">
        <v>0</v>
      </c>
      <c r="I16" s="8">
        <v>3.3333333333333333E-2</v>
      </c>
      <c r="J16">
        <v>0</v>
      </c>
      <c r="K16">
        <v>0</v>
      </c>
      <c r="L16">
        <v>0</v>
      </c>
      <c r="M16" s="8">
        <v>3.3333333333333333E-2</v>
      </c>
      <c r="N16">
        <v>0</v>
      </c>
      <c r="O16">
        <v>0</v>
      </c>
      <c r="P16">
        <v>0</v>
      </c>
      <c r="Q16" s="8">
        <v>3.3333333333333333E-2</v>
      </c>
      <c r="R16">
        <v>0</v>
      </c>
      <c r="S16">
        <v>0</v>
      </c>
      <c r="T16">
        <v>0</v>
      </c>
      <c r="U16" s="8">
        <v>3.3333333333333333E-2</v>
      </c>
      <c r="V16">
        <v>0</v>
      </c>
      <c r="W16">
        <v>0</v>
      </c>
      <c r="X16">
        <v>0</v>
      </c>
      <c r="Y16" s="8">
        <v>3.3333333333333333E-2</v>
      </c>
      <c r="Z16">
        <v>0</v>
      </c>
      <c r="AA16">
        <v>0</v>
      </c>
      <c r="AB16">
        <v>0</v>
      </c>
      <c r="AC16" s="8">
        <v>3.3333333333333333E-2</v>
      </c>
      <c r="AD16">
        <v>0</v>
      </c>
      <c r="AE16">
        <v>0</v>
      </c>
      <c r="AF16">
        <v>0</v>
      </c>
      <c r="AG16" s="8">
        <v>3.3333333333333333E-2</v>
      </c>
      <c r="AH16">
        <v>0</v>
      </c>
      <c r="AI16">
        <v>0</v>
      </c>
      <c r="AJ16">
        <v>0</v>
      </c>
      <c r="AK16" s="8">
        <v>3.3333333333333333E-2</v>
      </c>
      <c r="AL16">
        <v>0</v>
      </c>
      <c r="AM16">
        <v>0</v>
      </c>
      <c r="AN16">
        <v>0</v>
      </c>
      <c r="AO16" s="8">
        <v>3.3333333333333333E-2</v>
      </c>
      <c r="AP16">
        <v>0</v>
      </c>
    </row>
    <row r="17" spans="1:42" x14ac:dyDescent="0.3">
      <c r="A17">
        <v>14</v>
      </c>
      <c r="B17" s="8">
        <f>1/(1+'Financial param'!$B$1/100)^A17</f>
        <v>0.34046104136316119</v>
      </c>
      <c r="C17">
        <v>0</v>
      </c>
      <c r="D17">
        <v>0</v>
      </c>
      <c r="E17" s="8">
        <f t="shared" si="10"/>
        <v>3.3333333333333333E-2</v>
      </c>
      <c r="F17">
        <v>0</v>
      </c>
      <c r="G17">
        <v>0</v>
      </c>
      <c r="H17">
        <v>0</v>
      </c>
      <c r="I17" s="8">
        <v>3.3333333333333333E-2</v>
      </c>
      <c r="J17">
        <v>0</v>
      </c>
      <c r="K17">
        <v>0</v>
      </c>
      <c r="L17">
        <v>0</v>
      </c>
      <c r="M17" s="8">
        <v>3.3333333333333333E-2</v>
      </c>
      <c r="N17">
        <v>0</v>
      </c>
      <c r="O17">
        <v>0</v>
      </c>
      <c r="P17">
        <v>0</v>
      </c>
      <c r="Q17" s="8">
        <v>3.3333333333333333E-2</v>
      </c>
      <c r="R17">
        <v>0</v>
      </c>
      <c r="S17">
        <v>0</v>
      </c>
      <c r="T17">
        <v>0</v>
      </c>
      <c r="U17" s="8">
        <v>3.3333333333333333E-2</v>
      </c>
      <c r="V17">
        <v>0</v>
      </c>
      <c r="W17">
        <v>0</v>
      </c>
      <c r="X17">
        <v>0</v>
      </c>
      <c r="Y17" s="8">
        <v>3.3333333333333333E-2</v>
      </c>
      <c r="Z17">
        <v>0</v>
      </c>
      <c r="AA17">
        <v>0</v>
      </c>
      <c r="AB17">
        <v>0</v>
      </c>
      <c r="AC17" s="8">
        <v>3.3333333333333333E-2</v>
      </c>
      <c r="AD17">
        <v>0</v>
      </c>
      <c r="AE17">
        <v>0</v>
      </c>
      <c r="AF17">
        <v>0</v>
      </c>
      <c r="AG17" s="8">
        <v>3.3333333333333333E-2</v>
      </c>
      <c r="AH17">
        <v>0</v>
      </c>
      <c r="AI17">
        <v>0</v>
      </c>
      <c r="AJ17">
        <v>0</v>
      </c>
      <c r="AK17" s="8">
        <v>3.3333333333333333E-2</v>
      </c>
      <c r="AL17">
        <v>0</v>
      </c>
      <c r="AM17">
        <v>0</v>
      </c>
      <c r="AN17">
        <v>0</v>
      </c>
      <c r="AO17" s="8">
        <v>3.3333333333333333E-2</v>
      </c>
      <c r="AP17">
        <v>0</v>
      </c>
    </row>
    <row r="18" spans="1:42" x14ac:dyDescent="0.3">
      <c r="A18">
        <v>15</v>
      </c>
      <c r="B18" s="8">
        <f>1/(1+'Financial param'!$B$1/100)^A18</f>
        <v>0.31524170496588994</v>
      </c>
      <c r="C18">
        <v>0</v>
      </c>
      <c r="D18">
        <v>0</v>
      </c>
      <c r="E18" s="8">
        <f t="shared" si="10"/>
        <v>3.3333333333333333E-2</v>
      </c>
      <c r="F18">
        <v>0</v>
      </c>
      <c r="G18">
        <v>0</v>
      </c>
      <c r="H18">
        <v>0</v>
      </c>
      <c r="I18" s="8">
        <v>3.3333333333333333E-2</v>
      </c>
      <c r="J18">
        <v>0</v>
      </c>
      <c r="K18">
        <v>0</v>
      </c>
      <c r="L18">
        <v>0</v>
      </c>
      <c r="M18" s="8">
        <v>3.3333333333333333E-2</v>
      </c>
      <c r="N18">
        <v>0</v>
      </c>
      <c r="O18">
        <v>0</v>
      </c>
      <c r="P18">
        <v>0</v>
      </c>
      <c r="Q18" s="8">
        <v>3.3333333333333333E-2</v>
      </c>
      <c r="R18">
        <v>0</v>
      </c>
      <c r="S18">
        <v>0</v>
      </c>
      <c r="T18">
        <v>0</v>
      </c>
      <c r="U18" s="8">
        <v>3.3333333333333333E-2</v>
      </c>
      <c r="V18">
        <v>0</v>
      </c>
      <c r="W18">
        <v>0</v>
      </c>
      <c r="X18">
        <v>0</v>
      </c>
      <c r="Y18" s="8">
        <v>3.3333333333333333E-2</v>
      </c>
      <c r="Z18">
        <v>0</v>
      </c>
      <c r="AA18">
        <v>0</v>
      </c>
      <c r="AB18">
        <v>0</v>
      </c>
      <c r="AC18" s="8">
        <v>3.3333333333333333E-2</v>
      </c>
      <c r="AD18">
        <v>0</v>
      </c>
      <c r="AE18">
        <v>0</v>
      </c>
      <c r="AF18">
        <v>0</v>
      </c>
      <c r="AG18" s="8">
        <v>3.3333333333333333E-2</v>
      </c>
      <c r="AH18">
        <v>0</v>
      </c>
      <c r="AI18">
        <v>0</v>
      </c>
      <c r="AJ18">
        <v>0</v>
      </c>
      <c r="AK18" s="8">
        <v>3.3333333333333333E-2</v>
      </c>
      <c r="AL18">
        <v>0</v>
      </c>
      <c r="AM18">
        <v>0</v>
      </c>
      <c r="AN18">
        <v>0</v>
      </c>
      <c r="AO18" s="8">
        <v>3.3333333333333333E-2</v>
      </c>
      <c r="AP18">
        <v>0</v>
      </c>
    </row>
    <row r="19" spans="1:42" x14ac:dyDescent="0.3">
      <c r="A19">
        <v>16</v>
      </c>
      <c r="B19" s="8">
        <f>1/(1+'Financial param'!$B$1/100)^A19</f>
        <v>0.29189046756100923</v>
      </c>
      <c r="C19">
        <v>0</v>
      </c>
      <c r="D19">
        <v>0</v>
      </c>
      <c r="E19" s="8">
        <f t="shared" si="10"/>
        <v>3.3333333333333333E-2</v>
      </c>
      <c r="F19">
        <v>0</v>
      </c>
      <c r="G19">
        <v>0</v>
      </c>
      <c r="H19">
        <v>0</v>
      </c>
      <c r="I19" s="8">
        <v>3.3333333333333333E-2</v>
      </c>
      <c r="J19">
        <v>0</v>
      </c>
      <c r="K19">
        <v>0</v>
      </c>
      <c r="L19">
        <v>0</v>
      </c>
      <c r="M19" s="8">
        <v>3.3333333333333333E-2</v>
      </c>
      <c r="N19">
        <v>0</v>
      </c>
      <c r="O19">
        <v>0</v>
      </c>
      <c r="P19">
        <v>0</v>
      </c>
      <c r="Q19" s="8">
        <v>3.3333333333333333E-2</v>
      </c>
      <c r="R19">
        <v>0</v>
      </c>
      <c r="S19">
        <v>0</v>
      </c>
      <c r="T19">
        <v>0</v>
      </c>
      <c r="U19" s="8">
        <v>3.3333333333333333E-2</v>
      </c>
      <c r="V19">
        <v>0</v>
      </c>
      <c r="W19">
        <v>0</v>
      </c>
      <c r="X19">
        <v>0</v>
      </c>
      <c r="Y19" s="8">
        <v>3.3333333333333333E-2</v>
      </c>
      <c r="Z19">
        <v>0</v>
      </c>
      <c r="AA19">
        <v>0</v>
      </c>
      <c r="AB19">
        <v>0</v>
      </c>
      <c r="AC19" s="8">
        <v>3.3333333333333333E-2</v>
      </c>
      <c r="AD19">
        <v>0</v>
      </c>
      <c r="AE19">
        <v>0</v>
      </c>
      <c r="AF19">
        <v>0</v>
      </c>
      <c r="AG19" s="8">
        <v>3.3333333333333333E-2</v>
      </c>
      <c r="AH19">
        <v>0</v>
      </c>
      <c r="AI19">
        <v>0</v>
      </c>
      <c r="AJ19">
        <v>0</v>
      </c>
      <c r="AK19" s="8">
        <v>3.3333333333333333E-2</v>
      </c>
      <c r="AL19">
        <v>0</v>
      </c>
      <c r="AM19">
        <v>0</v>
      </c>
      <c r="AN19">
        <v>0</v>
      </c>
      <c r="AO19" s="8">
        <v>3.3333333333333333E-2</v>
      </c>
      <c r="AP19">
        <v>0</v>
      </c>
    </row>
    <row r="20" spans="1:42" x14ac:dyDescent="0.3">
      <c r="A20">
        <v>17</v>
      </c>
      <c r="B20" s="8">
        <f>1/(1+'Financial param'!$B$1/100)^A20</f>
        <v>0.27026895144537894</v>
      </c>
      <c r="C20">
        <v>0</v>
      </c>
      <c r="D20">
        <v>0</v>
      </c>
      <c r="E20" s="8">
        <f t="shared" si="10"/>
        <v>3.3333333333333333E-2</v>
      </c>
      <c r="F20">
        <v>0</v>
      </c>
      <c r="G20">
        <v>0</v>
      </c>
      <c r="H20">
        <v>0</v>
      </c>
      <c r="I20" s="8">
        <v>3.3333333333333333E-2</v>
      </c>
      <c r="J20">
        <v>0</v>
      </c>
      <c r="K20">
        <v>0</v>
      </c>
      <c r="L20">
        <v>0</v>
      </c>
      <c r="M20" s="8">
        <v>3.3333333333333333E-2</v>
      </c>
      <c r="N20">
        <v>0</v>
      </c>
      <c r="O20">
        <v>0</v>
      </c>
      <c r="P20">
        <v>0</v>
      </c>
      <c r="Q20" s="8">
        <v>3.3333333333333333E-2</v>
      </c>
      <c r="R20">
        <v>0</v>
      </c>
      <c r="S20">
        <v>0</v>
      </c>
      <c r="T20">
        <v>0</v>
      </c>
      <c r="U20" s="8">
        <v>3.3333333333333333E-2</v>
      </c>
      <c r="V20">
        <v>0</v>
      </c>
      <c r="W20">
        <v>0</v>
      </c>
      <c r="X20">
        <v>0</v>
      </c>
      <c r="Y20" s="8">
        <v>3.3333333333333333E-2</v>
      </c>
      <c r="Z20">
        <v>0</v>
      </c>
      <c r="AA20">
        <v>0</v>
      </c>
      <c r="AB20">
        <v>0</v>
      </c>
      <c r="AC20" s="8">
        <v>3.3333333333333333E-2</v>
      </c>
      <c r="AD20">
        <v>0</v>
      </c>
      <c r="AE20">
        <v>0</v>
      </c>
      <c r="AF20">
        <v>0</v>
      </c>
      <c r="AG20" s="8">
        <v>3.3333333333333333E-2</v>
      </c>
      <c r="AH20">
        <v>0</v>
      </c>
      <c r="AI20">
        <v>0</v>
      </c>
      <c r="AJ20">
        <v>0</v>
      </c>
      <c r="AK20" s="8">
        <v>3.3333333333333333E-2</v>
      </c>
      <c r="AL20">
        <v>0</v>
      </c>
      <c r="AM20">
        <v>0</v>
      </c>
      <c r="AN20">
        <v>0</v>
      </c>
      <c r="AO20" s="8">
        <v>3.3333333333333333E-2</v>
      </c>
      <c r="AP20">
        <v>0</v>
      </c>
    </row>
    <row r="21" spans="1:42" x14ac:dyDescent="0.3">
      <c r="A21">
        <v>18</v>
      </c>
      <c r="B21" s="8">
        <f>1/(1+'Financial param'!$B$1/100)^A21</f>
        <v>0.25024902911609154</v>
      </c>
      <c r="C21">
        <v>0</v>
      </c>
      <c r="D21">
        <v>0</v>
      </c>
      <c r="E21" s="8">
        <f t="shared" si="10"/>
        <v>3.3333333333333333E-2</v>
      </c>
      <c r="F21">
        <v>0</v>
      </c>
      <c r="G21">
        <v>0</v>
      </c>
      <c r="H21">
        <v>0</v>
      </c>
      <c r="I21" s="8">
        <v>3.3333333333333333E-2</v>
      </c>
      <c r="J21">
        <v>0</v>
      </c>
      <c r="K21">
        <v>0</v>
      </c>
      <c r="L21">
        <v>0</v>
      </c>
      <c r="M21" s="8">
        <v>3.3333333333333333E-2</v>
      </c>
      <c r="N21">
        <v>0</v>
      </c>
      <c r="O21">
        <v>0</v>
      </c>
      <c r="P21">
        <v>0</v>
      </c>
      <c r="Q21" s="8">
        <v>3.3333333333333333E-2</v>
      </c>
      <c r="R21">
        <v>0</v>
      </c>
      <c r="S21">
        <v>0</v>
      </c>
      <c r="T21">
        <v>0</v>
      </c>
      <c r="U21" s="8">
        <v>3.3333333333333333E-2</v>
      </c>
      <c r="V21">
        <v>0</v>
      </c>
      <c r="W21">
        <v>0</v>
      </c>
      <c r="X21">
        <v>0</v>
      </c>
      <c r="Y21" s="8">
        <v>3.3333333333333333E-2</v>
      </c>
      <c r="Z21">
        <v>0</v>
      </c>
      <c r="AA21">
        <v>0</v>
      </c>
      <c r="AB21">
        <v>0</v>
      </c>
      <c r="AC21" s="8">
        <v>3.3333333333333333E-2</v>
      </c>
      <c r="AD21">
        <v>0</v>
      </c>
      <c r="AE21">
        <v>0</v>
      </c>
      <c r="AF21">
        <v>0</v>
      </c>
      <c r="AG21" s="8">
        <v>3.3333333333333333E-2</v>
      </c>
      <c r="AH21">
        <v>0</v>
      </c>
      <c r="AI21">
        <v>0</v>
      </c>
      <c r="AJ21">
        <v>0</v>
      </c>
      <c r="AK21" s="8">
        <v>3.3333333333333333E-2</v>
      </c>
      <c r="AL21">
        <v>0</v>
      </c>
      <c r="AM21">
        <v>0</v>
      </c>
      <c r="AN21">
        <v>0</v>
      </c>
      <c r="AO21" s="8">
        <v>3.3333333333333333E-2</v>
      </c>
      <c r="AP21">
        <v>0</v>
      </c>
    </row>
    <row r="22" spans="1:42" x14ac:dyDescent="0.3">
      <c r="A22">
        <v>19</v>
      </c>
      <c r="B22" s="8">
        <f>1/(1+'Financial param'!$B$1/100)^A22</f>
        <v>0.23171206399638106</v>
      </c>
      <c r="C22">
        <v>0</v>
      </c>
      <c r="D22">
        <v>0</v>
      </c>
      <c r="E22" s="8">
        <f t="shared" si="10"/>
        <v>3.3333333333333333E-2</v>
      </c>
      <c r="F22">
        <v>0</v>
      </c>
      <c r="G22">
        <v>0</v>
      </c>
      <c r="H22">
        <v>0</v>
      </c>
      <c r="I22" s="8">
        <v>3.3333333333333333E-2</v>
      </c>
      <c r="J22">
        <v>0</v>
      </c>
      <c r="K22">
        <v>0</v>
      </c>
      <c r="L22">
        <v>0</v>
      </c>
      <c r="M22" s="8">
        <v>3.3333333333333333E-2</v>
      </c>
      <c r="N22">
        <v>0</v>
      </c>
      <c r="O22">
        <v>0</v>
      </c>
      <c r="P22">
        <v>0</v>
      </c>
      <c r="Q22" s="8">
        <v>3.3333333333333333E-2</v>
      </c>
      <c r="R22">
        <v>0</v>
      </c>
      <c r="S22">
        <v>0</v>
      </c>
      <c r="T22">
        <v>0</v>
      </c>
      <c r="U22" s="8">
        <v>3.3333333333333333E-2</v>
      </c>
      <c r="V22">
        <v>0</v>
      </c>
      <c r="W22">
        <v>0</v>
      </c>
      <c r="X22">
        <v>0</v>
      </c>
      <c r="Y22" s="8">
        <v>3.3333333333333333E-2</v>
      </c>
      <c r="Z22">
        <v>0</v>
      </c>
      <c r="AA22">
        <v>0</v>
      </c>
      <c r="AB22">
        <v>0</v>
      </c>
      <c r="AC22" s="8">
        <v>3.3333333333333333E-2</v>
      </c>
      <c r="AD22">
        <v>0</v>
      </c>
      <c r="AE22">
        <v>0</v>
      </c>
      <c r="AF22">
        <v>0</v>
      </c>
      <c r="AG22" s="8">
        <v>3.3333333333333333E-2</v>
      </c>
      <c r="AH22">
        <v>0</v>
      </c>
      <c r="AI22">
        <v>0</v>
      </c>
      <c r="AJ22">
        <v>0</v>
      </c>
      <c r="AK22" s="8">
        <v>3.3333333333333333E-2</v>
      </c>
      <c r="AL22">
        <v>0</v>
      </c>
      <c r="AM22">
        <v>0</v>
      </c>
      <c r="AN22">
        <v>0</v>
      </c>
      <c r="AO22" s="8">
        <v>3.3333333333333333E-2</v>
      </c>
      <c r="AP22">
        <v>0</v>
      </c>
    </row>
    <row r="23" spans="1:42" x14ac:dyDescent="0.3">
      <c r="A23">
        <v>20</v>
      </c>
      <c r="B23" s="8">
        <f>1/(1+'Financial param'!$B$1/100)^A23</f>
        <v>0.21454820740405653</v>
      </c>
      <c r="C23">
        <v>0</v>
      </c>
      <c r="D23">
        <v>0</v>
      </c>
      <c r="E23" s="8">
        <f t="shared" si="10"/>
        <v>3.3333333333333333E-2</v>
      </c>
      <c r="F23">
        <v>0</v>
      </c>
      <c r="G23">
        <v>0</v>
      </c>
      <c r="H23">
        <v>0</v>
      </c>
      <c r="I23" s="8">
        <v>3.3333333333333333E-2</v>
      </c>
      <c r="J23">
        <v>0</v>
      </c>
      <c r="K23">
        <v>0</v>
      </c>
      <c r="L23">
        <v>0</v>
      </c>
      <c r="M23" s="8">
        <v>3.3333333333333333E-2</v>
      </c>
      <c r="N23">
        <v>0</v>
      </c>
      <c r="O23">
        <v>0</v>
      </c>
      <c r="P23">
        <v>0</v>
      </c>
      <c r="Q23" s="8">
        <v>3.3333333333333333E-2</v>
      </c>
      <c r="R23">
        <v>0</v>
      </c>
      <c r="S23">
        <v>0</v>
      </c>
      <c r="T23">
        <v>0</v>
      </c>
      <c r="U23" s="8">
        <v>3.3333333333333333E-2</v>
      </c>
      <c r="V23">
        <v>0</v>
      </c>
      <c r="W23">
        <v>0</v>
      </c>
      <c r="X23">
        <v>0</v>
      </c>
      <c r="Y23" s="8">
        <v>3.3333333333333333E-2</v>
      </c>
      <c r="Z23">
        <v>0</v>
      </c>
      <c r="AA23">
        <v>0</v>
      </c>
      <c r="AB23">
        <v>0</v>
      </c>
      <c r="AC23" s="8">
        <v>3.3333333333333333E-2</v>
      </c>
      <c r="AD23">
        <v>0</v>
      </c>
      <c r="AE23">
        <v>0</v>
      </c>
      <c r="AF23">
        <v>0</v>
      </c>
      <c r="AG23" s="8">
        <v>3.3333333333333333E-2</v>
      </c>
      <c r="AH23">
        <v>0</v>
      </c>
      <c r="AI23">
        <v>0</v>
      </c>
      <c r="AJ23">
        <v>0</v>
      </c>
      <c r="AK23" s="8">
        <v>3.3333333333333333E-2</v>
      </c>
      <c r="AL23">
        <v>0</v>
      </c>
      <c r="AM23">
        <v>0</v>
      </c>
      <c r="AN23">
        <v>0</v>
      </c>
      <c r="AO23" s="8">
        <v>3.3333333333333333E-2</v>
      </c>
      <c r="AP23">
        <v>0</v>
      </c>
    </row>
    <row r="24" spans="1:42" x14ac:dyDescent="0.3">
      <c r="A24">
        <v>21</v>
      </c>
      <c r="B24" s="8">
        <f>1/(1+'Financial param'!$B$1/100)^A24</f>
        <v>0.19865574759634863</v>
      </c>
      <c r="C24">
        <v>0</v>
      </c>
      <c r="D24">
        <v>0</v>
      </c>
      <c r="E24" s="8">
        <f t="shared" si="10"/>
        <v>3.3333333333333333E-2</v>
      </c>
      <c r="F24">
        <v>0</v>
      </c>
      <c r="G24">
        <v>0</v>
      </c>
      <c r="H24">
        <v>0</v>
      </c>
      <c r="I24" s="8">
        <v>3.3333333333333333E-2</v>
      </c>
      <c r="J24">
        <v>0</v>
      </c>
      <c r="K24">
        <v>0</v>
      </c>
      <c r="L24">
        <v>0</v>
      </c>
      <c r="M24" s="8">
        <v>3.3333333333333333E-2</v>
      </c>
      <c r="N24">
        <v>0</v>
      </c>
      <c r="O24">
        <v>0</v>
      </c>
      <c r="P24">
        <v>0</v>
      </c>
      <c r="Q24" s="8">
        <v>3.3333333333333333E-2</v>
      </c>
      <c r="R24">
        <v>0</v>
      </c>
      <c r="S24">
        <v>0</v>
      </c>
      <c r="T24">
        <v>0</v>
      </c>
      <c r="U24" s="8">
        <v>3.3333333333333333E-2</v>
      </c>
      <c r="V24">
        <v>0</v>
      </c>
      <c r="W24">
        <v>0</v>
      </c>
      <c r="X24">
        <v>0</v>
      </c>
      <c r="Y24" s="8">
        <v>3.3333333333333333E-2</v>
      </c>
      <c r="Z24">
        <v>0</v>
      </c>
      <c r="AA24">
        <v>0</v>
      </c>
      <c r="AB24">
        <v>0</v>
      </c>
      <c r="AC24" s="8">
        <v>3.3333333333333333E-2</v>
      </c>
      <c r="AD24">
        <v>0</v>
      </c>
      <c r="AE24">
        <v>0</v>
      </c>
      <c r="AF24">
        <v>0</v>
      </c>
      <c r="AG24" s="8">
        <v>3.3333333333333333E-2</v>
      </c>
      <c r="AH24">
        <v>0</v>
      </c>
      <c r="AI24">
        <v>0</v>
      </c>
      <c r="AJ24">
        <v>0</v>
      </c>
      <c r="AK24" s="8">
        <v>3.3333333333333333E-2</v>
      </c>
      <c r="AL24">
        <v>0</v>
      </c>
      <c r="AM24">
        <v>0</v>
      </c>
      <c r="AN24">
        <v>0</v>
      </c>
      <c r="AO24" s="8">
        <v>3.3333333333333333E-2</v>
      </c>
      <c r="AP24">
        <v>0</v>
      </c>
    </row>
    <row r="25" spans="1:42" x14ac:dyDescent="0.3">
      <c r="A25">
        <v>22</v>
      </c>
      <c r="B25" s="8">
        <f>1/(1+'Financial param'!$B$1/100)^A25</f>
        <v>0.18394050703365611</v>
      </c>
      <c r="C25">
        <v>0</v>
      </c>
      <c r="D25">
        <v>0</v>
      </c>
      <c r="E25" s="8">
        <f t="shared" si="10"/>
        <v>3.3333333333333333E-2</v>
      </c>
      <c r="F25">
        <v>0</v>
      </c>
      <c r="G25">
        <v>0</v>
      </c>
      <c r="H25">
        <v>0</v>
      </c>
      <c r="I25" s="8">
        <v>3.3333333333333333E-2</v>
      </c>
      <c r="J25">
        <v>0</v>
      </c>
      <c r="K25">
        <v>0</v>
      </c>
      <c r="L25">
        <v>0.2</v>
      </c>
      <c r="M25" s="8">
        <v>3.3333333333333333E-2</v>
      </c>
      <c r="N25">
        <v>0</v>
      </c>
      <c r="O25">
        <v>0</v>
      </c>
      <c r="P25">
        <v>0</v>
      </c>
      <c r="Q25" s="8">
        <v>3.3333333333333333E-2</v>
      </c>
      <c r="R25">
        <v>0</v>
      </c>
      <c r="S25">
        <v>0</v>
      </c>
      <c r="T25">
        <v>0</v>
      </c>
      <c r="U25" s="8">
        <v>3.3333333333333333E-2</v>
      </c>
      <c r="V25">
        <v>0</v>
      </c>
      <c r="W25">
        <v>0</v>
      </c>
      <c r="X25">
        <v>0</v>
      </c>
      <c r="Y25" s="8">
        <v>3.3333333333333333E-2</v>
      </c>
      <c r="Z25">
        <v>0</v>
      </c>
      <c r="AA25">
        <v>0</v>
      </c>
      <c r="AB25">
        <v>0</v>
      </c>
      <c r="AC25" s="8">
        <v>3.3333333333333333E-2</v>
      </c>
      <c r="AD25">
        <v>0</v>
      </c>
      <c r="AE25">
        <v>0</v>
      </c>
      <c r="AF25">
        <v>0</v>
      </c>
      <c r="AG25" s="8">
        <v>3.3333333333333333E-2</v>
      </c>
      <c r="AH25">
        <v>0</v>
      </c>
      <c r="AI25">
        <v>0</v>
      </c>
      <c r="AJ25">
        <v>0</v>
      </c>
      <c r="AK25" s="8">
        <v>3.3333333333333333E-2</v>
      </c>
      <c r="AL25">
        <v>0</v>
      </c>
      <c r="AM25">
        <v>0</v>
      </c>
      <c r="AN25">
        <v>0</v>
      </c>
      <c r="AO25" s="8">
        <v>3.3333333333333333E-2</v>
      </c>
      <c r="AP25">
        <v>0</v>
      </c>
    </row>
    <row r="26" spans="1:42" x14ac:dyDescent="0.3">
      <c r="A26">
        <v>23</v>
      </c>
      <c r="B26" s="8">
        <f>1/(1+'Financial param'!$B$1/100)^A26</f>
        <v>0.17031528429042234</v>
      </c>
      <c r="C26">
        <v>0</v>
      </c>
      <c r="D26">
        <v>0</v>
      </c>
      <c r="E26" s="8">
        <f t="shared" si="10"/>
        <v>3.3333333333333333E-2</v>
      </c>
      <c r="F26">
        <v>0</v>
      </c>
      <c r="G26">
        <v>0</v>
      </c>
      <c r="H26">
        <v>0</v>
      </c>
      <c r="I26" s="8">
        <v>3.3333333333333333E-2</v>
      </c>
      <c r="J26">
        <v>0</v>
      </c>
      <c r="K26">
        <v>0</v>
      </c>
      <c r="L26">
        <v>0</v>
      </c>
      <c r="M26" s="8">
        <v>3.3333333333333333E-2</v>
      </c>
      <c r="N26">
        <v>0</v>
      </c>
      <c r="O26">
        <v>0</v>
      </c>
      <c r="P26">
        <v>0</v>
      </c>
      <c r="Q26" s="8">
        <v>3.3333333333333333E-2</v>
      </c>
      <c r="R26">
        <v>0</v>
      </c>
      <c r="S26">
        <v>0</v>
      </c>
      <c r="T26">
        <v>0</v>
      </c>
      <c r="U26" s="8">
        <v>3.3333333333333333E-2</v>
      </c>
      <c r="V26">
        <v>0</v>
      </c>
      <c r="W26">
        <v>0</v>
      </c>
      <c r="X26">
        <v>0</v>
      </c>
      <c r="Y26" s="8">
        <v>3.3333333333333333E-2</v>
      </c>
      <c r="Z26">
        <v>0</v>
      </c>
      <c r="AA26">
        <v>0</v>
      </c>
      <c r="AB26">
        <v>0</v>
      </c>
      <c r="AC26" s="8">
        <v>3.3333333333333333E-2</v>
      </c>
      <c r="AD26">
        <v>0</v>
      </c>
      <c r="AE26">
        <v>0</v>
      </c>
      <c r="AF26">
        <v>0</v>
      </c>
      <c r="AG26" s="8">
        <v>3.3333333333333333E-2</v>
      </c>
      <c r="AH26">
        <v>0</v>
      </c>
      <c r="AI26">
        <v>0</v>
      </c>
      <c r="AJ26">
        <v>0</v>
      </c>
      <c r="AK26" s="8">
        <v>3.3333333333333333E-2</v>
      </c>
      <c r="AL26">
        <v>0</v>
      </c>
      <c r="AM26">
        <v>0</v>
      </c>
      <c r="AN26">
        <v>0</v>
      </c>
      <c r="AO26" s="8">
        <v>3.3333333333333333E-2</v>
      </c>
      <c r="AP26">
        <v>0</v>
      </c>
    </row>
    <row r="27" spans="1:42" x14ac:dyDescent="0.3">
      <c r="A27">
        <v>24</v>
      </c>
      <c r="B27" s="8">
        <f>1/(1+'Financial param'!$B$1/100)^A27</f>
        <v>0.1576993373059466</v>
      </c>
      <c r="C27">
        <v>0</v>
      </c>
      <c r="D27">
        <v>0</v>
      </c>
      <c r="E27" s="8">
        <f t="shared" si="10"/>
        <v>3.3333333333333333E-2</v>
      </c>
      <c r="F27">
        <v>0</v>
      </c>
      <c r="G27">
        <v>0</v>
      </c>
      <c r="H27">
        <v>0</v>
      </c>
      <c r="I27" s="8">
        <v>3.3333333333333333E-2</v>
      </c>
      <c r="J27">
        <v>0</v>
      </c>
      <c r="K27">
        <v>0</v>
      </c>
      <c r="L27">
        <v>0</v>
      </c>
      <c r="M27" s="8">
        <v>3.3333333333333333E-2</v>
      </c>
      <c r="N27">
        <v>0</v>
      </c>
      <c r="O27">
        <v>0</v>
      </c>
      <c r="P27">
        <v>0</v>
      </c>
      <c r="Q27" s="8">
        <v>3.3333333333333333E-2</v>
      </c>
      <c r="R27">
        <v>0</v>
      </c>
      <c r="S27">
        <v>0</v>
      </c>
      <c r="T27">
        <v>0</v>
      </c>
      <c r="U27" s="8">
        <v>3.3333333333333333E-2</v>
      </c>
      <c r="V27">
        <v>0</v>
      </c>
      <c r="W27">
        <v>0</v>
      </c>
      <c r="X27">
        <v>0</v>
      </c>
      <c r="Y27" s="8">
        <v>3.3333333333333333E-2</v>
      </c>
      <c r="Z27">
        <v>0</v>
      </c>
      <c r="AA27">
        <v>0</v>
      </c>
      <c r="AB27">
        <v>0</v>
      </c>
      <c r="AC27" s="8">
        <v>3.3333333333333333E-2</v>
      </c>
      <c r="AD27">
        <v>0</v>
      </c>
      <c r="AE27">
        <v>0</v>
      </c>
      <c r="AF27">
        <v>0</v>
      </c>
      <c r="AG27" s="8">
        <v>3.3333333333333333E-2</v>
      </c>
      <c r="AH27">
        <v>0</v>
      </c>
      <c r="AI27">
        <v>0</v>
      </c>
      <c r="AJ27">
        <v>0</v>
      </c>
      <c r="AK27" s="8">
        <v>3.3333333333333333E-2</v>
      </c>
      <c r="AL27">
        <v>0</v>
      </c>
      <c r="AM27">
        <v>0</v>
      </c>
      <c r="AN27">
        <v>0</v>
      </c>
      <c r="AO27" s="8">
        <v>3.3333333333333333E-2</v>
      </c>
      <c r="AP27">
        <v>0</v>
      </c>
    </row>
    <row r="28" spans="1:42" x14ac:dyDescent="0.3">
      <c r="A28">
        <v>25</v>
      </c>
      <c r="B28" s="8">
        <f>1/(1+'Financial param'!$B$1/100)^A28</f>
        <v>0.1460179049129135</v>
      </c>
      <c r="C28">
        <v>0</v>
      </c>
      <c r="D28">
        <v>0</v>
      </c>
      <c r="E28" s="8">
        <f t="shared" si="10"/>
        <v>3.3333333333333333E-2</v>
      </c>
      <c r="F28">
        <v>0</v>
      </c>
      <c r="G28">
        <v>0</v>
      </c>
      <c r="H28">
        <v>0</v>
      </c>
      <c r="I28" s="8">
        <v>3.3333333333333333E-2</v>
      </c>
      <c r="J28">
        <v>0</v>
      </c>
      <c r="K28">
        <v>0</v>
      </c>
      <c r="L28">
        <v>0</v>
      </c>
      <c r="M28" s="8">
        <v>3.3333333333333333E-2</v>
      </c>
      <c r="N28">
        <v>0</v>
      </c>
      <c r="O28">
        <v>0</v>
      </c>
      <c r="P28">
        <v>0</v>
      </c>
      <c r="Q28" s="8">
        <v>3.3333333333333333E-2</v>
      </c>
      <c r="R28">
        <v>0</v>
      </c>
      <c r="S28">
        <v>0</v>
      </c>
      <c r="T28">
        <v>0</v>
      </c>
      <c r="U28" s="8">
        <v>3.3333333333333333E-2</v>
      </c>
      <c r="V28">
        <v>0</v>
      </c>
      <c r="W28">
        <v>0</v>
      </c>
      <c r="X28">
        <v>0</v>
      </c>
      <c r="Y28" s="8">
        <v>3.3333333333333333E-2</v>
      </c>
      <c r="Z28">
        <v>0</v>
      </c>
      <c r="AA28">
        <v>0</v>
      </c>
      <c r="AB28">
        <v>0</v>
      </c>
      <c r="AC28" s="8">
        <v>3.3333333333333333E-2</v>
      </c>
      <c r="AD28">
        <v>0</v>
      </c>
      <c r="AE28">
        <v>0</v>
      </c>
      <c r="AF28">
        <v>0</v>
      </c>
      <c r="AG28" s="8">
        <v>3.3333333333333333E-2</v>
      </c>
      <c r="AH28">
        <v>0</v>
      </c>
      <c r="AI28">
        <v>0</v>
      </c>
      <c r="AJ28">
        <v>0</v>
      </c>
      <c r="AK28" s="8">
        <v>3.3333333333333333E-2</v>
      </c>
      <c r="AL28">
        <v>0</v>
      </c>
      <c r="AM28">
        <v>0</v>
      </c>
      <c r="AN28">
        <v>0</v>
      </c>
      <c r="AO28" s="8">
        <v>3.3333333333333333E-2</v>
      </c>
      <c r="AP28">
        <v>0</v>
      </c>
    </row>
    <row r="29" spans="1:42" x14ac:dyDescent="0.3">
      <c r="A29">
        <v>26</v>
      </c>
      <c r="B29" s="8">
        <f>1/(1+'Financial param'!$B$1/100)^A29</f>
        <v>0.13520176380825324</v>
      </c>
      <c r="C29">
        <v>0</v>
      </c>
      <c r="D29">
        <v>0</v>
      </c>
      <c r="E29" s="8">
        <f t="shared" si="10"/>
        <v>3.3333333333333333E-2</v>
      </c>
      <c r="F29">
        <v>0</v>
      </c>
      <c r="G29">
        <v>0</v>
      </c>
      <c r="H29">
        <v>0</v>
      </c>
      <c r="I29" s="8">
        <v>3.3333333333333333E-2</v>
      </c>
      <c r="J29">
        <v>0</v>
      </c>
      <c r="K29">
        <v>0</v>
      </c>
      <c r="L29">
        <v>0</v>
      </c>
      <c r="M29" s="8">
        <v>3.3333333333333333E-2</v>
      </c>
      <c r="N29">
        <v>0</v>
      </c>
      <c r="O29">
        <v>0</v>
      </c>
      <c r="P29">
        <v>0</v>
      </c>
      <c r="Q29" s="8">
        <v>3.3333333333333333E-2</v>
      </c>
      <c r="R29">
        <v>0</v>
      </c>
      <c r="S29">
        <v>0</v>
      </c>
      <c r="T29">
        <v>0</v>
      </c>
      <c r="U29" s="8">
        <v>3.3333333333333333E-2</v>
      </c>
      <c r="V29">
        <v>0</v>
      </c>
      <c r="W29">
        <v>0</v>
      </c>
      <c r="X29">
        <v>0</v>
      </c>
      <c r="Y29" s="8">
        <v>3.3333333333333333E-2</v>
      </c>
      <c r="Z29">
        <v>0</v>
      </c>
      <c r="AA29">
        <v>0</v>
      </c>
      <c r="AB29">
        <v>0</v>
      </c>
      <c r="AC29" s="8">
        <v>3.3333333333333333E-2</v>
      </c>
      <c r="AD29">
        <v>0</v>
      </c>
      <c r="AE29">
        <v>0</v>
      </c>
      <c r="AF29">
        <v>0</v>
      </c>
      <c r="AG29" s="8">
        <v>3.3333333333333333E-2</v>
      </c>
      <c r="AH29">
        <v>0</v>
      </c>
      <c r="AI29">
        <v>0</v>
      </c>
      <c r="AJ29">
        <v>0</v>
      </c>
      <c r="AK29" s="8">
        <v>3.3333333333333333E-2</v>
      </c>
      <c r="AL29">
        <v>0</v>
      </c>
      <c r="AM29">
        <v>0</v>
      </c>
      <c r="AN29">
        <v>0</v>
      </c>
      <c r="AO29" s="8">
        <v>3.3333333333333333E-2</v>
      </c>
      <c r="AP29">
        <v>0</v>
      </c>
    </row>
    <row r="30" spans="1:42" x14ac:dyDescent="0.3">
      <c r="A30">
        <v>27</v>
      </c>
      <c r="B30" s="8">
        <f>1/(1+'Financial param'!$B$1/100)^A30</f>
        <v>0.12518681834097523</v>
      </c>
      <c r="C30">
        <v>0</v>
      </c>
      <c r="D30">
        <v>0</v>
      </c>
      <c r="E30" s="8">
        <f t="shared" si="10"/>
        <v>3.3333333333333333E-2</v>
      </c>
      <c r="F30">
        <v>0</v>
      </c>
      <c r="G30">
        <v>0</v>
      </c>
      <c r="H30">
        <v>0</v>
      </c>
      <c r="I30" s="8">
        <v>3.3333333333333333E-2</v>
      </c>
      <c r="J30">
        <v>0</v>
      </c>
      <c r="K30">
        <v>0</v>
      </c>
      <c r="L30">
        <v>0</v>
      </c>
      <c r="M30" s="8">
        <v>3.3333333333333333E-2</v>
      </c>
      <c r="N30">
        <v>0</v>
      </c>
      <c r="O30">
        <v>0</v>
      </c>
      <c r="P30">
        <v>0</v>
      </c>
      <c r="Q30" s="8">
        <v>3.3333333333333333E-2</v>
      </c>
      <c r="R30">
        <v>0</v>
      </c>
      <c r="S30">
        <v>0</v>
      </c>
      <c r="T30">
        <v>0</v>
      </c>
      <c r="U30" s="8">
        <v>3.3333333333333333E-2</v>
      </c>
      <c r="V30">
        <v>0</v>
      </c>
      <c r="W30">
        <v>0</v>
      </c>
      <c r="X30">
        <v>0</v>
      </c>
      <c r="Y30" s="8">
        <v>3.3333333333333333E-2</v>
      </c>
      <c r="Z30">
        <v>0</v>
      </c>
      <c r="AA30">
        <v>0</v>
      </c>
      <c r="AB30">
        <v>0</v>
      </c>
      <c r="AC30" s="8">
        <v>3.3333333333333333E-2</v>
      </c>
      <c r="AD30">
        <v>0</v>
      </c>
      <c r="AE30">
        <v>0</v>
      </c>
      <c r="AF30">
        <v>0</v>
      </c>
      <c r="AG30" s="8">
        <v>3.3333333333333333E-2</v>
      </c>
      <c r="AH30">
        <v>0</v>
      </c>
      <c r="AI30">
        <v>0</v>
      </c>
      <c r="AJ30">
        <v>0</v>
      </c>
      <c r="AK30" s="8">
        <v>3.3333333333333333E-2</v>
      </c>
      <c r="AL30">
        <v>0</v>
      </c>
      <c r="AM30">
        <v>0</v>
      </c>
      <c r="AN30">
        <v>0</v>
      </c>
      <c r="AO30" s="8">
        <v>3.3333333333333333E-2</v>
      </c>
      <c r="AP30">
        <v>0</v>
      </c>
    </row>
    <row r="31" spans="1:42" x14ac:dyDescent="0.3">
      <c r="A31">
        <v>28</v>
      </c>
      <c r="B31" s="8">
        <f>1/(1+'Financial param'!$B$1/100)^A31</f>
        <v>0.11591372068608817</v>
      </c>
      <c r="C31">
        <v>0</v>
      </c>
      <c r="D31">
        <v>0</v>
      </c>
      <c r="E31" s="8">
        <f t="shared" si="10"/>
        <v>3.3333333333333333E-2</v>
      </c>
      <c r="F31">
        <v>0</v>
      </c>
      <c r="G31">
        <v>0</v>
      </c>
      <c r="H31">
        <v>0</v>
      </c>
      <c r="I31" s="8">
        <v>3.3333333333333333E-2</v>
      </c>
      <c r="J31">
        <v>0</v>
      </c>
      <c r="K31">
        <v>0</v>
      </c>
      <c r="L31">
        <v>0</v>
      </c>
      <c r="M31" s="8">
        <v>3.3333333333333333E-2</v>
      </c>
      <c r="N31">
        <v>0</v>
      </c>
      <c r="O31">
        <v>0</v>
      </c>
      <c r="P31">
        <v>0</v>
      </c>
      <c r="Q31" s="8">
        <v>3.3333333333333333E-2</v>
      </c>
      <c r="R31">
        <v>0</v>
      </c>
      <c r="S31">
        <v>0</v>
      </c>
      <c r="T31">
        <v>0</v>
      </c>
      <c r="U31" s="8">
        <v>3.3333333333333333E-2</v>
      </c>
      <c r="V31">
        <v>0</v>
      </c>
      <c r="W31">
        <v>0</v>
      </c>
      <c r="X31">
        <v>0</v>
      </c>
      <c r="Y31" s="8">
        <v>3.3333333333333333E-2</v>
      </c>
      <c r="Z31">
        <v>0</v>
      </c>
      <c r="AA31">
        <v>0</v>
      </c>
      <c r="AB31">
        <v>0</v>
      </c>
      <c r="AC31" s="8">
        <v>3.3333333333333333E-2</v>
      </c>
      <c r="AD31">
        <v>0</v>
      </c>
      <c r="AE31">
        <v>0</v>
      </c>
      <c r="AF31">
        <v>0</v>
      </c>
      <c r="AG31" s="8">
        <v>3.3333333333333333E-2</v>
      </c>
      <c r="AH31">
        <v>0</v>
      </c>
      <c r="AI31">
        <v>0</v>
      </c>
      <c r="AJ31">
        <v>0</v>
      </c>
      <c r="AK31" s="8">
        <v>3.3333333333333333E-2</v>
      </c>
      <c r="AL31">
        <v>0</v>
      </c>
      <c r="AM31">
        <v>0</v>
      </c>
      <c r="AN31">
        <v>0</v>
      </c>
      <c r="AO31" s="8">
        <v>3.3333333333333333E-2</v>
      </c>
      <c r="AP31">
        <v>0</v>
      </c>
    </row>
    <row r="32" spans="1:42" x14ac:dyDescent="0.3">
      <c r="A32">
        <v>29</v>
      </c>
      <c r="B32" s="8">
        <f>1/(1+'Financial param'!$B$1/100)^A32</f>
        <v>0.10732751915378534</v>
      </c>
      <c r="C32">
        <v>0</v>
      </c>
      <c r="D32">
        <v>0</v>
      </c>
      <c r="E32" s="8">
        <f t="shared" si="10"/>
        <v>3.3333333333333333E-2</v>
      </c>
      <c r="F32">
        <v>0</v>
      </c>
      <c r="G32">
        <v>0</v>
      </c>
      <c r="H32">
        <v>0</v>
      </c>
      <c r="I32" s="8">
        <v>3.3333333333333333E-2</v>
      </c>
      <c r="J32">
        <v>0</v>
      </c>
      <c r="K32">
        <v>0</v>
      </c>
      <c r="L32">
        <v>0</v>
      </c>
      <c r="M32" s="8">
        <v>3.3333333333333333E-2</v>
      </c>
      <c r="N32">
        <v>0</v>
      </c>
      <c r="O32">
        <v>0</v>
      </c>
      <c r="P32">
        <v>0</v>
      </c>
      <c r="Q32" s="8">
        <v>3.3333333333333333E-2</v>
      </c>
      <c r="R32">
        <v>0</v>
      </c>
      <c r="S32">
        <v>0</v>
      </c>
      <c r="T32">
        <v>0</v>
      </c>
      <c r="U32" s="8">
        <v>3.3333333333333333E-2</v>
      </c>
      <c r="V32">
        <v>0</v>
      </c>
      <c r="W32">
        <v>0</v>
      </c>
      <c r="X32">
        <v>0</v>
      </c>
      <c r="Y32" s="8">
        <v>3.3333333333333333E-2</v>
      </c>
      <c r="Z32">
        <v>0</v>
      </c>
      <c r="AA32">
        <v>0</v>
      </c>
      <c r="AB32">
        <v>0</v>
      </c>
      <c r="AC32" s="8">
        <v>3.3333333333333333E-2</v>
      </c>
      <c r="AD32">
        <v>0</v>
      </c>
      <c r="AE32">
        <v>0</v>
      </c>
      <c r="AF32">
        <v>0</v>
      </c>
      <c r="AG32" s="8">
        <v>3.3333333333333333E-2</v>
      </c>
      <c r="AH32">
        <v>0</v>
      </c>
      <c r="AI32">
        <v>0</v>
      </c>
      <c r="AJ32">
        <v>0</v>
      </c>
      <c r="AK32" s="8">
        <v>3.3333333333333333E-2</v>
      </c>
      <c r="AL32">
        <v>0</v>
      </c>
      <c r="AM32">
        <v>0</v>
      </c>
      <c r="AN32">
        <v>0</v>
      </c>
      <c r="AO32" s="8">
        <v>3.3333333333333333E-2</v>
      </c>
      <c r="AP32">
        <v>0</v>
      </c>
    </row>
    <row r="33" spans="1:42" x14ac:dyDescent="0.3">
      <c r="A33">
        <v>30</v>
      </c>
      <c r="B33" s="8">
        <f>1/(1+'Financial param'!$B$1/100)^A33</f>
        <v>9.9377332549801231E-2</v>
      </c>
      <c r="C33">
        <v>0</v>
      </c>
      <c r="D33">
        <v>0</v>
      </c>
      <c r="E33" s="8">
        <f t="shared" si="10"/>
        <v>3.3333333333333333E-2</v>
      </c>
      <c r="F33">
        <v>0</v>
      </c>
      <c r="G33">
        <v>0</v>
      </c>
      <c r="H33">
        <v>0</v>
      </c>
      <c r="I33" s="8">
        <v>3.3333333333333333E-2</v>
      </c>
      <c r="J33">
        <v>0</v>
      </c>
      <c r="K33">
        <v>0</v>
      </c>
      <c r="L33">
        <v>0</v>
      </c>
      <c r="M33" s="8">
        <v>3.3333333333333333E-2</v>
      </c>
      <c r="N33">
        <v>0</v>
      </c>
      <c r="O33">
        <v>0</v>
      </c>
      <c r="P33">
        <v>0</v>
      </c>
      <c r="Q33" s="8">
        <v>3.3333333333333333E-2</v>
      </c>
      <c r="R33">
        <v>0</v>
      </c>
      <c r="S33">
        <v>0</v>
      </c>
      <c r="T33">
        <v>0</v>
      </c>
      <c r="U33" s="8">
        <v>3.3333333333333333E-2</v>
      </c>
      <c r="V33">
        <v>0</v>
      </c>
      <c r="W33">
        <v>0</v>
      </c>
      <c r="X33">
        <v>0</v>
      </c>
      <c r="Y33" s="8">
        <v>3.3333333333333333E-2</v>
      </c>
      <c r="Z33">
        <v>0</v>
      </c>
      <c r="AA33">
        <v>0</v>
      </c>
      <c r="AB33">
        <v>0</v>
      </c>
      <c r="AC33" s="8">
        <v>3.3333333333333333E-2</v>
      </c>
      <c r="AD33">
        <v>0</v>
      </c>
      <c r="AE33">
        <v>0</v>
      </c>
      <c r="AF33">
        <v>0</v>
      </c>
      <c r="AG33" s="8">
        <v>3.3333333333333333E-2</v>
      </c>
      <c r="AH33">
        <v>0</v>
      </c>
      <c r="AI33">
        <v>0</v>
      </c>
      <c r="AJ33">
        <v>0</v>
      </c>
      <c r="AK33" s="8">
        <v>3.3333333333333333E-2</v>
      </c>
      <c r="AL33">
        <v>0</v>
      </c>
      <c r="AM33">
        <v>0</v>
      </c>
      <c r="AN33">
        <v>0</v>
      </c>
      <c r="AO33" s="8">
        <v>3.3333333333333333E-2</v>
      </c>
      <c r="AP33">
        <v>0</v>
      </c>
    </row>
    <row r="34" spans="1:42" x14ac:dyDescent="0.3">
      <c r="A34">
        <v>31</v>
      </c>
      <c r="B34" s="8">
        <f>1/(1+'Financial param'!$B$1/100)^A34</f>
        <v>9.2016048657223348E-2</v>
      </c>
      <c r="C34">
        <v>0</v>
      </c>
      <c r="D34">
        <v>0</v>
      </c>
      <c r="E34" s="8">
        <f t="shared" si="10"/>
        <v>3.3333333333333333E-2</v>
      </c>
      <c r="F34">
        <v>0</v>
      </c>
      <c r="G34">
        <v>0</v>
      </c>
      <c r="H34">
        <v>0</v>
      </c>
      <c r="I34" s="8">
        <v>3.3333333333333333E-2</v>
      </c>
      <c r="J34">
        <v>0</v>
      </c>
      <c r="K34">
        <v>0</v>
      </c>
      <c r="L34">
        <v>0</v>
      </c>
      <c r="M34" s="8">
        <v>3.3333333333333333E-2</v>
      </c>
      <c r="N34">
        <v>0</v>
      </c>
      <c r="O34">
        <v>0</v>
      </c>
      <c r="P34">
        <v>0</v>
      </c>
      <c r="Q34" s="8">
        <v>3.3333333333333333E-2</v>
      </c>
      <c r="R34">
        <v>0</v>
      </c>
      <c r="S34">
        <v>0</v>
      </c>
      <c r="T34">
        <v>0</v>
      </c>
      <c r="U34" s="8">
        <v>3.3333333333333333E-2</v>
      </c>
      <c r="V34">
        <v>0</v>
      </c>
      <c r="W34">
        <v>0</v>
      </c>
      <c r="X34">
        <v>0</v>
      </c>
      <c r="Y34" s="8">
        <v>3.3333333333333333E-2</v>
      </c>
      <c r="Z34">
        <v>0</v>
      </c>
      <c r="AA34">
        <v>0</v>
      </c>
      <c r="AB34">
        <v>0</v>
      </c>
      <c r="AC34" s="8">
        <v>3.3333333333333333E-2</v>
      </c>
      <c r="AD34">
        <v>0</v>
      </c>
      <c r="AE34">
        <v>0</v>
      </c>
      <c r="AF34">
        <v>0</v>
      </c>
      <c r="AG34" s="8">
        <v>3.3333333333333333E-2</v>
      </c>
      <c r="AH34">
        <v>0</v>
      </c>
      <c r="AI34">
        <v>0</v>
      </c>
      <c r="AJ34">
        <v>0</v>
      </c>
      <c r="AK34" s="8">
        <v>3.3333333333333333E-2</v>
      </c>
      <c r="AL34">
        <v>0</v>
      </c>
      <c r="AM34">
        <v>0</v>
      </c>
      <c r="AN34">
        <v>0</v>
      </c>
      <c r="AO34" s="8">
        <v>3.3333333333333333E-2</v>
      </c>
      <c r="AP34">
        <v>0</v>
      </c>
    </row>
    <row r="35" spans="1:42" x14ac:dyDescent="0.3">
      <c r="A35">
        <v>32</v>
      </c>
      <c r="B35" s="8">
        <f>1/(1+'Financial param'!$B$1/100)^A35</f>
        <v>8.5200045052984577E-2</v>
      </c>
      <c r="C35">
        <v>0</v>
      </c>
      <c r="D35">
        <v>0</v>
      </c>
      <c r="E35" s="8">
        <f t="shared" si="10"/>
        <v>3.3333333333333333E-2</v>
      </c>
      <c r="F35">
        <v>1</v>
      </c>
      <c r="G35">
        <v>0</v>
      </c>
      <c r="H35">
        <v>0</v>
      </c>
      <c r="I35" s="8">
        <v>3.3333333333333298E-2</v>
      </c>
      <c r="J35">
        <v>1</v>
      </c>
      <c r="K35">
        <v>0</v>
      </c>
      <c r="L35">
        <v>0</v>
      </c>
      <c r="M35" s="8">
        <v>3.3333333333333298E-2</v>
      </c>
      <c r="N35">
        <v>1</v>
      </c>
      <c r="O35">
        <v>0</v>
      </c>
      <c r="P35">
        <v>0</v>
      </c>
      <c r="Q35" s="8">
        <v>3.3333333333333298E-2</v>
      </c>
      <c r="R35">
        <v>1</v>
      </c>
      <c r="S35">
        <v>0</v>
      </c>
      <c r="T35">
        <v>0</v>
      </c>
      <c r="U35" s="8">
        <v>3.3333333333333298E-2</v>
      </c>
      <c r="V35">
        <v>1</v>
      </c>
      <c r="W35">
        <v>0</v>
      </c>
      <c r="X35">
        <v>0</v>
      </c>
      <c r="Y35" s="8">
        <v>3.3333333333333298E-2</v>
      </c>
      <c r="Z35">
        <v>1</v>
      </c>
      <c r="AA35">
        <v>0</v>
      </c>
      <c r="AB35">
        <v>0</v>
      </c>
      <c r="AC35" s="8">
        <v>3.3333333333333298E-2</v>
      </c>
      <c r="AD35">
        <v>1</v>
      </c>
      <c r="AE35">
        <v>0</v>
      </c>
      <c r="AF35">
        <v>0</v>
      </c>
      <c r="AG35" s="8">
        <v>3.3333333333333298E-2</v>
      </c>
      <c r="AH35">
        <v>1</v>
      </c>
      <c r="AI35">
        <v>0</v>
      </c>
      <c r="AJ35">
        <v>0</v>
      </c>
      <c r="AK35" s="8">
        <v>3.3333333333333298E-2</v>
      </c>
      <c r="AL35">
        <v>1</v>
      </c>
      <c r="AM35">
        <v>0</v>
      </c>
      <c r="AN35">
        <v>0</v>
      </c>
      <c r="AO35" s="8">
        <v>3.3333333333333298E-2</v>
      </c>
      <c r="AP3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494C-E16C-4F61-A752-9FDD15383CB7}">
  <dimension ref="A1:S15"/>
  <sheetViews>
    <sheetView workbookViewId="0">
      <selection activeCell="H22" sqref="H22"/>
    </sheetView>
  </sheetViews>
  <sheetFormatPr defaultRowHeight="14.4" x14ac:dyDescent="0.3"/>
  <cols>
    <col min="1" max="1" width="4.44140625" customWidth="1"/>
    <col min="2" max="2" width="13.6640625" customWidth="1"/>
    <col min="3" max="3" width="14.6640625" bestFit="1" customWidth="1"/>
    <col min="4" max="4" width="11.33203125" customWidth="1"/>
  </cols>
  <sheetData>
    <row r="1" spans="1:19" x14ac:dyDescent="0.3">
      <c r="A1" s="37" t="s">
        <v>54</v>
      </c>
      <c r="B1" s="37"/>
      <c r="C1" s="37"/>
      <c r="D1" s="37"/>
      <c r="F1" t="s">
        <v>88</v>
      </c>
    </row>
    <row r="2" spans="1:19" x14ac:dyDescent="0.3">
      <c r="A2" s="15">
        <v>0</v>
      </c>
      <c r="B2" t="s">
        <v>0</v>
      </c>
      <c r="C2">
        <v>1000</v>
      </c>
      <c r="D2" s="5" t="s">
        <v>53</v>
      </c>
      <c r="Q2">
        <v>1000</v>
      </c>
      <c r="S2">
        <v>119</v>
      </c>
    </row>
    <row r="3" spans="1:19" x14ac:dyDescent="0.3">
      <c r="A3" s="15">
        <v>1</v>
      </c>
      <c r="B3" t="s">
        <v>52</v>
      </c>
      <c r="C3">
        <v>1000</v>
      </c>
      <c r="D3" s="5" t="s">
        <v>53</v>
      </c>
      <c r="Q3">
        <v>1000</v>
      </c>
      <c r="S3">
        <v>129</v>
      </c>
    </row>
    <row r="4" spans="1:19" x14ac:dyDescent="0.3">
      <c r="A4" s="15">
        <v>2</v>
      </c>
      <c r="B4" t="s">
        <v>15</v>
      </c>
      <c r="C4">
        <v>300</v>
      </c>
      <c r="D4" s="5" t="s">
        <v>53</v>
      </c>
      <c r="Q4">
        <v>300</v>
      </c>
      <c r="S4">
        <v>118</v>
      </c>
    </row>
    <row r="5" spans="1:19" x14ac:dyDescent="0.3">
      <c r="A5" s="15">
        <v>3</v>
      </c>
      <c r="B5" t="s">
        <v>6</v>
      </c>
      <c r="C5">
        <v>15</v>
      </c>
      <c r="D5" s="5" t="s">
        <v>137</v>
      </c>
      <c r="Q5">
        <v>15000</v>
      </c>
      <c r="S5">
        <v>12107</v>
      </c>
    </row>
    <row r="6" spans="1:19" x14ac:dyDescent="0.3">
      <c r="A6" s="15">
        <v>4</v>
      </c>
      <c r="B6" t="s">
        <v>139</v>
      </c>
      <c r="C6">
        <v>10</v>
      </c>
      <c r="D6" s="5" t="s">
        <v>137</v>
      </c>
      <c r="Q6">
        <v>15000</v>
      </c>
      <c r="S6">
        <v>5796</v>
      </c>
    </row>
    <row r="7" spans="1:19" x14ac:dyDescent="0.3">
      <c r="A7" s="15">
        <v>5</v>
      </c>
      <c r="B7" t="s">
        <v>12</v>
      </c>
      <c r="C7">
        <v>600</v>
      </c>
      <c r="D7" s="5" t="s">
        <v>55</v>
      </c>
      <c r="F7" t="s">
        <v>105</v>
      </c>
      <c r="N7" s="28" t="s">
        <v>118</v>
      </c>
      <c r="Q7">
        <v>3000</v>
      </c>
      <c r="S7">
        <v>0</v>
      </c>
    </row>
    <row r="8" spans="1:19" x14ac:dyDescent="0.3">
      <c r="A8" s="15">
        <v>6</v>
      </c>
      <c r="B8" t="s">
        <v>70</v>
      </c>
      <c r="C8">
        <v>50</v>
      </c>
      <c r="D8" s="5" t="s">
        <v>132</v>
      </c>
      <c r="F8" s="28" t="s">
        <v>118</v>
      </c>
      <c r="I8" t="s">
        <v>128</v>
      </c>
      <c r="Q8">
        <v>50</v>
      </c>
      <c r="S8">
        <v>1.9</v>
      </c>
    </row>
    <row r="9" spans="1:19" x14ac:dyDescent="0.3">
      <c r="A9" s="15">
        <v>7</v>
      </c>
      <c r="B9" t="s">
        <v>73</v>
      </c>
      <c r="C9">
        <v>1200</v>
      </c>
      <c r="D9" s="5" t="s">
        <v>132</v>
      </c>
      <c r="Q9">
        <v>12000</v>
      </c>
      <c r="S9">
        <v>2030</v>
      </c>
    </row>
    <row r="10" spans="1:19" x14ac:dyDescent="0.3">
      <c r="A10" s="15">
        <v>8</v>
      </c>
      <c r="B10" t="s">
        <v>64</v>
      </c>
      <c r="C10">
        <v>1200</v>
      </c>
      <c r="D10" s="5" t="s">
        <v>132</v>
      </c>
      <c r="F10" s="28" t="s">
        <v>118</v>
      </c>
      <c r="I10" t="s">
        <v>127</v>
      </c>
      <c r="Q10">
        <v>12000</v>
      </c>
      <c r="S10">
        <v>1420</v>
      </c>
    </row>
    <row r="11" spans="1:19" x14ac:dyDescent="0.3">
      <c r="A11" s="15">
        <v>9</v>
      </c>
      <c r="B11" t="s">
        <v>62</v>
      </c>
      <c r="C11">
        <v>1200</v>
      </c>
      <c r="D11" s="5" t="s">
        <v>132</v>
      </c>
      <c r="Q11">
        <v>12000</v>
      </c>
      <c r="S11">
        <v>6</v>
      </c>
    </row>
    <row r="13" spans="1:19" x14ac:dyDescent="0.3">
      <c r="A13" s="15" t="s">
        <v>116</v>
      </c>
      <c r="B13" t="s">
        <v>117</v>
      </c>
      <c r="C13">
        <v>200</v>
      </c>
      <c r="D13" s="5" t="s">
        <v>53</v>
      </c>
    </row>
    <row r="15" spans="1:19" x14ac:dyDescent="0.3">
      <c r="C15" t="s">
        <v>130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AF50-F8F1-40A0-8B82-04F7AB8CE3FD}">
  <dimension ref="A1:I28"/>
  <sheetViews>
    <sheetView topLeftCell="A3" workbookViewId="0">
      <selection activeCell="I20" sqref="I20"/>
    </sheetView>
  </sheetViews>
  <sheetFormatPr defaultRowHeight="14.4" x14ac:dyDescent="0.3"/>
  <cols>
    <col min="1" max="1" width="40.44140625" customWidth="1"/>
    <col min="2" max="2" width="11" bestFit="1" customWidth="1"/>
  </cols>
  <sheetData>
    <row r="1" spans="1:9" x14ac:dyDescent="0.3">
      <c r="A1" s="6" t="s">
        <v>48</v>
      </c>
      <c r="E1" t="s">
        <v>88</v>
      </c>
    </row>
    <row r="2" spans="1:9" x14ac:dyDescent="0.3">
      <c r="A2" s="4" t="s">
        <v>15</v>
      </c>
      <c r="C2" s="5"/>
    </row>
    <row r="3" spans="1:9" x14ac:dyDescent="0.3">
      <c r="A3" t="s">
        <v>46</v>
      </c>
      <c r="B3" s="11">
        <f>1/20.6*1000</f>
        <v>48.543689320388346</v>
      </c>
      <c r="C3" s="12" t="s">
        <v>28</v>
      </c>
      <c r="E3" t="s">
        <v>89</v>
      </c>
    </row>
    <row r="4" spans="1:9" ht="15" thickBot="1" x14ac:dyDescent="0.35">
      <c r="A4" t="s">
        <v>45</v>
      </c>
      <c r="B4" s="8">
        <f>B3</f>
        <v>48.543689320388346</v>
      </c>
      <c r="C4" s="12" t="s">
        <v>133</v>
      </c>
      <c r="E4" s="28" t="s">
        <v>118</v>
      </c>
    </row>
    <row r="5" spans="1:9" x14ac:dyDescent="0.3">
      <c r="A5" t="s">
        <v>94</v>
      </c>
      <c r="B5" s="26">
        <f>285/19</f>
        <v>15</v>
      </c>
      <c r="C5" s="5" t="s">
        <v>134</v>
      </c>
      <c r="H5" s="24" t="s">
        <v>90</v>
      </c>
      <c r="I5" s="24"/>
    </row>
    <row r="6" spans="1:9" ht="16.2" customHeight="1" thickBot="1" x14ac:dyDescent="0.35">
      <c r="A6" t="s">
        <v>93</v>
      </c>
      <c r="B6">
        <f>152/19</f>
        <v>8</v>
      </c>
      <c r="C6" s="5" t="s">
        <v>134</v>
      </c>
      <c r="H6" s="25" t="s">
        <v>91</v>
      </c>
      <c r="I6" s="25" t="s">
        <v>92</v>
      </c>
    </row>
    <row r="7" spans="1:9" x14ac:dyDescent="0.3">
      <c r="A7" s="4" t="s">
        <v>6</v>
      </c>
      <c r="C7" s="5"/>
    </row>
    <row r="8" spans="1:9" x14ac:dyDescent="0.3">
      <c r="A8" t="s">
        <v>17</v>
      </c>
      <c r="C8" s="5"/>
    </row>
    <row r="9" spans="1:9" x14ac:dyDescent="0.3">
      <c r="A9" t="s">
        <v>18</v>
      </c>
      <c r="B9" s="8">
        <f>6/50/B13*100</f>
        <v>0.19047619047619047</v>
      </c>
      <c r="C9" s="5" t="s">
        <v>134</v>
      </c>
      <c r="E9" s="28" t="s">
        <v>118</v>
      </c>
    </row>
    <row r="10" spans="1:9" x14ac:dyDescent="0.3">
      <c r="A10" t="s">
        <v>19</v>
      </c>
      <c r="B10" s="11">
        <f>44/50/B13*100</f>
        <v>1.3968253968253967</v>
      </c>
      <c r="C10" s="5" t="s">
        <v>134</v>
      </c>
      <c r="E10" s="28" t="s">
        <v>118</v>
      </c>
    </row>
    <row r="11" spans="1:9" x14ac:dyDescent="0.3">
      <c r="A11" t="s">
        <v>20</v>
      </c>
      <c r="B11">
        <f>0.0014</f>
        <v>1.4E-3</v>
      </c>
      <c r="C11" s="5" t="s">
        <v>133</v>
      </c>
    </row>
    <row r="12" spans="1:9" x14ac:dyDescent="0.3">
      <c r="A12" t="s">
        <v>21</v>
      </c>
      <c r="B12">
        <f>0.0013</f>
        <v>1.2999999999999999E-3</v>
      </c>
      <c r="C12" s="5" t="s">
        <v>133</v>
      </c>
    </row>
    <row r="13" spans="1:9" x14ac:dyDescent="0.3">
      <c r="A13" t="s">
        <v>26</v>
      </c>
      <c r="B13">
        <v>63</v>
      </c>
      <c r="C13" s="5" t="s">
        <v>27</v>
      </c>
      <c r="E13">
        <f>97/159</f>
        <v>0.61006289308176098</v>
      </c>
      <c r="F13" t="s">
        <v>89</v>
      </c>
    </row>
    <row r="14" spans="1:9" x14ac:dyDescent="0.3">
      <c r="A14" s="4" t="s">
        <v>22</v>
      </c>
      <c r="C14" s="5"/>
    </row>
    <row r="15" spans="1:9" x14ac:dyDescent="0.3">
      <c r="A15" t="s">
        <v>23</v>
      </c>
      <c r="B15" s="8">
        <f>50/32/B19*100</f>
        <v>1.5648472709063597</v>
      </c>
      <c r="C15" s="5" t="s">
        <v>134</v>
      </c>
    </row>
    <row r="16" spans="1:9" x14ac:dyDescent="0.3">
      <c r="A16" t="s">
        <v>24</v>
      </c>
      <c r="B16" s="8">
        <v>0.55000000000000004</v>
      </c>
      <c r="C16" s="5" t="s">
        <v>134</v>
      </c>
      <c r="E16" s="28" t="s">
        <v>118</v>
      </c>
    </row>
    <row r="17" spans="1:6" x14ac:dyDescent="0.3">
      <c r="A17" t="s">
        <v>20</v>
      </c>
      <c r="B17">
        <v>0</v>
      </c>
      <c r="C17" s="5"/>
    </row>
    <row r="18" spans="1:6" x14ac:dyDescent="0.3">
      <c r="A18" t="s">
        <v>21</v>
      </c>
      <c r="B18">
        <f>0.002</f>
        <v>2E-3</v>
      </c>
      <c r="C18" s="5" t="s">
        <v>133</v>
      </c>
    </row>
    <row r="19" spans="1:6" x14ac:dyDescent="0.3">
      <c r="A19" t="s">
        <v>26</v>
      </c>
      <c r="B19">
        <v>99.85</v>
      </c>
      <c r="C19" s="5" t="s">
        <v>27</v>
      </c>
    </row>
    <row r="20" spans="1:6" x14ac:dyDescent="0.3">
      <c r="A20" s="4" t="s">
        <v>49</v>
      </c>
    </row>
    <row r="21" spans="1:6" x14ac:dyDescent="0.3">
      <c r="A21" t="s">
        <v>50</v>
      </c>
      <c r="B21">
        <f>100/90*100</f>
        <v>111.11111111111111</v>
      </c>
      <c r="C21" s="5" t="s">
        <v>27</v>
      </c>
    </row>
    <row r="23" spans="1:6" x14ac:dyDescent="0.3">
      <c r="A23" s="4" t="s">
        <v>85</v>
      </c>
    </row>
    <row r="24" spans="1:6" ht="15" thickBot="1" x14ac:dyDescent="0.35">
      <c r="A24" t="s">
        <v>99</v>
      </c>
      <c r="B24">
        <v>144</v>
      </c>
      <c r="C24" t="s">
        <v>124</v>
      </c>
      <c r="E24" s="28" t="s">
        <v>118</v>
      </c>
    </row>
    <row r="25" spans="1:6" ht="15" thickBot="1" x14ac:dyDescent="0.35">
      <c r="B25">
        <f>B24/1000</f>
        <v>0.14399999999999999</v>
      </c>
      <c r="C25" s="12" t="s">
        <v>133</v>
      </c>
      <c r="E25" s="23"/>
      <c r="F25" s="23"/>
    </row>
    <row r="26" spans="1:6" x14ac:dyDescent="0.3">
      <c r="A26" s="4" t="s">
        <v>86</v>
      </c>
      <c r="C26" s="12"/>
    </row>
    <row r="27" spans="1:6" x14ac:dyDescent="0.3">
      <c r="A27" t="s">
        <v>136</v>
      </c>
      <c r="B27">
        <v>20</v>
      </c>
      <c r="C27" s="12" t="s">
        <v>98</v>
      </c>
      <c r="E27" t="s">
        <v>97</v>
      </c>
    </row>
    <row r="28" spans="1:6" x14ac:dyDescent="0.3">
      <c r="A28" t="s">
        <v>135</v>
      </c>
      <c r="B28">
        <f>B27/1000</f>
        <v>0.02</v>
      </c>
      <c r="C28" s="12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50F6-E511-49DB-82BD-77A7ED41C569}">
  <dimension ref="A1:J28"/>
  <sheetViews>
    <sheetView workbookViewId="0">
      <selection activeCell="B4" sqref="B4"/>
    </sheetView>
  </sheetViews>
  <sheetFormatPr defaultRowHeight="14.4" x14ac:dyDescent="0.3"/>
  <cols>
    <col min="1" max="1" width="40.44140625" customWidth="1"/>
    <col min="2" max="2" width="11" bestFit="1" customWidth="1"/>
  </cols>
  <sheetData>
    <row r="1" spans="1:10" x14ac:dyDescent="0.3">
      <c r="A1" s="6" t="s">
        <v>48</v>
      </c>
      <c r="E1" t="s">
        <v>88</v>
      </c>
    </row>
    <row r="2" spans="1:10" x14ac:dyDescent="0.3">
      <c r="A2" s="4" t="s">
        <v>15</v>
      </c>
      <c r="C2" s="5"/>
    </row>
    <row r="3" spans="1:10" x14ac:dyDescent="0.3">
      <c r="A3" t="s">
        <v>46</v>
      </c>
      <c r="B3" s="11">
        <f>48.6</f>
        <v>48.6</v>
      </c>
      <c r="C3" s="12" t="s">
        <v>28</v>
      </c>
      <c r="E3" t="s">
        <v>89</v>
      </c>
    </row>
    <row r="4" spans="1:10" ht="15" thickBot="1" x14ac:dyDescent="0.35">
      <c r="A4" t="s">
        <v>45</v>
      </c>
      <c r="B4" s="8">
        <f>B3/1000</f>
        <v>4.8600000000000004E-2</v>
      </c>
      <c r="C4" s="12" t="s">
        <v>47</v>
      </c>
      <c r="E4" s="28" t="s">
        <v>118</v>
      </c>
    </row>
    <row r="5" spans="1:10" x14ac:dyDescent="0.3">
      <c r="A5" t="s">
        <v>94</v>
      </c>
      <c r="B5" s="26">
        <f>285/19</f>
        <v>15</v>
      </c>
      <c r="C5" s="5" t="s">
        <v>29</v>
      </c>
      <c r="H5" s="24" t="s">
        <v>90</v>
      </c>
      <c r="I5" s="24"/>
    </row>
    <row r="6" spans="1:10" ht="16.2" customHeight="1" thickBot="1" x14ac:dyDescent="0.35">
      <c r="A6" t="s">
        <v>93</v>
      </c>
      <c r="B6">
        <f>152/19</f>
        <v>8</v>
      </c>
      <c r="C6" s="5" t="s">
        <v>29</v>
      </c>
      <c r="H6" s="25" t="s">
        <v>91</v>
      </c>
      <c r="I6" s="25" t="s">
        <v>92</v>
      </c>
    </row>
    <row r="7" spans="1:10" x14ac:dyDescent="0.3">
      <c r="A7" s="4" t="s">
        <v>6</v>
      </c>
      <c r="C7" s="5"/>
    </row>
    <row r="8" spans="1:10" x14ac:dyDescent="0.3">
      <c r="A8" t="s">
        <v>17</v>
      </c>
      <c r="C8" s="5"/>
    </row>
    <row r="9" spans="1:10" x14ac:dyDescent="0.3">
      <c r="A9" t="s">
        <v>18</v>
      </c>
      <c r="B9" s="8">
        <f>6/50/B13*100</f>
        <v>0.19047619047619047</v>
      </c>
      <c r="C9" s="5" t="s">
        <v>29</v>
      </c>
      <c r="E9" s="28" t="s">
        <v>118</v>
      </c>
    </row>
    <row r="10" spans="1:10" x14ac:dyDescent="0.3">
      <c r="A10" t="s">
        <v>19</v>
      </c>
      <c r="B10" s="11">
        <f>44/50/B13*100</f>
        <v>1.3968253968253967</v>
      </c>
      <c r="C10" s="5" t="s">
        <v>29</v>
      </c>
      <c r="E10" s="28" t="s">
        <v>118</v>
      </c>
    </row>
    <row r="11" spans="1:10" x14ac:dyDescent="0.3">
      <c r="A11" t="s">
        <v>20</v>
      </c>
      <c r="B11">
        <f>0.0014/1000</f>
        <v>1.3999999999999999E-6</v>
      </c>
      <c r="C11" s="5" t="s">
        <v>47</v>
      </c>
      <c r="J11">
        <f>B11*1000</f>
        <v>1.4E-3</v>
      </c>
    </row>
    <row r="12" spans="1:10" x14ac:dyDescent="0.3">
      <c r="A12" t="s">
        <v>21</v>
      </c>
      <c r="B12">
        <f>0.0013/1000</f>
        <v>1.2999999999999998E-6</v>
      </c>
      <c r="C12" s="5" t="s">
        <v>47</v>
      </c>
    </row>
    <row r="13" spans="1:10" x14ac:dyDescent="0.3">
      <c r="A13" t="s">
        <v>26</v>
      </c>
      <c r="B13">
        <v>63</v>
      </c>
      <c r="C13" s="5" t="s">
        <v>27</v>
      </c>
      <c r="E13">
        <f>97/159</f>
        <v>0.61006289308176098</v>
      </c>
      <c r="F13" t="s">
        <v>89</v>
      </c>
    </row>
    <row r="14" spans="1:10" x14ac:dyDescent="0.3">
      <c r="A14" s="4" t="s">
        <v>22</v>
      </c>
      <c r="C14" s="5"/>
    </row>
    <row r="15" spans="1:10" x14ac:dyDescent="0.3">
      <c r="A15" t="s">
        <v>23</v>
      </c>
      <c r="B15" s="8">
        <f>50/32/B19*100</f>
        <v>1.5648472709063597</v>
      </c>
      <c r="C15" s="5" t="s">
        <v>29</v>
      </c>
    </row>
    <row r="16" spans="1:10" x14ac:dyDescent="0.3">
      <c r="A16" t="s">
        <v>24</v>
      </c>
      <c r="B16" s="8">
        <v>0.55000000000000004</v>
      </c>
      <c r="C16" s="5" t="s">
        <v>29</v>
      </c>
      <c r="E16" s="28" t="s">
        <v>118</v>
      </c>
    </row>
    <row r="17" spans="1:6" x14ac:dyDescent="0.3">
      <c r="A17" t="s">
        <v>20</v>
      </c>
      <c r="B17">
        <v>0</v>
      </c>
      <c r="C17" s="5"/>
    </row>
    <row r="18" spans="1:6" x14ac:dyDescent="0.3">
      <c r="A18" t="s">
        <v>21</v>
      </c>
      <c r="B18">
        <f>0.002/1000</f>
        <v>1.9999999999999999E-6</v>
      </c>
      <c r="C18" s="5" t="s">
        <v>47</v>
      </c>
    </row>
    <row r="19" spans="1:6" x14ac:dyDescent="0.3">
      <c r="A19" t="s">
        <v>26</v>
      </c>
      <c r="B19">
        <v>99.85</v>
      </c>
      <c r="C19" s="5" t="s">
        <v>27</v>
      </c>
    </row>
    <row r="20" spans="1:6" x14ac:dyDescent="0.3">
      <c r="A20" s="4" t="s">
        <v>49</v>
      </c>
    </row>
    <row r="21" spans="1:6" x14ac:dyDescent="0.3">
      <c r="A21" t="s">
        <v>50</v>
      </c>
      <c r="B21">
        <f>100/90*100</f>
        <v>111.11111111111111</v>
      </c>
      <c r="C21" s="5" t="s">
        <v>27</v>
      </c>
    </row>
    <row r="23" spans="1:6" x14ac:dyDescent="0.3">
      <c r="A23" s="4" t="s">
        <v>85</v>
      </c>
    </row>
    <row r="24" spans="1:6" ht="15" thickBot="1" x14ac:dyDescent="0.35">
      <c r="A24" t="s">
        <v>99</v>
      </c>
      <c r="B24">
        <v>144</v>
      </c>
      <c r="C24" t="s">
        <v>124</v>
      </c>
      <c r="E24" s="28" t="s">
        <v>118</v>
      </c>
    </row>
    <row r="25" spans="1:6" ht="15" thickBot="1" x14ac:dyDescent="0.35">
      <c r="B25">
        <f>B24/1000/1000</f>
        <v>1.4399999999999998E-4</v>
      </c>
      <c r="C25" s="12" t="s">
        <v>47</v>
      </c>
      <c r="E25" s="23"/>
      <c r="F25" s="23"/>
    </row>
    <row r="26" spans="1:6" x14ac:dyDescent="0.3">
      <c r="A26" s="4" t="s">
        <v>86</v>
      </c>
      <c r="C26" s="12"/>
    </row>
    <row r="27" spans="1:6" x14ac:dyDescent="0.3">
      <c r="A27" t="s">
        <v>87</v>
      </c>
      <c r="B27">
        <v>20</v>
      </c>
      <c r="C27" s="12" t="s">
        <v>98</v>
      </c>
      <c r="E27" t="s">
        <v>97</v>
      </c>
    </row>
    <row r="28" spans="1:6" x14ac:dyDescent="0.3">
      <c r="A28" t="s">
        <v>87</v>
      </c>
      <c r="B28">
        <f>B27/1000/1000</f>
        <v>2.0000000000000002E-5</v>
      </c>
      <c r="C28" s="12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F19-F881-4E04-8A8C-F08DE6E0CD4B}">
  <dimension ref="A1:H42"/>
  <sheetViews>
    <sheetView tabSelected="1" zoomScaleNormal="100" workbookViewId="0">
      <selection activeCell="L13" sqref="L13"/>
    </sheetView>
  </sheetViews>
  <sheetFormatPr defaultRowHeight="14.4" x14ac:dyDescent="0.3"/>
  <cols>
    <col min="1" max="1" width="26.21875" customWidth="1"/>
    <col min="4" max="4" width="41.21875" customWidth="1"/>
  </cols>
  <sheetData>
    <row r="1" spans="1:8" x14ac:dyDescent="0.3">
      <c r="A1" s="6" t="s">
        <v>11</v>
      </c>
      <c r="C1" s="5"/>
      <c r="D1" t="s">
        <v>88</v>
      </c>
    </row>
    <row r="2" spans="1:8" x14ac:dyDescent="0.3">
      <c r="A2" s="4" t="s">
        <v>12</v>
      </c>
      <c r="C2" s="5"/>
    </row>
    <row r="3" spans="1:8" x14ac:dyDescent="0.3">
      <c r="A3" t="s">
        <v>13</v>
      </c>
      <c r="B3">
        <v>95</v>
      </c>
      <c r="C3" s="5" t="s">
        <v>27</v>
      </c>
      <c r="F3">
        <f>B3*B4/100</f>
        <v>85.5</v>
      </c>
      <c r="G3" s="28" t="s">
        <v>118</v>
      </c>
    </row>
    <row r="4" spans="1:8" x14ac:dyDescent="0.3">
      <c r="A4" t="s">
        <v>14</v>
      </c>
      <c r="B4">
        <v>90</v>
      </c>
      <c r="C4" s="5" t="s">
        <v>27</v>
      </c>
    </row>
    <row r="5" spans="1:8" x14ac:dyDescent="0.3">
      <c r="A5" t="s">
        <v>100</v>
      </c>
      <c r="B5">
        <v>50</v>
      </c>
      <c r="C5" s="5" t="s">
        <v>27</v>
      </c>
    </row>
    <row r="6" spans="1:8" x14ac:dyDescent="0.3">
      <c r="A6" t="s">
        <v>101</v>
      </c>
      <c r="B6">
        <v>50</v>
      </c>
      <c r="C6" s="5" t="s">
        <v>27</v>
      </c>
    </row>
    <row r="7" spans="1:8" x14ac:dyDescent="0.3">
      <c r="A7" t="s">
        <v>102</v>
      </c>
      <c r="B7">
        <v>10</v>
      </c>
      <c r="C7" s="5" t="s">
        <v>27</v>
      </c>
      <c r="D7" t="s">
        <v>105</v>
      </c>
    </row>
    <row r="8" spans="1:8" x14ac:dyDescent="0.3">
      <c r="A8" t="s">
        <v>103</v>
      </c>
      <c r="B8">
        <v>100</v>
      </c>
      <c r="C8" s="5" t="s">
        <v>27</v>
      </c>
      <c r="D8" t="s">
        <v>105</v>
      </c>
    </row>
    <row r="9" spans="1:8" x14ac:dyDescent="0.3">
      <c r="A9" t="s">
        <v>104</v>
      </c>
      <c r="B9">
        <v>0.2</v>
      </c>
      <c r="D9" t="s">
        <v>105</v>
      </c>
      <c r="H9" s="28" t="s">
        <v>118</v>
      </c>
    </row>
    <row r="10" spans="1:8" x14ac:dyDescent="0.3">
      <c r="A10" s="4" t="s">
        <v>16</v>
      </c>
      <c r="C10" s="5"/>
    </row>
    <row r="11" spans="1:8" x14ac:dyDescent="0.3">
      <c r="A11" t="s">
        <v>13</v>
      </c>
      <c r="B11">
        <v>88</v>
      </c>
      <c r="C11" s="5" t="s">
        <v>27</v>
      </c>
      <c r="E11">
        <f>B11*B12/100</f>
        <v>88</v>
      </c>
      <c r="F11" s="28" t="s">
        <v>118</v>
      </c>
    </row>
    <row r="12" spans="1:8" x14ac:dyDescent="0.3">
      <c r="A12" t="s">
        <v>14</v>
      </c>
      <c r="B12">
        <v>100</v>
      </c>
      <c r="C12" s="5" t="s">
        <v>27</v>
      </c>
    </row>
    <row r="13" spans="1:8" x14ac:dyDescent="0.3">
      <c r="A13" t="s">
        <v>100</v>
      </c>
      <c r="B13">
        <v>50</v>
      </c>
      <c r="C13" s="5" t="s">
        <v>27</v>
      </c>
    </row>
    <row r="14" spans="1:8" x14ac:dyDescent="0.3">
      <c r="A14" t="s">
        <v>101</v>
      </c>
      <c r="B14">
        <v>50</v>
      </c>
      <c r="C14" s="5" t="s">
        <v>27</v>
      </c>
    </row>
    <row r="15" spans="1:8" x14ac:dyDescent="0.3">
      <c r="A15" t="s">
        <v>102</v>
      </c>
      <c r="B15">
        <v>10</v>
      </c>
      <c r="C15" s="5" t="s">
        <v>27</v>
      </c>
      <c r="D15" t="s">
        <v>105</v>
      </c>
    </row>
    <row r="16" spans="1:8" x14ac:dyDescent="0.3">
      <c r="A16" t="s">
        <v>103</v>
      </c>
      <c r="B16">
        <v>100</v>
      </c>
      <c r="C16" s="5" t="s">
        <v>27</v>
      </c>
      <c r="D16" t="s">
        <v>105</v>
      </c>
    </row>
    <row r="17" spans="1:4" x14ac:dyDescent="0.3">
      <c r="A17" t="s">
        <v>104</v>
      </c>
      <c r="B17">
        <v>5.0000000000000001E-3</v>
      </c>
    </row>
    <row r="18" spans="1:4" x14ac:dyDescent="0.3">
      <c r="A18" s="4" t="s">
        <v>71</v>
      </c>
      <c r="C18" s="5"/>
    </row>
    <row r="19" spans="1:4" x14ac:dyDescent="0.3">
      <c r="A19" t="s">
        <v>13</v>
      </c>
      <c r="B19">
        <v>98</v>
      </c>
      <c r="C19" s="5" t="s">
        <v>27</v>
      </c>
    </row>
    <row r="20" spans="1:4" x14ac:dyDescent="0.3">
      <c r="A20" t="s">
        <v>14</v>
      </c>
      <c r="B20">
        <v>97</v>
      </c>
      <c r="C20" s="5" t="s">
        <v>27</v>
      </c>
    </row>
    <row r="21" spans="1:4" x14ac:dyDescent="0.3">
      <c r="A21" t="s">
        <v>100</v>
      </c>
      <c r="B21">
        <v>50</v>
      </c>
      <c r="C21" s="5" t="s">
        <v>27</v>
      </c>
    </row>
    <row r="22" spans="1:4" x14ac:dyDescent="0.3">
      <c r="A22" t="s">
        <v>101</v>
      </c>
      <c r="B22">
        <v>50</v>
      </c>
      <c r="C22" s="5" t="s">
        <v>27</v>
      </c>
    </row>
    <row r="23" spans="1:4" x14ac:dyDescent="0.3">
      <c r="A23" t="s">
        <v>102</v>
      </c>
      <c r="B23">
        <v>5</v>
      </c>
      <c r="C23" s="5" t="s">
        <v>27</v>
      </c>
    </row>
    <row r="24" spans="1:4" x14ac:dyDescent="0.3">
      <c r="A24" t="s">
        <v>103</v>
      </c>
      <c r="B24">
        <v>85</v>
      </c>
      <c r="C24" s="5" t="s">
        <v>27</v>
      </c>
      <c r="D24" s="28" t="s">
        <v>118</v>
      </c>
    </row>
    <row r="25" spans="1:4" x14ac:dyDescent="0.3">
      <c r="A25" t="s">
        <v>84</v>
      </c>
      <c r="B25">
        <v>13</v>
      </c>
      <c r="C25" s="5" t="s">
        <v>137</v>
      </c>
    </row>
    <row r="26" spans="1:4" x14ac:dyDescent="0.3">
      <c r="A26" t="s">
        <v>83</v>
      </c>
      <c r="B26">
        <v>14</v>
      </c>
      <c r="C26" s="5" t="s">
        <v>137</v>
      </c>
    </row>
    <row r="27" spans="1:4" x14ac:dyDescent="0.3">
      <c r="A27" s="4" t="s">
        <v>76</v>
      </c>
      <c r="C27" s="5"/>
    </row>
    <row r="28" spans="1:4" x14ac:dyDescent="0.3">
      <c r="A28" t="s">
        <v>13</v>
      </c>
      <c r="B28">
        <v>99.5</v>
      </c>
      <c r="C28" s="5" t="s">
        <v>27</v>
      </c>
    </row>
    <row r="29" spans="1:4" x14ac:dyDescent="0.3">
      <c r="A29" t="s">
        <v>14</v>
      </c>
      <c r="B29">
        <v>99</v>
      </c>
      <c r="C29" s="5" t="s">
        <v>27</v>
      </c>
    </row>
    <row r="30" spans="1:4" x14ac:dyDescent="0.3">
      <c r="A30" t="s">
        <v>100</v>
      </c>
      <c r="B30">
        <v>50</v>
      </c>
      <c r="C30" s="5" t="s">
        <v>27</v>
      </c>
    </row>
    <row r="31" spans="1:4" x14ac:dyDescent="0.3">
      <c r="A31" t="s">
        <v>101</v>
      </c>
      <c r="B31">
        <v>50</v>
      </c>
      <c r="C31" s="5" t="s">
        <v>27</v>
      </c>
    </row>
    <row r="32" spans="1:4" x14ac:dyDescent="0.3">
      <c r="A32" t="s">
        <v>102</v>
      </c>
      <c r="B32">
        <v>5</v>
      </c>
      <c r="C32" s="5" t="s">
        <v>27</v>
      </c>
    </row>
    <row r="33" spans="1:3" x14ac:dyDescent="0.3">
      <c r="A33" t="s">
        <v>103</v>
      </c>
      <c r="B33">
        <v>90</v>
      </c>
      <c r="C33" s="5" t="s">
        <v>27</v>
      </c>
    </row>
    <row r="34" spans="1:3" x14ac:dyDescent="0.3">
      <c r="A34" t="s">
        <v>104</v>
      </c>
      <c r="B34">
        <v>1</v>
      </c>
    </row>
    <row r="35" spans="1:3" x14ac:dyDescent="0.3">
      <c r="A35" s="4" t="s">
        <v>25</v>
      </c>
      <c r="C35" s="5"/>
    </row>
    <row r="36" spans="1:3" x14ac:dyDescent="0.3">
      <c r="A36" t="s">
        <v>13</v>
      </c>
      <c r="B36">
        <v>99.5</v>
      </c>
      <c r="C36" s="5" t="s">
        <v>27</v>
      </c>
    </row>
    <row r="37" spans="1:3" x14ac:dyDescent="0.3">
      <c r="A37" t="s">
        <v>14</v>
      </c>
      <c r="B37">
        <v>99</v>
      </c>
      <c r="C37" s="5" t="s">
        <v>27</v>
      </c>
    </row>
    <row r="38" spans="1:3" x14ac:dyDescent="0.3">
      <c r="A38" t="s">
        <v>100</v>
      </c>
      <c r="B38">
        <v>50</v>
      </c>
      <c r="C38" s="5" t="s">
        <v>27</v>
      </c>
    </row>
    <row r="39" spans="1:3" x14ac:dyDescent="0.3">
      <c r="A39" t="s">
        <v>101</v>
      </c>
      <c r="B39">
        <v>50</v>
      </c>
      <c r="C39" s="5" t="s">
        <v>27</v>
      </c>
    </row>
    <row r="40" spans="1:3" x14ac:dyDescent="0.3">
      <c r="A40" t="s">
        <v>102</v>
      </c>
      <c r="B40">
        <v>5</v>
      </c>
      <c r="C40" s="5" t="s">
        <v>27</v>
      </c>
    </row>
    <row r="41" spans="1:3" x14ac:dyDescent="0.3">
      <c r="A41" t="s">
        <v>103</v>
      </c>
      <c r="B41">
        <v>90</v>
      </c>
      <c r="C41" s="5" t="s">
        <v>27</v>
      </c>
    </row>
    <row r="42" spans="1:3" x14ac:dyDescent="0.3">
      <c r="A42" t="s">
        <v>104</v>
      </c>
      <c r="B4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4B3D-7A7F-4D57-A646-1DC07F51C1EB}">
  <dimension ref="A1:G14"/>
  <sheetViews>
    <sheetView workbookViewId="0">
      <selection activeCell="E17" sqref="E17"/>
    </sheetView>
  </sheetViews>
  <sheetFormatPr defaultRowHeight="14.4" x14ac:dyDescent="0.3"/>
  <cols>
    <col min="1" max="1" width="18.6640625" customWidth="1"/>
    <col min="2" max="2" width="8.33203125" customWidth="1"/>
    <col min="3" max="3" width="32.6640625" customWidth="1"/>
    <col min="5" max="5" width="15.33203125" customWidth="1"/>
    <col min="6" max="6" width="15.6640625" customWidth="1"/>
  </cols>
  <sheetData>
    <row r="1" spans="1:7" x14ac:dyDescent="0.3">
      <c r="A1" s="7" t="s">
        <v>109</v>
      </c>
      <c r="E1" t="s">
        <v>95</v>
      </c>
    </row>
    <row r="3" spans="1:7" x14ac:dyDescent="0.3">
      <c r="A3" s="10" t="s">
        <v>15</v>
      </c>
      <c r="B3" t="s">
        <v>77</v>
      </c>
    </row>
    <row r="4" spans="1:7" x14ac:dyDescent="0.3">
      <c r="A4" t="s">
        <v>30</v>
      </c>
      <c r="B4">
        <v>100</v>
      </c>
      <c r="C4" t="s">
        <v>41</v>
      </c>
    </row>
    <row r="5" spans="1:7" x14ac:dyDescent="0.3">
      <c r="A5" t="s">
        <v>31</v>
      </c>
      <c r="B5">
        <v>100</v>
      </c>
      <c r="C5" t="s">
        <v>41</v>
      </c>
      <c r="E5" t="s">
        <v>80</v>
      </c>
      <c r="F5" t="s">
        <v>79</v>
      </c>
    </row>
    <row r="6" spans="1:7" x14ac:dyDescent="0.3">
      <c r="A6" t="s">
        <v>110</v>
      </c>
      <c r="B6">
        <v>15</v>
      </c>
      <c r="C6" t="s">
        <v>111</v>
      </c>
      <c r="E6" t="s">
        <v>81</v>
      </c>
      <c r="F6" t="s">
        <v>82</v>
      </c>
      <c r="G6" s="22" t="s">
        <v>78</v>
      </c>
    </row>
    <row r="7" spans="1:7" x14ac:dyDescent="0.3">
      <c r="A7" s="10" t="s">
        <v>6</v>
      </c>
    </row>
    <row r="8" spans="1:7" x14ac:dyDescent="0.3">
      <c r="A8" t="s">
        <v>30</v>
      </c>
      <c r="B8">
        <v>50</v>
      </c>
      <c r="C8" t="s">
        <v>41</v>
      </c>
    </row>
    <row r="9" spans="1:7" x14ac:dyDescent="0.3">
      <c r="A9" t="s">
        <v>31</v>
      </c>
      <c r="B9">
        <v>50</v>
      </c>
      <c r="C9" t="s">
        <v>41</v>
      </c>
      <c r="F9" t="s">
        <v>114</v>
      </c>
      <c r="G9" t="s">
        <v>113</v>
      </c>
    </row>
    <row r="10" spans="1:7" x14ac:dyDescent="0.3">
      <c r="A10" t="s">
        <v>110</v>
      </c>
      <c r="B10">
        <v>20</v>
      </c>
      <c r="C10" t="s">
        <v>111</v>
      </c>
      <c r="F10" t="s">
        <v>112</v>
      </c>
      <c r="G10" s="22" t="s">
        <v>105</v>
      </c>
    </row>
    <row r="11" spans="1:7" x14ac:dyDescent="0.3">
      <c r="A11" s="10" t="s">
        <v>7</v>
      </c>
    </row>
    <row r="12" spans="1:7" x14ac:dyDescent="0.3">
      <c r="A12" t="s">
        <v>30</v>
      </c>
      <c r="B12">
        <v>20</v>
      </c>
      <c r="C12" t="s">
        <v>41</v>
      </c>
    </row>
    <row r="13" spans="1:7" x14ac:dyDescent="0.3">
      <c r="A13" t="s">
        <v>31</v>
      </c>
      <c r="B13">
        <v>20</v>
      </c>
      <c r="C13" t="s">
        <v>41</v>
      </c>
    </row>
    <row r="14" spans="1:7" x14ac:dyDescent="0.3">
      <c r="A14" t="s">
        <v>110</v>
      </c>
      <c r="B14">
        <v>20</v>
      </c>
      <c r="C14" t="s">
        <v>111</v>
      </c>
      <c r="D14" s="1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F4582-BBD7-4570-B9DF-6805FA974DED}">
  <dimension ref="A1:C1"/>
  <sheetViews>
    <sheetView workbookViewId="0">
      <selection activeCell="I38" sqref="I38"/>
    </sheetView>
  </sheetViews>
  <sheetFormatPr defaultRowHeight="14.4" x14ac:dyDescent="0.3"/>
  <cols>
    <col min="1" max="1" width="13.33203125" customWidth="1"/>
  </cols>
  <sheetData>
    <row r="1" spans="1:3" x14ac:dyDescent="0.3">
      <c r="A1" t="s">
        <v>40</v>
      </c>
      <c r="B1">
        <v>8</v>
      </c>
      <c r="C1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BBDD-DEF0-4206-AD09-4CD913C08DD5}">
  <dimension ref="A1:P11"/>
  <sheetViews>
    <sheetView workbookViewId="0">
      <selection activeCell="J3" sqref="J3"/>
    </sheetView>
  </sheetViews>
  <sheetFormatPr defaultRowHeight="14.4" x14ac:dyDescent="0.3"/>
  <cols>
    <col min="1" max="1" width="11.88671875" customWidth="1"/>
    <col min="2" max="2" width="12.109375" customWidth="1"/>
    <col min="3" max="3" width="13" customWidth="1"/>
    <col min="5" max="7" width="10.6640625" customWidth="1"/>
    <col min="8" max="8" width="13.44140625" customWidth="1"/>
    <col min="9" max="9" width="10.88671875" customWidth="1"/>
    <col min="10" max="10" width="10.5546875" customWidth="1"/>
    <col min="11" max="11" width="9.5546875" customWidth="1"/>
    <col min="12" max="12" width="8.109375" customWidth="1"/>
    <col min="13" max="13" width="11.77734375" customWidth="1"/>
    <col min="14" max="14" width="11.44140625" customWidth="1"/>
    <col min="15" max="15" width="13.6640625" customWidth="1"/>
  </cols>
  <sheetData>
    <row r="1" spans="1:16" x14ac:dyDescent="0.3">
      <c r="A1" s="9" t="s">
        <v>108</v>
      </c>
      <c r="B1" s="9" t="s">
        <v>106</v>
      </c>
      <c r="C1" s="9" t="s">
        <v>107</v>
      </c>
      <c r="D1" s="9" t="s">
        <v>12</v>
      </c>
      <c r="E1" s="9" t="s">
        <v>42</v>
      </c>
      <c r="F1" s="9" t="s">
        <v>72</v>
      </c>
      <c r="G1" s="9" t="s">
        <v>43</v>
      </c>
      <c r="H1" s="9" t="s">
        <v>44</v>
      </c>
      <c r="I1" s="9" t="s">
        <v>15</v>
      </c>
      <c r="J1" s="9" t="s">
        <v>6</v>
      </c>
      <c r="K1" s="9" t="s">
        <v>7</v>
      </c>
      <c r="L1" s="13" t="s">
        <v>51</v>
      </c>
      <c r="M1" s="9" t="s">
        <v>85</v>
      </c>
      <c r="N1" s="9" t="s">
        <v>86</v>
      </c>
      <c r="O1" s="9" t="s">
        <v>56</v>
      </c>
      <c r="P1" s="9" t="s">
        <v>115</v>
      </c>
    </row>
    <row r="2" spans="1:16" x14ac:dyDescent="0.3">
      <c r="A2">
        <f>Operation!B4/100</f>
        <v>1</v>
      </c>
      <c r="B2">
        <f>Operation!B8/100</f>
        <v>0.5</v>
      </c>
      <c r="C2">
        <f>Operation!B12/100</f>
        <v>0.2</v>
      </c>
      <c r="D2">
        <f>Storages!B3/100</f>
        <v>0.95</v>
      </c>
      <c r="E2">
        <f>Storages!B11/100</f>
        <v>0.88</v>
      </c>
      <c r="F2">
        <f>Storages!B19/100</f>
        <v>0.98</v>
      </c>
      <c r="G2">
        <f>Storages!B28/100</f>
        <v>0.995</v>
      </c>
      <c r="H2">
        <f>Storages!B36/100</f>
        <v>0.995</v>
      </c>
      <c r="I2" s="8">
        <f>Machines!B4</f>
        <v>48.543689320388346</v>
      </c>
      <c r="J2" s="8">
        <f>Machines!B9</f>
        <v>0.19047619047619047</v>
      </c>
      <c r="K2" s="8">
        <f>Machines!B15</f>
        <v>1.5648472709063597</v>
      </c>
      <c r="L2" s="8">
        <f>Machines!B21/100</f>
        <v>1.1111111111111112</v>
      </c>
      <c r="M2" s="33">
        <f>Machines!B25/100</f>
        <v>1.4399999999999999E-3</v>
      </c>
      <c r="N2" s="32">
        <f>Machines!B28/100</f>
        <v>2.0000000000000001E-4</v>
      </c>
      <c r="O2">
        <f>'Max Capacities'!C2</f>
        <v>1000</v>
      </c>
      <c r="P2">
        <f>'Max Capacities'!C13</f>
        <v>200</v>
      </c>
    </row>
    <row r="3" spans="1:16" x14ac:dyDescent="0.3">
      <c r="A3">
        <f>Operation!B5/100</f>
        <v>1</v>
      </c>
      <c r="B3">
        <f>Operation!B9/100</f>
        <v>0.5</v>
      </c>
      <c r="C3">
        <f>Operation!B13/100</f>
        <v>0.2</v>
      </c>
      <c r="D3">
        <f>Storages!B4/100</f>
        <v>0.9</v>
      </c>
      <c r="E3">
        <f>Storages!B12/100</f>
        <v>1</v>
      </c>
      <c r="F3">
        <f>Storages!B20/100</f>
        <v>0.97</v>
      </c>
      <c r="G3">
        <f>Storages!B29/100</f>
        <v>0.99</v>
      </c>
      <c r="H3">
        <f>Storages!B37/100</f>
        <v>0.99</v>
      </c>
      <c r="I3" s="26">
        <f>Machines!B5</f>
        <v>15</v>
      </c>
      <c r="J3" s="8">
        <f>Machines!B10</f>
        <v>1.3968253968253967</v>
      </c>
      <c r="K3" s="8">
        <f>Machines!B16</f>
        <v>0.55000000000000004</v>
      </c>
      <c r="L3" s="8"/>
      <c r="O3">
        <f>'Max Capacities'!C3</f>
        <v>1000</v>
      </c>
    </row>
    <row r="4" spans="1:16" x14ac:dyDescent="0.3">
      <c r="A4">
        <f>Operation!B6/100</f>
        <v>0.15</v>
      </c>
      <c r="B4">
        <f>Operation!B10/100</f>
        <v>0.2</v>
      </c>
      <c r="C4">
        <f>Operation!B14/100</f>
        <v>0.2</v>
      </c>
      <c r="D4">
        <f>Storages!B5/100</f>
        <v>0.5</v>
      </c>
      <c r="E4">
        <f>Storages!B13/100</f>
        <v>0.5</v>
      </c>
      <c r="F4">
        <f>Storages!B21/100</f>
        <v>0.5</v>
      </c>
      <c r="G4">
        <f>Storages!B30/100</f>
        <v>0.5</v>
      </c>
      <c r="H4">
        <f>Storages!B38/100</f>
        <v>0.5</v>
      </c>
      <c r="J4" s="32">
        <f>Machines!B11</f>
        <v>1.4E-3</v>
      </c>
      <c r="K4">
        <f>Machines!B17</f>
        <v>0</v>
      </c>
      <c r="L4" s="8"/>
      <c r="O4">
        <f>'Max Capacities'!C4</f>
        <v>300</v>
      </c>
    </row>
    <row r="5" spans="1:16" x14ac:dyDescent="0.3">
      <c r="D5">
        <f>Storages!B6/100</f>
        <v>0.5</v>
      </c>
      <c r="E5">
        <f>Storages!B14/100</f>
        <v>0.5</v>
      </c>
      <c r="F5">
        <f>Storages!B22/100</f>
        <v>0.5</v>
      </c>
      <c r="G5">
        <f>Storages!B31/100</f>
        <v>0.5</v>
      </c>
      <c r="H5">
        <f>Storages!B39/100</f>
        <v>0.5</v>
      </c>
      <c r="J5" s="32">
        <f>Machines!B12</f>
        <v>1.2999999999999999E-3</v>
      </c>
      <c r="K5">
        <f>Machines!B18</f>
        <v>2E-3</v>
      </c>
      <c r="O5">
        <f>'Max Capacities'!C5</f>
        <v>15</v>
      </c>
    </row>
    <row r="6" spans="1:16" x14ac:dyDescent="0.3">
      <c r="D6">
        <f>Storages!B7/100</f>
        <v>0.1</v>
      </c>
      <c r="E6">
        <f>Storages!B15/100</f>
        <v>0.1</v>
      </c>
      <c r="F6">
        <f>Storages!B23/100</f>
        <v>0.05</v>
      </c>
      <c r="G6">
        <f>Storages!B32/100</f>
        <v>0.05</v>
      </c>
      <c r="H6">
        <f>Storages!B40/100</f>
        <v>0.05</v>
      </c>
      <c r="L6" s="8"/>
      <c r="O6">
        <f>'Max Capacities'!C6</f>
        <v>10</v>
      </c>
    </row>
    <row r="7" spans="1:16" x14ac:dyDescent="0.3">
      <c r="D7">
        <f>Storages!B8/100</f>
        <v>1</v>
      </c>
      <c r="E7">
        <f>Storages!B16/100</f>
        <v>1</v>
      </c>
      <c r="F7">
        <f>Storages!B24/100</f>
        <v>0.85</v>
      </c>
      <c r="G7">
        <f>Storages!B33/100</f>
        <v>0.9</v>
      </c>
      <c r="H7">
        <f>Storages!B41/100</f>
        <v>0.9</v>
      </c>
      <c r="L7" s="8"/>
      <c r="O7">
        <f>'Max Capacities'!C7</f>
        <v>600</v>
      </c>
    </row>
    <row r="8" spans="1:16" x14ac:dyDescent="0.3">
      <c r="D8">
        <f>Storages!B9</f>
        <v>0.2</v>
      </c>
      <c r="E8">
        <f>Storages!B17</f>
        <v>5.0000000000000001E-3</v>
      </c>
      <c r="F8">
        <f>Storages!B25</f>
        <v>13</v>
      </c>
      <c r="G8">
        <f>Storages!B34</f>
        <v>1</v>
      </c>
      <c r="H8">
        <f>Storages!B42</f>
        <v>1</v>
      </c>
      <c r="O8">
        <f>'Max Capacities'!C8</f>
        <v>50</v>
      </c>
    </row>
    <row r="9" spans="1:16" x14ac:dyDescent="0.3">
      <c r="F9">
        <f>Storages!B26</f>
        <v>14</v>
      </c>
      <c r="O9">
        <f>'Max Capacities'!C9</f>
        <v>1200</v>
      </c>
    </row>
    <row r="10" spans="1:16" x14ac:dyDescent="0.3">
      <c r="O10">
        <f>'Max Capacities'!C10</f>
        <v>1200</v>
      </c>
    </row>
    <row r="11" spans="1:16" x14ac:dyDescent="0.3">
      <c r="O11">
        <f>'Max Capacities'!C11</f>
        <v>1200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7BBC-1CA6-4C28-9326-79DB6AECE0B6}">
  <dimension ref="A1:AN7"/>
  <sheetViews>
    <sheetView workbookViewId="0">
      <selection activeCell="N3" sqref="N3"/>
    </sheetView>
  </sheetViews>
  <sheetFormatPr defaultRowHeight="14.4" x14ac:dyDescent="0.3"/>
  <cols>
    <col min="29" max="29" width="12.77734375" customWidth="1"/>
    <col min="30" max="30" width="13.109375" customWidth="1"/>
    <col min="31" max="31" width="12.5546875" customWidth="1"/>
    <col min="32" max="32" width="13" customWidth="1"/>
  </cols>
  <sheetData>
    <row r="1" spans="1:40" x14ac:dyDescent="0.3">
      <c r="A1" t="s">
        <v>37</v>
      </c>
      <c r="B1" t="s">
        <v>37</v>
      </c>
      <c r="C1" t="s">
        <v>37</v>
      </c>
      <c r="D1" t="s">
        <v>37</v>
      </c>
      <c r="E1" t="s">
        <v>36</v>
      </c>
      <c r="F1" t="s">
        <v>36</v>
      </c>
      <c r="G1" t="s">
        <v>36</v>
      </c>
      <c r="H1" t="s">
        <v>36</v>
      </c>
      <c r="I1" t="s">
        <v>57</v>
      </c>
      <c r="J1" t="s">
        <v>57</v>
      </c>
      <c r="K1" t="s">
        <v>57</v>
      </c>
      <c r="L1" t="s">
        <v>57</v>
      </c>
      <c r="M1" t="s">
        <v>58</v>
      </c>
      <c r="N1" t="s">
        <v>58</v>
      </c>
      <c r="O1" t="s">
        <v>58</v>
      </c>
      <c r="P1" t="s">
        <v>58</v>
      </c>
      <c r="Q1" t="s">
        <v>59</v>
      </c>
      <c r="R1" t="s">
        <v>59</v>
      </c>
      <c r="S1" t="s">
        <v>59</v>
      </c>
      <c r="T1" t="s">
        <v>59</v>
      </c>
      <c r="U1" t="s">
        <v>60</v>
      </c>
      <c r="V1" t="s">
        <v>60</v>
      </c>
      <c r="W1" t="s">
        <v>60</v>
      </c>
      <c r="X1" t="s">
        <v>60</v>
      </c>
      <c r="Y1" t="s">
        <v>61</v>
      </c>
      <c r="Z1" t="s">
        <v>61</v>
      </c>
      <c r="AA1" t="s">
        <v>61</v>
      </c>
      <c r="AB1" t="s">
        <v>61</v>
      </c>
      <c r="AC1" t="s">
        <v>75</v>
      </c>
      <c r="AD1" t="s">
        <v>75</v>
      </c>
      <c r="AE1" t="s">
        <v>75</v>
      </c>
      <c r="AF1" t="s">
        <v>75</v>
      </c>
      <c r="AG1" t="s">
        <v>64</v>
      </c>
      <c r="AH1" t="s">
        <v>64</v>
      </c>
      <c r="AI1" t="s">
        <v>64</v>
      </c>
      <c r="AJ1" t="s">
        <v>64</v>
      </c>
      <c r="AK1" t="s">
        <v>62</v>
      </c>
      <c r="AL1" t="s">
        <v>62</v>
      </c>
      <c r="AM1" t="s">
        <v>62</v>
      </c>
      <c r="AN1" t="s">
        <v>62</v>
      </c>
    </row>
    <row r="2" spans="1:40" x14ac:dyDescent="0.3">
      <c r="A2" s="9" t="s">
        <v>35</v>
      </c>
      <c r="B2" s="9" t="s">
        <v>34</v>
      </c>
      <c r="C2" s="9" t="s">
        <v>33</v>
      </c>
      <c r="D2" s="9" t="s">
        <v>32</v>
      </c>
      <c r="E2" s="9" t="s">
        <v>35</v>
      </c>
      <c r="F2" s="9" t="s">
        <v>34</v>
      </c>
      <c r="G2" s="9" t="s">
        <v>33</v>
      </c>
      <c r="H2" s="9" t="s">
        <v>32</v>
      </c>
      <c r="I2" s="9" t="s">
        <v>35</v>
      </c>
      <c r="J2" s="9" t="s">
        <v>34</v>
      </c>
      <c r="K2" s="9" t="s">
        <v>33</v>
      </c>
      <c r="L2" s="9" t="s">
        <v>32</v>
      </c>
      <c r="M2" s="9" t="s">
        <v>35</v>
      </c>
      <c r="N2" s="9" t="s">
        <v>34</v>
      </c>
      <c r="O2" s="9" t="s">
        <v>33</v>
      </c>
      <c r="P2" s="9" t="s">
        <v>32</v>
      </c>
      <c r="Q2" s="9" t="s">
        <v>35</v>
      </c>
      <c r="R2" s="9" t="s">
        <v>34</v>
      </c>
      <c r="S2" s="9" t="s">
        <v>33</v>
      </c>
      <c r="T2" s="9" t="s">
        <v>32</v>
      </c>
      <c r="U2" s="9" t="s">
        <v>35</v>
      </c>
      <c r="V2" s="9" t="s">
        <v>34</v>
      </c>
      <c r="W2" s="9" t="s">
        <v>33</v>
      </c>
      <c r="X2" s="9" t="s">
        <v>32</v>
      </c>
      <c r="Y2" s="9" t="s">
        <v>35</v>
      </c>
      <c r="Z2" s="9" t="s">
        <v>34</v>
      </c>
      <c r="AA2" s="9" t="s">
        <v>33</v>
      </c>
      <c r="AB2" s="9" t="s">
        <v>32</v>
      </c>
      <c r="AC2" s="9" t="s">
        <v>35</v>
      </c>
      <c r="AD2" s="9" t="s">
        <v>34</v>
      </c>
      <c r="AE2" s="9" t="s">
        <v>33</v>
      </c>
      <c r="AF2" s="9" t="s">
        <v>32</v>
      </c>
      <c r="AG2" s="9" t="s">
        <v>35</v>
      </c>
      <c r="AH2" s="9" t="s">
        <v>34</v>
      </c>
      <c r="AI2" s="9" t="s">
        <v>33</v>
      </c>
      <c r="AJ2" s="9" t="s">
        <v>32</v>
      </c>
      <c r="AK2" s="9" t="s">
        <v>35</v>
      </c>
      <c r="AL2" s="9" t="s">
        <v>34</v>
      </c>
      <c r="AM2" s="9" t="s">
        <v>33</v>
      </c>
      <c r="AN2" s="9" t="s">
        <v>32</v>
      </c>
    </row>
    <row r="3" spans="1:40" x14ac:dyDescent="0.3">
      <c r="A3" s="14">
        <f>Costs!B4</f>
        <v>360000</v>
      </c>
      <c r="B3" s="14">
        <f>Costs!B5</f>
        <v>1800000</v>
      </c>
      <c r="C3" s="14">
        <f>Costs!B6</f>
        <v>1170000</v>
      </c>
      <c r="D3" s="14">
        <f>Costs!B7</f>
        <v>180000</v>
      </c>
      <c r="E3">
        <f>Costs!B11</f>
        <v>76000</v>
      </c>
      <c r="F3">
        <f>Costs!B12</f>
        <v>380000</v>
      </c>
      <c r="G3">
        <f>Costs!B13</f>
        <v>279000</v>
      </c>
      <c r="H3">
        <f>Costs!B14</f>
        <v>38000</v>
      </c>
      <c r="I3">
        <f>Costs!B18</f>
        <v>110000</v>
      </c>
      <c r="J3">
        <f>Costs!B19</f>
        <v>550000</v>
      </c>
      <c r="K3">
        <f>Costs!B20</f>
        <v>660000</v>
      </c>
      <c r="L3">
        <f>Costs!B21</f>
        <v>55000</v>
      </c>
      <c r="M3">
        <f>Costs!B25</f>
        <v>700000</v>
      </c>
      <c r="N3">
        <f>Costs!B26</f>
        <v>3500000</v>
      </c>
      <c r="O3">
        <f>Costs!B27</f>
        <v>3150000</v>
      </c>
      <c r="P3">
        <f>Costs!B28</f>
        <v>350000</v>
      </c>
      <c r="Q3">
        <f>Costs!B32</f>
        <v>560000</v>
      </c>
      <c r="R3">
        <f>Costs!B33</f>
        <v>2450000</v>
      </c>
      <c r="S3">
        <f>Costs!B34</f>
        <v>2205000</v>
      </c>
      <c r="T3">
        <f>Costs!B35</f>
        <v>280000</v>
      </c>
      <c r="U3">
        <f>Costs!G4</f>
        <v>44916.4</v>
      </c>
      <c r="V3">
        <f>Costs!G5</f>
        <v>224582</v>
      </c>
      <c r="W3">
        <f>Costs!G6</f>
        <v>101061.9</v>
      </c>
      <c r="X3">
        <f>Costs!G7</f>
        <v>22458.2</v>
      </c>
      <c r="Y3">
        <f>Costs!G11</f>
        <v>100000</v>
      </c>
      <c r="Z3">
        <f>Costs!G12</f>
        <v>500000</v>
      </c>
      <c r="AA3">
        <f>Costs!G13</f>
        <v>150000</v>
      </c>
      <c r="AB3">
        <f>Costs!G14</f>
        <v>50000</v>
      </c>
      <c r="AC3">
        <f>Costs!G18</f>
        <v>380</v>
      </c>
      <c r="AD3">
        <f>Costs!G19</f>
        <v>1900</v>
      </c>
      <c r="AE3">
        <f>Costs!G20</f>
        <v>1710</v>
      </c>
      <c r="AF3">
        <f>Costs!G21</f>
        <v>190</v>
      </c>
      <c r="AG3">
        <f>Costs!G25</f>
        <v>760</v>
      </c>
      <c r="AH3">
        <f>Costs!G26</f>
        <v>3800</v>
      </c>
      <c r="AI3">
        <f>Costs!G27</f>
        <v>3420</v>
      </c>
      <c r="AJ3">
        <f>Costs!G28</f>
        <v>380</v>
      </c>
      <c r="AK3">
        <f>Costs!G32</f>
        <v>380</v>
      </c>
      <c r="AL3">
        <f>Costs!G33</f>
        <v>1900</v>
      </c>
      <c r="AM3">
        <f>Costs!G34</f>
        <v>114</v>
      </c>
      <c r="AN3">
        <f>Costs!G35</f>
        <v>190</v>
      </c>
    </row>
    <row r="7" spans="1:40" x14ac:dyDescent="0.3">
      <c r="A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Costs</vt:lpstr>
      <vt:lpstr>Max Capacities</vt:lpstr>
      <vt:lpstr>Machines</vt:lpstr>
      <vt:lpstr>Machines Old</vt:lpstr>
      <vt:lpstr>Storages</vt:lpstr>
      <vt:lpstr>Operation</vt:lpstr>
      <vt:lpstr>Financial param</vt:lpstr>
      <vt:lpstr>Python_param</vt:lpstr>
      <vt:lpstr>Python_costs</vt:lpstr>
      <vt:lpstr>Python_discounted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Gutierrez Mordini</dc:creator>
  <cp:lastModifiedBy>Pablo Gutierrez Mordini</cp:lastModifiedBy>
  <dcterms:created xsi:type="dcterms:W3CDTF">2024-10-17T14:36:35Z</dcterms:created>
  <dcterms:modified xsi:type="dcterms:W3CDTF">2025-02-18T18:46:46Z</dcterms:modified>
</cp:coreProperties>
</file>