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izuka\Documents\"/>
    </mc:Choice>
  </mc:AlternateContent>
  <xr:revisionPtr revIDLastSave="0" documentId="13_ncr:1_{92C1660C-C716-4942-90B4-F4FEAB8BE941}" xr6:coauthVersionLast="47" xr6:coauthVersionMax="47" xr10:uidLastSave="{00000000-0000-0000-0000-000000000000}"/>
  <bookViews>
    <workbookView xWindow="20370" yWindow="-4680" windowWidth="29040" windowHeight="15840" tabRatio="695" xr2:uid="{00000000-000D-0000-FFFF-FFFF00000000}"/>
  </bookViews>
  <sheets>
    <sheet name="SALARIS" sheetId="22" r:id="rId1"/>
    <sheet name="Kos" sheetId="15" r:id="rId2"/>
    <sheet name="Psig" sheetId="17" r:id="rId3"/>
    <sheet name="Timesheet" sheetId="9" r:id="rId4"/>
    <sheet name="Elyssa begroting" sheetId="13" r:id="rId5"/>
    <sheet name="2023" sheetId="23" r:id="rId6"/>
    <sheet name="2022" sheetId="21" r:id="rId7"/>
    <sheet name="2021" sheetId="20" r:id="rId8"/>
    <sheet name="2020" sheetId="18" r:id="rId9"/>
    <sheet name="2019" sheetId="12" r:id="rId10"/>
    <sheet name="2018" sheetId="11" r:id="rId11"/>
    <sheet name="2017 (2)" sheetId="6" r:id="rId12"/>
    <sheet name="2017" sheetId="5" r:id="rId13"/>
    <sheet name="2016" sheetId="4" r:id="rId14"/>
    <sheet name="2015" sheetId="1" r:id="rId15"/>
    <sheet name="Huis" sheetId="1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22" l="1"/>
  <c r="C33" i="23"/>
  <c r="H2" i="23"/>
  <c r="G43" i="22"/>
  <c r="E52" i="22"/>
  <c r="E51" i="22"/>
  <c r="E50" i="22"/>
  <c r="E48" i="22"/>
  <c r="C13" i="23"/>
  <c r="C34" i="23"/>
  <c r="F34" i="23"/>
  <c r="C32" i="23"/>
  <c r="G39" i="23"/>
  <c r="H29" i="23"/>
  <c r="S31" i="22"/>
  <c r="S29" i="22"/>
  <c r="D33" i="23"/>
  <c r="D32" i="23"/>
  <c r="D31" i="23"/>
  <c r="D12" i="23"/>
  <c r="E32" i="22"/>
  <c r="F32" i="22" s="1"/>
  <c r="E31" i="22"/>
  <c r="F31" i="22"/>
  <c r="E31" i="23"/>
  <c r="Z25" i="22"/>
  <c r="Z26" i="22" s="1"/>
  <c r="Z27" i="22" s="1"/>
  <c r="Z28" i="22" s="1"/>
  <c r="Z29" i="22" s="1"/>
  <c r="Z30" i="22" s="1"/>
  <c r="Z31" i="22" s="1"/>
  <c r="Z32" i="22" s="1"/>
  <c r="Z33" i="22" s="1"/>
  <c r="Z24" i="22"/>
  <c r="D36" i="23" l="1"/>
  <c r="D37" i="23" s="1"/>
  <c r="M25" i="22"/>
  <c r="T29" i="22" s="1"/>
  <c r="E30" i="22"/>
  <c r="F30" i="22" s="1"/>
  <c r="E34" i="23"/>
  <c r="I4" i="23"/>
  <c r="L111" i="23"/>
  <c r="M111" i="23" s="1"/>
  <c r="N111" i="23" s="1"/>
  <c r="O111" i="23" s="1"/>
  <c r="P111" i="23" s="1"/>
  <c r="Q111" i="23" s="1"/>
  <c r="R111" i="23" s="1"/>
  <c r="S111" i="23" s="1"/>
  <c r="T111" i="23" s="1"/>
  <c r="U111" i="23" s="1"/>
  <c r="V111" i="23" s="1"/>
  <c r="W111" i="23" s="1"/>
  <c r="L103" i="23"/>
  <c r="M103" i="23" s="1"/>
  <c r="N103" i="23" s="1"/>
  <c r="O103" i="23" s="1"/>
  <c r="P103" i="23" s="1"/>
  <c r="Q103" i="23" s="1"/>
  <c r="R103" i="23" s="1"/>
  <c r="S103" i="23" s="1"/>
  <c r="T103" i="23" s="1"/>
  <c r="U103" i="23" s="1"/>
  <c r="V103" i="23" s="1"/>
  <c r="W103" i="23" s="1"/>
  <c r="Z88" i="23"/>
  <c r="Y88" i="23"/>
  <c r="X88" i="23"/>
  <c r="W88" i="23"/>
  <c r="U88" i="23"/>
  <c r="T88" i="23"/>
  <c r="S88" i="23"/>
  <c r="R88" i="23"/>
  <c r="Q88" i="23"/>
  <c r="P88" i="23"/>
  <c r="O88" i="23"/>
  <c r="Z87" i="23"/>
  <c r="Y87" i="23"/>
  <c r="X87" i="23"/>
  <c r="W87" i="23"/>
  <c r="U87" i="23"/>
  <c r="T87" i="23"/>
  <c r="S87" i="23"/>
  <c r="R87" i="23"/>
  <c r="Q87" i="23"/>
  <c r="O87" i="23"/>
  <c r="AB85" i="23"/>
  <c r="AA85" i="23"/>
  <c r="AB84" i="23"/>
  <c r="AA84" i="23"/>
  <c r="AB83" i="23"/>
  <c r="AA83" i="23"/>
  <c r="AB82" i="23"/>
  <c r="AA82" i="23"/>
  <c r="AB81" i="23"/>
  <c r="AB80" i="23"/>
  <c r="AA80" i="23"/>
  <c r="AB79" i="23"/>
  <c r="AA79" i="23"/>
  <c r="AB78" i="23"/>
  <c r="AA78" i="23"/>
  <c r="AB77" i="23"/>
  <c r="AB72" i="23"/>
  <c r="AA72" i="23"/>
  <c r="AB71" i="23"/>
  <c r="AA71" i="23"/>
  <c r="AB70" i="23"/>
  <c r="AA70" i="23"/>
  <c r="AB69" i="23"/>
  <c r="AA69" i="23"/>
  <c r="AB68" i="23"/>
  <c r="AA68" i="23"/>
  <c r="AB67" i="23"/>
  <c r="AB66" i="23"/>
  <c r="AA66" i="23"/>
  <c r="AB65" i="23"/>
  <c r="AA65" i="23"/>
  <c r="AB64" i="23"/>
  <c r="AA64" i="23"/>
  <c r="AB63" i="23"/>
  <c r="AA63" i="23"/>
  <c r="AB62" i="23"/>
  <c r="AB61" i="23"/>
  <c r="AA61" i="23"/>
  <c r="AB60" i="23"/>
  <c r="AA60" i="23"/>
  <c r="AB59" i="23"/>
  <c r="AA59" i="23"/>
  <c r="AB58" i="23"/>
  <c r="AA58" i="23"/>
  <c r="AB57" i="23"/>
  <c r="AA57" i="23"/>
  <c r="AB56" i="23"/>
  <c r="AA56" i="23"/>
  <c r="AB55" i="23"/>
  <c r="AA55" i="23"/>
  <c r="AB54" i="23"/>
  <c r="AA54" i="23"/>
  <c r="AB53" i="23"/>
  <c r="AA53" i="23"/>
  <c r="AB52" i="23"/>
  <c r="AA52" i="23"/>
  <c r="AB51" i="23"/>
  <c r="AA51" i="23"/>
  <c r="C51" i="23"/>
  <c r="AB50" i="23"/>
  <c r="AA50" i="23"/>
  <c r="AB49" i="23"/>
  <c r="C49" i="23"/>
  <c r="C31" i="23" s="1"/>
  <c r="AA48" i="23"/>
  <c r="D48" i="23"/>
  <c r="C48" i="23"/>
  <c r="F46" i="23"/>
  <c r="AB43" i="23"/>
  <c r="AA43" i="23"/>
  <c r="AB37" i="23"/>
  <c r="AA37" i="23"/>
  <c r="D34" i="23"/>
  <c r="E32" i="23"/>
  <c r="AB29" i="23"/>
  <c r="AA29" i="23"/>
  <c r="AB26" i="23"/>
  <c r="AA26" i="23"/>
  <c r="E12" i="23"/>
  <c r="Z86" i="23" s="1"/>
  <c r="C12" i="23"/>
  <c r="AB5" i="23"/>
  <c r="AA5" i="23"/>
  <c r="V4" i="23"/>
  <c r="AA4" i="23" s="1"/>
  <c r="AB2" i="23"/>
  <c r="AA2" i="23"/>
  <c r="E37" i="21"/>
  <c r="E36" i="12"/>
  <c r="Y3" i="21"/>
  <c r="E31" i="21"/>
  <c r="S32" i="22"/>
  <c r="S28" i="22"/>
  <c r="C34" i="21"/>
  <c r="C33" i="21"/>
  <c r="G33" i="21" s="1"/>
  <c r="H35" i="21" s="1"/>
  <c r="C32" i="21"/>
  <c r="C31" i="21"/>
  <c r="E29" i="22"/>
  <c r="F29" i="22" s="1"/>
  <c r="H29" i="21"/>
  <c r="X3" i="21"/>
  <c r="E28" i="22"/>
  <c r="F28" i="22" s="1"/>
  <c r="T33" i="22" l="1"/>
  <c r="C36" i="23"/>
  <c r="S86" i="23"/>
  <c r="AB4" i="23"/>
  <c r="M31" i="22"/>
  <c r="M30" i="22"/>
  <c r="T26" i="22"/>
  <c r="M26" i="22"/>
  <c r="T27" i="22"/>
  <c r="T28" i="22"/>
  <c r="M29" i="22"/>
  <c r="M32" i="22"/>
  <c r="M27" i="22"/>
  <c r="T30" i="22"/>
  <c r="T32" i="22"/>
  <c r="M28" i="22"/>
  <c r="U89" i="23"/>
  <c r="Y111" i="23"/>
  <c r="Y110" i="23"/>
  <c r="H33" i="23"/>
  <c r="Y102" i="23"/>
  <c r="Y103" i="23"/>
  <c r="T89" i="23"/>
  <c r="AB48" i="23"/>
  <c r="AB87" i="23" s="1"/>
  <c r="AA62" i="23"/>
  <c r="AA77" i="23"/>
  <c r="U86" i="23"/>
  <c r="AF48" i="23"/>
  <c r="AA81" i="23"/>
  <c r="V86" i="23"/>
  <c r="V87" i="23" s="1"/>
  <c r="V88" i="23" s="1"/>
  <c r="O89" i="23"/>
  <c r="W86" i="23"/>
  <c r="P89" i="23"/>
  <c r="P86" i="23"/>
  <c r="X86" i="23"/>
  <c r="Q89" i="23"/>
  <c r="AA49" i="23"/>
  <c r="Q86" i="23"/>
  <c r="Y86" i="23"/>
  <c r="R89" i="23"/>
  <c r="T86" i="23"/>
  <c r="E33" i="23"/>
  <c r="E36" i="23" s="1"/>
  <c r="E37" i="23" s="1"/>
  <c r="AA67" i="23"/>
  <c r="R86" i="23"/>
  <c r="S89" i="23"/>
  <c r="T31" i="22"/>
  <c r="E32" i="21"/>
  <c r="E27" i="22"/>
  <c r="F27" i="22" s="1"/>
  <c r="B4" i="20"/>
  <c r="V87" i="21"/>
  <c r="U77" i="21"/>
  <c r="AA77" i="21" s="1"/>
  <c r="U47" i="21"/>
  <c r="U81" i="21"/>
  <c r="Z81" i="21" s="1"/>
  <c r="U48" i="21"/>
  <c r="U62" i="21"/>
  <c r="Z62" i="21" s="1"/>
  <c r="U49" i="21"/>
  <c r="AA49" i="21" s="1"/>
  <c r="U4" i="21"/>
  <c r="AA4" i="21" s="1"/>
  <c r="U67" i="21"/>
  <c r="AA67" i="21" s="1"/>
  <c r="Q88" i="21"/>
  <c r="P88" i="21"/>
  <c r="E61" i="14"/>
  <c r="E59" i="14"/>
  <c r="C7" i="14"/>
  <c r="D34" i="21"/>
  <c r="K111" i="21"/>
  <c r="L111" i="21" s="1"/>
  <c r="M111" i="21" s="1"/>
  <c r="N111" i="21" s="1"/>
  <c r="O111" i="21" s="1"/>
  <c r="P111" i="21" s="1"/>
  <c r="Q111" i="21" s="1"/>
  <c r="R111" i="21" s="1"/>
  <c r="S111" i="21" s="1"/>
  <c r="T111" i="21" s="1"/>
  <c r="U111" i="21" s="1"/>
  <c r="V111" i="21" s="1"/>
  <c r="F46" i="21"/>
  <c r="N81" i="20"/>
  <c r="E12" i="21"/>
  <c r="C12" i="21"/>
  <c r="Z84" i="21"/>
  <c r="AA84" i="21"/>
  <c r="Z82" i="21"/>
  <c r="AA82" i="21"/>
  <c r="AA81" i="21"/>
  <c r="Z80" i="21"/>
  <c r="AA80" i="21"/>
  <c r="Z78" i="21"/>
  <c r="AA78" i="21"/>
  <c r="Z72" i="21"/>
  <c r="AA72" i="21"/>
  <c r="Z71" i="21"/>
  <c r="AA71" i="21"/>
  <c r="Z69" i="21"/>
  <c r="AA69" i="21"/>
  <c r="Z68" i="21"/>
  <c r="AA68" i="21"/>
  <c r="Z66" i="21"/>
  <c r="AA66" i="21"/>
  <c r="Z65" i="21"/>
  <c r="AA65" i="21"/>
  <c r="Z64" i="21"/>
  <c r="AA64" i="21"/>
  <c r="Z61" i="21"/>
  <c r="AA61" i="21"/>
  <c r="Z60" i="21"/>
  <c r="AA60" i="21"/>
  <c r="N88" i="21"/>
  <c r="O88" i="21"/>
  <c r="R88" i="21"/>
  <c r="N87" i="21"/>
  <c r="K103" i="21"/>
  <c r="L103" i="21" s="1"/>
  <c r="M103" i="21" s="1"/>
  <c r="N103" i="21" s="1"/>
  <c r="O103" i="21" s="1"/>
  <c r="P103" i="21" s="1"/>
  <c r="Q103" i="21" s="1"/>
  <c r="R103" i="21" s="1"/>
  <c r="S103" i="21" s="1"/>
  <c r="T103" i="21" s="1"/>
  <c r="U103" i="21" s="1"/>
  <c r="V103" i="21" s="1"/>
  <c r="Y88" i="21"/>
  <c r="X88" i="21"/>
  <c r="W88" i="21"/>
  <c r="V88" i="21"/>
  <c r="T88" i="21"/>
  <c r="S88" i="21"/>
  <c r="Y87" i="21"/>
  <c r="X87" i="21"/>
  <c r="W87" i="21"/>
  <c r="T87" i="21"/>
  <c r="S87" i="21"/>
  <c r="R87" i="21"/>
  <c r="Q87" i="21"/>
  <c r="AA85" i="21"/>
  <c r="Z85" i="21"/>
  <c r="AA83" i="21"/>
  <c r="AA79" i="21"/>
  <c r="Z79" i="21"/>
  <c r="AA70" i="21"/>
  <c r="Z70" i="21"/>
  <c r="AA63" i="21"/>
  <c r="Z63" i="21"/>
  <c r="C51" i="21"/>
  <c r="AA59" i="21"/>
  <c r="Z59" i="21"/>
  <c r="C49" i="21"/>
  <c r="C17" i="21" s="1"/>
  <c r="U86" i="21" s="1"/>
  <c r="AA58" i="21"/>
  <c r="Z58" i="21"/>
  <c r="D48" i="21"/>
  <c r="C48" i="21"/>
  <c r="AA57" i="21"/>
  <c r="Z57" i="21"/>
  <c r="AA56" i="21"/>
  <c r="Z56" i="21"/>
  <c r="AA55" i="21"/>
  <c r="Z55" i="21"/>
  <c r="AA54" i="21"/>
  <c r="Z54" i="21"/>
  <c r="AA53" i="21"/>
  <c r="Z53" i="21"/>
  <c r="AA52" i="21"/>
  <c r="Z52" i="21"/>
  <c r="AA51" i="21"/>
  <c r="AA50" i="21"/>
  <c r="Z50" i="21"/>
  <c r="P87" i="21"/>
  <c r="E34" i="21"/>
  <c r="AA43" i="21"/>
  <c r="Z43" i="21"/>
  <c r="AA37" i="21"/>
  <c r="Z37" i="21"/>
  <c r="AA29" i="21"/>
  <c r="Z29" i="21"/>
  <c r="AA26" i="21"/>
  <c r="Z26" i="21"/>
  <c r="B5" i="21"/>
  <c r="AA5" i="21"/>
  <c r="Z5" i="21"/>
  <c r="AA2" i="21"/>
  <c r="Z2" i="21"/>
  <c r="B5" i="20"/>
  <c r="AA67" i="20"/>
  <c r="O64" i="20"/>
  <c r="O46" i="20"/>
  <c r="O70" i="20"/>
  <c r="O20" i="20"/>
  <c r="O73" i="20"/>
  <c r="O48" i="20"/>
  <c r="N44" i="20"/>
  <c r="N70" i="20"/>
  <c r="P46" i="20"/>
  <c r="O63" i="20"/>
  <c r="O25" i="20"/>
  <c r="AA87" i="23" l="1"/>
  <c r="Z89" i="23"/>
  <c r="X89" i="23"/>
  <c r="W89" i="23"/>
  <c r="Y89" i="23"/>
  <c r="V89" i="23"/>
  <c r="C37" i="23"/>
  <c r="P87" i="23"/>
  <c r="AB86" i="23"/>
  <c r="AA62" i="21"/>
  <c r="Z67" i="21"/>
  <c r="T86" i="21"/>
  <c r="AE48" i="21"/>
  <c r="E33" i="21"/>
  <c r="Z48" i="21"/>
  <c r="AA48" i="21"/>
  <c r="U87" i="21"/>
  <c r="U88" i="21" s="1"/>
  <c r="U89" i="21" s="1"/>
  <c r="Y86" i="21"/>
  <c r="Z77" i="21"/>
  <c r="Z4" i="21"/>
  <c r="Z49" i="21"/>
  <c r="G2" i="21"/>
  <c r="X111" i="21"/>
  <c r="X110" i="21"/>
  <c r="X102" i="21"/>
  <c r="X103" i="21"/>
  <c r="P86" i="21"/>
  <c r="S86" i="21"/>
  <c r="W86" i="21"/>
  <c r="O86" i="21"/>
  <c r="V86" i="21"/>
  <c r="Q86" i="21"/>
  <c r="X86" i="21"/>
  <c r="R86" i="21"/>
  <c r="Z83" i="21"/>
  <c r="Z51" i="21"/>
  <c r="E38" i="20"/>
  <c r="E41" i="20"/>
  <c r="E37" i="20"/>
  <c r="AA87" i="21" l="1"/>
  <c r="O87" i="21"/>
  <c r="AA86" i="21"/>
  <c r="Z87" i="21"/>
  <c r="E36" i="21"/>
  <c r="O89" i="21"/>
  <c r="N89" i="21"/>
  <c r="N2" i="20"/>
  <c r="O76" i="20"/>
  <c r="N46" i="20"/>
  <c r="N64" i="20"/>
  <c r="N76" i="20"/>
  <c r="N48" i="20"/>
  <c r="C36" i="21" l="1"/>
  <c r="F36" i="21" s="1"/>
  <c r="R89" i="21"/>
  <c r="Y89" i="21"/>
  <c r="S89" i="21"/>
  <c r="P89" i="21"/>
  <c r="W89" i="21"/>
  <c r="X89" i="21"/>
  <c r="V89" i="21"/>
  <c r="T89" i="21"/>
  <c r="Q89" i="21"/>
  <c r="D55" i="20"/>
  <c r="D54" i="20"/>
  <c r="C37" i="21" l="1"/>
  <c r="E11" i="20"/>
  <c r="F49" i="13" l="1"/>
  <c r="E4" i="20" l="1"/>
  <c r="C58" i="20" l="1"/>
  <c r="O3" i="15" l="1"/>
  <c r="C55" i="20" l="1"/>
  <c r="E13" i="20" s="1"/>
  <c r="C39" i="20" l="1"/>
  <c r="E21" i="20"/>
  <c r="E39" i="20" s="1"/>
  <c r="C37" i="20"/>
  <c r="C38" i="20"/>
  <c r="N5" i="20" l="1"/>
  <c r="C4" i="20" l="1"/>
  <c r="C3" i="20"/>
  <c r="X102" i="20"/>
  <c r="K102" i="20"/>
  <c r="L102" i="20" s="1"/>
  <c r="M102" i="20" s="1"/>
  <c r="N102" i="20" s="1"/>
  <c r="O102" i="20" s="1"/>
  <c r="P102" i="20" s="1"/>
  <c r="Q102" i="20" s="1"/>
  <c r="X101" i="20"/>
  <c r="K96" i="20"/>
  <c r="L96" i="20" s="1"/>
  <c r="M96" i="20" s="1"/>
  <c r="N96" i="20" s="1"/>
  <c r="O96" i="20" s="1"/>
  <c r="P96" i="20" s="1"/>
  <c r="Q96" i="20" s="1"/>
  <c r="R96" i="20" s="1"/>
  <c r="S96" i="20" s="1"/>
  <c r="T96" i="20" s="1"/>
  <c r="U96" i="20" s="1"/>
  <c r="V96" i="20" s="1"/>
  <c r="X81" i="20"/>
  <c r="W81" i="20"/>
  <c r="T81" i="20"/>
  <c r="S81" i="20"/>
  <c r="R81" i="20"/>
  <c r="Q81" i="20"/>
  <c r="X80" i="20"/>
  <c r="W80" i="20"/>
  <c r="U80" i="20"/>
  <c r="T80" i="20"/>
  <c r="S80" i="20"/>
  <c r="R80" i="20"/>
  <c r="Q80" i="20"/>
  <c r="P80" i="20"/>
  <c r="AA78" i="20"/>
  <c r="Z78" i="20"/>
  <c r="AA76" i="20"/>
  <c r="Z76" i="20"/>
  <c r="AA72" i="20"/>
  <c r="Z72" i="20"/>
  <c r="AA70" i="20"/>
  <c r="Z70" i="20"/>
  <c r="Z67" i="20"/>
  <c r="AA64" i="20"/>
  <c r="Z64" i="20"/>
  <c r="N80" i="20"/>
  <c r="AA60" i="20"/>
  <c r="Z60" i="20"/>
  <c r="C56" i="20"/>
  <c r="AA59" i="20"/>
  <c r="Z59" i="20"/>
  <c r="C54" i="20"/>
  <c r="F53" i="20" s="1"/>
  <c r="AA56" i="20"/>
  <c r="Z56" i="20"/>
  <c r="AA55" i="20"/>
  <c r="Z55" i="20"/>
  <c r="AA54" i="20"/>
  <c r="Z54" i="20"/>
  <c r="AA53" i="20"/>
  <c r="Z53" i="20"/>
  <c r="AA52" i="20"/>
  <c r="Z52" i="20"/>
  <c r="AA51" i="20"/>
  <c r="Z51" i="20"/>
  <c r="AA50" i="20"/>
  <c r="Z50" i="20"/>
  <c r="AA49" i="20"/>
  <c r="Z49" i="20"/>
  <c r="Z48" i="20"/>
  <c r="Z47" i="20"/>
  <c r="AA46" i="20"/>
  <c r="Z46" i="20"/>
  <c r="C41" i="20"/>
  <c r="AA45" i="20"/>
  <c r="Z45" i="20"/>
  <c r="AA40" i="20"/>
  <c r="Z40" i="20"/>
  <c r="AA34" i="20"/>
  <c r="Z34" i="20"/>
  <c r="AA26" i="20"/>
  <c r="Z26" i="20"/>
  <c r="AA23" i="20"/>
  <c r="Z23" i="20"/>
  <c r="V80" i="20"/>
  <c r="U81" i="20"/>
  <c r="Y80" i="20"/>
  <c r="AA4" i="20"/>
  <c r="Z4" i="20"/>
  <c r="AA3" i="20"/>
  <c r="Z3" i="20"/>
  <c r="E3" i="20"/>
  <c r="B3" i="20"/>
  <c r="AA2" i="20"/>
  <c r="Z2" i="20"/>
  <c r="Y59" i="18"/>
  <c r="Y15" i="18"/>
  <c r="Y55" i="18"/>
  <c r="Y39" i="18"/>
  <c r="Y47" i="18"/>
  <c r="Y24" i="18"/>
  <c r="Y44" i="18"/>
  <c r="Y5" i="18"/>
  <c r="Y20" i="18"/>
  <c r="Y63" i="18"/>
  <c r="Y62" i="18"/>
  <c r="Y60" i="18"/>
  <c r="E40" i="20" l="1"/>
  <c r="P79" i="20"/>
  <c r="P81" i="20" s="1"/>
  <c r="X79" i="20"/>
  <c r="O79" i="20"/>
  <c r="Q79" i="20"/>
  <c r="W79" i="20"/>
  <c r="N79" i="20"/>
  <c r="N82" i="20" s="1"/>
  <c r="V79" i="20"/>
  <c r="U79" i="20"/>
  <c r="R79" i="20"/>
  <c r="Y79" i="20"/>
  <c r="T79" i="20"/>
  <c r="S79" i="20"/>
  <c r="E14" i="20"/>
  <c r="C13" i="20"/>
  <c r="C40" i="20" s="1"/>
  <c r="C43" i="20" s="1"/>
  <c r="C44" i="20" s="1"/>
  <c r="C46" i="20" s="1"/>
  <c r="X96" i="20"/>
  <c r="X95" i="20"/>
  <c r="Z80" i="20"/>
  <c r="V81" i="20"/>
  <c r="AA47" i="20"/>
  <c r="AA80" i="20" s="1"/>
  <c r="AA48" i="20"/>
  <c r="Y81" i="20"/>
  <c r="K96" i="18"/>
  <c r="E36" i="20" l="1"/>
  <c r="E43" i="20" s="1"/>
  <c r="E44" i="20" s="1"/>
  <c r="O80" i="20"/>
  <c r="O81" i="20"/>
  <c r="O82" i="20" s="1"/>
  <c r="S82" i="20" l="1"/>
  <c r="T82" i="20"/>
  <c r="R82" i="20"/>
  <c r="V82" i="20"/>
  <c r="U82" i="20"/>
  <c r="Y82" i="20"/>
  <c r="X82" i="20"/>
  <c r="Q82" i="20"/>
  <c r="W82" i="20"/>
  <c r="P82" i="20"/>
  <c r="E35" i="18"/>
  <c r="B4" i="18" l="1"/>
  <c r="E34" i="18"/>
  <c r="E37" i="18" l="1"/>
  <c r="E4" i="18"/>
  <c r="E3" i="18"/>
  <c r="E36" i="18" l="1"/>
  <c r="E39" i="18" s="1"/>
  <c r="E40" i="18" s="1"/>
  <c r="D33" i="18"/>
  <c r="V39" i="18" l="1"/>
  <c r="V55" i="18"/>
  <c r="V63" i="18"/>
  <c r="V16" i="18"/>
  <c r="V20" i="18"/>
  <c r="V37" i="18"/>
  <c r="U24" i="18"/>
  <c r="U59" i="18"/>
  <c r="U35" i="18"/>
  <c r="U36" i="18"/>
  <c r="U16" i="18"/>
  <c r="U20" i="18"/>
  <c r="V24" i="18"/>
  <c r="V38" i="18"/>
  <c r="D4" i="18" l="1"/>
  <c r="D3" i="18"/>
  <c r="D35" i="18" l="1"/>
  <c r="D37" i="18" l="1"/>
  <c r="D36" i="18" l="1"/>
  <c r="D34" i="18"/>
  <c r="D39" i="18" l="1"/>
  <c r="C53" i="18"/>
  <c r="E69" i="14" l="1"/>
  <c r="E66" i="14"/>
  <c r="E2" i="17"/>
  <c r="C50" i="18" l="1"/>
  <c r="F49" i="18" s="1"/>
  <c r="C51" i="18"/>
  <c r="N59" i="18" l="1"/>
  <c r="C3" i="14" l="1"/>
  <c r="C6" i="14" s="1"/>
  <c r="K102" i="18" l="1"/>
  <c r="L102" i="18" s="1"/>
  <c r="M102" i="18" s="1"/>
  <c r="N102" i="18" s="1"/>
  <c r="O102" i="18" s="1"/>
  <c r="P102" i="18" s="1"/>
  <c r="Q102" i="18" s="1"/>
  <c r="L96" i="18"/>
  <c r="M96" i="18" s="1"/>
  <c r="N96" i="18" s="1"/>
  <c r="O96" i="18" s="1"/>
  <c r="P96" i="18" s="1"/>
  <c r="Q96" i="18" s="1"/>
  <c r="R96" i="18" s="1"/>
  <c r="S96" i="18" s="1"/>
  <c r="T96" i="18" s="1"/>
  <c r="U96" i="18" s="1"/>
  <c r="V96" i="18" s="1"/>
  <c r="X102" i="18" l="1"/>
  <c r="X101" i="18"/>
  <c r="X96" i="18"/>
  <c r="X95" i="18"/>
  <c r="N52" i="18"/>
  <c r="N20" i="18"/>
  <c r="B3" i="18"/>
  <c r="B12" i="18"/>
  <c r="C33" i="18" s="1"/>
  <c r="D40" i="18" l="1"/>
  <c r="C30" i="18"/>
  <c r="Z47" i="18"/>
  <c r="AA47" i="18"/>
  <c r="AA19" i="18"/>
  <c r="N58" i="18"/>
  <c r="N39" i="18"/>
  <c r="N25" i="18"/>
  <c r="Z40" i="18"/>
  <c r="AA40" i="18"/>
  <c r="N55" i="18"/>
  <c r="Z42" i="18"/>
  <c r="AA42" i="18"/>
  <c r="Z43" i="18"/>
  <c r="AA43" i="18"/>
  <c r="Z41" i="18"/>
  <c r="AA41" i="18"/>
  <c r="Z38" i="18"/>
  <c r="AA38" i="18"/>
  <c r="AA36" i="18"/>
  <c r="Z36" i="18"/>
  <c r="N67" i="18" l="1"/>
  <c r="N68" i="18"/>
  <c r="B3" i="12" l="1"/>
  <c r="W8" i="12" l="1"/>
  <c r="W19" i="12"/>
  <c r="W18" i="12"/>
  <c r="W6" i="12"/>
  <c r="W16" i="12"/>
  <c r="W11" i="12"/>
  <c r="X8" i="12"/>
  <c r="X18" i="12"/>
  <c r="X19" i="12"/>
  <c r="X17" i="12"/>
  <c r="X5" i="12"/>
  <c r="Y32" i="12"/>
  <c r="Z32" i="12" s="1"/>
  <c r="X11" i="12"/>
  <c r="C14" i="18"/>
  <c r="C3" i="18"/>
  <c r="W17" i="12"/>
  <c r="W5" i="12"/>
  <c r="D12" i="12"/>
  <c r="C35" i="18" l="1"/>
  <c r="C21" i="18" l="1"/>
  <c r="C34" i="18" s="1"/>
  <c r="C12" i="18"/>
  <c r="C37" i="18" l="1"/>
  <c r="J46" i="12"/>
  <c r="K90" i="18"/>
  <c r="L90" i="18" s="1"/>
  <c r="M90" i="18" s="1"/>
  <c r="N90" i="18" s="1"/>
  <c r="O90" i="18" s="1"/>
  <c r="P90" i="18" s="1"/>
  <c r="Q90" i="18" s="1"/>
  <c r="R90" i="18" s="1"/>
  <c r="S90" i="18" s="1"/>
  <c r="T90" i="18" s="1"/>
  <c r="U90" i="18" s="1"/>
  <c r="V90" i="18" s="1"/>
  <c r="L83" i="18"/>
  <c r="M83" i="18" s="1"/>
  <c r="N83" i="18" s="1"/>
  <c r="O83" i="18" s="1"/>
  <c r="P83" i="18" s="1"/>
  <c r="Q83" i="18" s="1"/>
  <c r="R83" i="18" s="1"/>
  <c r="S83" i="18" s="1"/>
  <c r="T83" i="18" s="1"/>
  <c r="U83" i="18" s="1"/>
  <c r="V83" i="18" s="1"/>
  <c r="AA66" i="18"/>
  <c r="Z66" i="18"/>
  <c r="Z64" i="18"/>
  <c r="AA64" i="18"/>
  <c r="AA60" i="18"/>
  <c r="Z60" i="18"/>
  <c r="Z59" i="18"/>
  <c r="AA58" i="18"/>
  <c r="AA55" i="18"/>
  <c r="Z55" i="18"/>
  <c r="AA51" i="18"/>
  <c r="AA50" i="18"/>
  <c r="Z50" i="18"/>
  <c r="AA46" i="18"/>
  <c r="AA45" i="18"/>
  <c r="AA44" i="18"/>
  <c r="Z44" i="18"/>
  <c r="B9" i="18"/>
  <c r="C36" i="18" s="1"/>
  <c r="Z39" i="18"/>
  <c r="AA39" i="18"/>
  <c r="AA31" i="18"/>
  <c r="Z31" i="18"/>
  <c r="AA25" i="18"/>
  <c r="AA21" i="18"/>
  <c r="Z21" i="18"/>
  <c r="Y67" i="18"/>
  <c r="X67" i="18"/>
  <c r="W67" i="18"/>
  <c r="V67" i="18"/>
  <c r="U67" i="18"/>
  <c r="T67" i="18"/>
  <c r="S67" i="18"/>
  <c r="R67" i="18"/>
  <c r="Q67" i="18"/>
  <c r="P67" i="18"/>
  <c r="O67" i="18"/>
  <c r="Z4" i="18"/>
  <c r="AA3" i="18"/>
  <c r="Z3" i="18"/>
  <c r="B5" i="18"/>
  <c r="AA2" i="18"/>
  <c r="Z2" i="18"/>
  <c r="C39" i="18" l="1"/>
  <c r="C40" i="18" s="1"/>
  <c r="C42" i="18" s="1"/>
  <c r="X90" i="18"/>
  <c r="X89" i="18"/>
  <c r="Q68" i="18"/>
  <c r="Z19" i="18"/>
  <c r="AA4" i="18"/>
  <c r="Z45" i="18"/>
  <c r="AA59" i="18"/>
  <c r="Z46" i="18"/>
  <c r="Z58" i="18"/>
  <c r="O68" i="18"/>
  <c r="Z25" i="18"/>
  <c r="Z37" i="18"/>
  <c r="Z51" i="18"/>
  <c r="AA37" i="18"/>
  <c r="O69" i="18" l="1"/>
  <c r="N69" i="18"/>
  <c r="X68" i="18"/>
  <c r="W68" i="18"/>
  <c r="S68" i="18"/>
  <c r="R68" i="18"/>
  <c r="Y68" i="18"/>
  <c r="V68" i="18"/>
  <c r="U68" i="18"/>
  <c r="T68" i="18"/>
  <c r="P68" i="18"/>
  <c r="P69" i="18" s="1"/>
  <c r="D22" i="12"/>
  <c r="X69" i="18" l="1"/>
  <c r="R69" i="18"/>
  <c r="S69" i="18"/>
  <c r="U69" i="18"/>
  <c r="AA67" i="18"/>
  <c r="V69" i="18"/>
  <c r="Z67" i="18"/>
  <c r="Q69" i="18"/>
  <c r="Y69" i="18"/>
  <c r="W69" i="18"/>
  <c r="T69" i="18"/>
  <c r="D15" i="12"/>
  <c r="V19" i="12" l="1"/>
  <c r="V10" i="12"/>
  <c r="V18" i="12"/>
  <c r="V17" i="12"/>
  <c r="V15" i="12"/>
  <c r="V8" i="12"/>
  <c r="S38" i="12"/>
  <c r="R38" i="12"/>
  <c r="V22" i="12"/>
  <c r="V13" i="12"/>
  <c r="V21" i="12"/>
  <c r="D19" i="12" l="1"/>
  <c r="U8" i="12" l="1"/>
  <c r="U18" i="12"/>
  <c r="U13" i="12"/>
  <c r="U21" i="12"/>
  <c r="U10" i="12"/>
  <c r="U17" i="12"/>
  <c r="R5" i="12"/>
  <c r="V5" i="12"/>
  <c r="M49" i="14" l="1"/>
  <c r="M48" i="14" s="1"/>
  <c r="L49" i="14"/>
  <c r="L48" i="14" s="1"/>
  <c r="K49" i="14"/>
  <c r="K48" i="14" s="1"/>
  <c r="J49" i="14"/>
  <c r="J48" i="14" s="1"/>
  <c r="I49" i="14"/>
  <c r="M53" i="14"/>
  <c r="L53" i="14"/>
  <c r="K53" i="14"/>
  <c r="J53" i="14"/>
  <c r="I53" i="14"/>
  <c r="E36" i="14"/>
  <c r="D30" i="14"/>
  <c r="D31" i="14"/>
  <c r="D26" i="14"/>
  <c r="D25" i="14"/>
  <c r="D24" i="14"/>
  <c r="D23" i="14"/>
  <c r="D19" i="14"/>
  <c r="D18" i="14"/>
  <c r="D37" i="14" s="1"/>
  <c r="D35" i="14"/>
  <c r="D34" i="14"/>
  <c r="D32" i="14"/>
  <c r="D29" i="14"/>
  <c r="E27" i="14" l="1"/>
  <c r="I4" i="12"/>
  <c r="D32" i="12" l="1"/>
  <c r="D31" i="12"/>
  <c r="F41" i="14" l="1"/>
  <c r="D33" i="12" l="1"/>
  <c r="U5" i="12"/>
  <c r="I26" i="14" l="1"/>
  <c r="I8" i="14" l="1"/>
  <c r="K17" i="14"/>
  <c r="K14" i="14" l="1"/>
  <c r="I14" i="14"/>
  <c r="I25" i="14" l="1"/>
  <c r="G29" i="14"/>
  <c r="C12" i="14" l="1"/>
  <c r="E31" i="12" l="1"/>
  <c r="T6" i="12" l="1"/>
  <c r="T8" i="12"/>
  <c r="T19" i="12"/>
  <c r="T7" i="12"/>
  <c r="T17" i="12"/>
  <c r="T18" i="12"/>
  <c r="T10" i="12"/>
  <c r="T14" i="12"/>
  <c r="D6" i="15" l="1"/>
  <c r="K23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4" i="15"/>
  <c r="K3" i="15"/>
  <c r="D13" i="15"/>
  <c r="D44" i="15"/>
  <c r="D42" i="15"/>
  <c r="D11" i="15"/>
  <c r="D19" i="15"/>
  <c r="D18" i="15"/>
  <c r="D14" i="15"/>
  <c r="D32" i="15"/>
  <c r="D30" i="15"/>
  <c r="D16" i="15"/>
  <c r="D15" i="15"/>
  <c r="D37" i="15"/>
  <c r="D35" i="15"/>
  <c r="D34" i="15"/>
  <c r="D33" i="15"/>
  <c r="D22" i="15"/>
  <c r="D7" i="15"/>
  <c r="D26" i="15"/>
  <c r="D9" i="15"/>
  <c r="D29" i="15"/>
  <c r="D28" i="15"/>
  <c r="D39" i="15"/>
  <c r="D25" i="15"/>
  <c r="D24" i="15"/>
  <c r="D23" i="15"/>
  <c r="D40" i="15"/>
  <c r="D21" i="15"/>
  <c r="D38" i="15"/>
  <c r="D12" i="15"/>
  <c r="D41" i="15"/>
  <c r="D17" i="15"/>
  <c r="D5" i="15"/>
  <c r="D4" i="15"/>
  <c r="D3" i="15"/>
  <c r="M3" i="15" l="1"/>
  <c r="E4" i="14"/>
  <c r="F3" i="15"/>
  <c r="S8" i="12"/>
  <c r="S11" i="12"/>
  <c r="S6" i="12"/>
  <c r="S31" i="12" s="1"/>
  <c r="S17" i="12"/>
  <c r="S18" i="12"/>
  <c r="S19" i="12"/>
  <c r="S10" i="12"/>
  <c r="S15" i="12"/>
  <c r="S14" i="12"/>
  <c r="S22" i="12"/>
  <c r="D38" i="13" l="1"/>
  <c r="E38" i="13" s="1"/>
  <c r="F38" i="13" s="1"/>
  <c r="G38" i="13" s="1"/>
  <c r="H38" i="13" s="1"/>
  <c r="I38" i="13" s="1"/>
  <c r="J38" i="13" s="1"/>
  <c r="K38" i="13" s="1"/>
  <c r="D15" i="13"/>
  <c r="D14" i="13"/>
  <c r="D13" i="13"/>
  <c r="D12" i="13"/>
  <c r="X21" i="13"/>
  <c r="X16" i="13"/>
  <c r="Y12" i="13"/>
  <c r="Y7" i="13"/>
  <c r="X7" i="13"/>
  <c r="W23" i="13"/>
  <c r="V23" i="13"/>
  <c r="U23" i="13"/>
  <c r="T23" i="13"/>
  <c r="S23" i="13"/>
  <c r="R23" i="13"/>
  <c r="Y3" i="13"/>
  <c r="X3" i="13"/>
  <c r="D16" i="13" l="1"/>
  <c r="D17" i="13" s="1"/>
  <c r="X22" i="13"/>
  <c r="L38" i="13"/>
  <c r="M38" i="13" s="1"/>
  <c r="N38" i="13" s="1"/>
  <c r="O38" i="13" s="1"/>
  <c r="Y22" i="13"/>
  <c r="Y8" i="13"/>
  <c r="X18" i="13"/>
  <c r="Y5" i="13"/>
  <c r="X5" i="13"/>
  <c r="Y19" i="13"/>
  <c r="Y15" i="13"/>
  <c r="Y14" i="13"/>
  <c r="P23" i="13"/>
  <c r="Y6" i="13"/>
  <c r="X20" i="13"/>
  <c r="X17" i="13"/>
  <c r="X11" i="13"/>
  <c r="Y20" i="13"/>
  <c r="L23" i="13"/>
  <c r="Q23" i="13"/>
  <c r="N23" i="13"/>
  <c r="X14" i="13"/>
  <c r="Y17" i="13"/>
  <c r="X19" i="13"/>
  <c r="Y9" i="13"/>
  <c r="X13" i="13"/>
  <c r="X15" i="13"/>
  <c r="Y10" i="13"/>
  <c r="Y18" i="13"/>
  <c r="X9" i="13"/>
  <c r="X10" i="13"/>
  <c r="Y16" i="13"/>
  <c r="Y21" i="13"/>
  <c r="O23" i="13"/>
  <c r="Y11" i="13"/>
  <c r="X12" i="13"/>
  <c r="M23" i="13"/>
  <c r="X6" i="13"/>
  <c r="X8" i="13"/>
  <c r="Y13" i="13"/>
  <c r="R9" i="12"/>
  <c r="R10" i="12"/>
  <c r="R8" i="12"/>
  <c r="R17" i="12"/>
  <c r="R14" i="12"/>
  <c r="R6" i="12"/>
  <c r="R18" i="12"/>
  <c r="R31" i="12" l="1"/>
  <c r="W4" i="13"/>
  <c r="W24" i="13" s="1"/>
  <c r="N24" i="13"/>
  <c r="U4" i="13"/>
  <c r="U24" i="13" s="1"/>
  <c r="M24" i="13"/>
  <c r="T4" i="13"/>
  <c r="T24" i="13" s="1"/>
  <c r="L24" i="13"/>
  <c r="L25" i="13" s="1"/>
  <c r="S4" i="13"/>
  <c r="S24" i="13" s="1"/>
  <c r="R4" i="13"/>
  <c r="R24" i="13" s="1"/>
  <c r="V4" i="13"/>
  <c r="V24" i="13" s="1"/>
  <c r="Q24" i="13"/>
  <c r="P24" i="13"/>
  <c r="O24" i="13"/>
  <c r="E30" i="12"/>
  <c r="E32" i="12"/>
  <c r="M25" i="13" l="1"/>
  <c r="X4" i="13"/>
  <c r="X23" i="13" s="1"/>
  <c r="Y4" i="13"/>
  <c r="Y23" i="13" s="1"/>
  <c r="P25" i="13"/>
  <c r="W25" i="13"/>
  <c r="O25" i="13"/>
  <c r="V25" i="13"/>
  <c r="Q25" i="13"/>
  <c r="N25" i="13"/>
  <c r="T25" i="13"/>
  <c r="R25" i="13"/>
  <c r="S25" i="13"/>
  <c r="U25" i="13"/>
  <c r="Z3" i="12"/>
  <c r="Z7" i="12"/>
  <c r="Z2" i="12"/>
  <c r="Y2" i="12"/>
  <c r="Y3" i="12"/>
  <c r="Y7" i="12"/>
  <c r="Q19" i="12" l="1"/>
  <c r="Q18" i="12"/>
  <c r="W33" i="12" s="1"/>
  <c r="P34" i="12" l="1"/>
  <c r="Y18" i="12"/>
  <c r="Z18" i="12"/>
  <c r="S5" i="12"/>
  <c r="R24" i="12"/>
  <c r="U24" i="12" l="1"/>
  <c r="T5" i="12"/>
  <c r="Q5" i="12"/>
  <c r="P5" i="12"/>
  <c r="O5" i="12"/>
  <c r="M5" i="12"/>
  <c r="N5" i="12"/>
  <c r="Q17" i="12"/>
  <c r="Y5" i="12" l="1"/>
  <c r="Z5" i="12"/>
  <c r="S24" i="12"/>
  <c r="T24" i="12"/>
  <c r="V24" i="12"/>
  <c r="W24" i="12"/>
  <c r="X24" i="12"/>
  <c r="P10" i="12"/>
  <c r="P13" i="12"/>
  <c r="P11" i="12"/>
  <c r="P8" i="12"/>
  <c r="P15" i="12"/>
  <c r="P14" i="12"/>
  <c r="P17" i="12"/>
  <c r="O8" i="12"/>
  <c r="O11" i="12"/>
  <c r="P6" i="12"/>
  <c r="Q22" i="12"/>
  <c r="Q23" i="12"/>
  <c r="Q15" i="12"/>
  <c r="Q10" i="12"/>
  <c r="Q31" i="12" s="1"/>
  <c r="Q14" i="12"/>
  <c r="P23" i="12"/>
  <c r="P20" i="12"/>
  <c r="P31" i="12" l="1"/>
  <c r="Q24" i="12"/>
  <c r="Z23" i="12"/>
  <c r="Y23" i="12"/>
  <c r="Z22" i="12"/>
  <c r="Y22" i="12"/>
  <c r="O17" i="12"/>
  <c r="O10" i="12"/>
  <c r="O19" i="12"/>
  <c r="O14" i="12"/>
  <c r="O20" i="12"/>
  <c r="O12" i="12"/>
  <c r="O15" i="12"/>
  <c r="O6" i="12"/>
  <c r="O13" i="12"/>
  <c r="O9" i="12"/>
  <c r="P19" i="12"/>
  <c r="P9" i="12"/>
  <c r="O31" i="12" l="1"/>
  <c r="P24" i="12"/>
  <c r="Z12" i="12"/>
  <c r="Y12" i="12"/>
  <c r="Y9" i="12"/>
  <c r="Z9" i="12"/>
  <c r="Z20" i="12"/>
  <c r="Y20" i="12"/>
  <c r="O24" i="12"/>
  <c r="E22" i="12" l="1"/>
  <c r="E19" i="12"/>
  <c r="E33" i="12" l="1"/>
  <c r="E35" i="12" l="1"/>
  <c r="N16" i="12"/>
  <c r="N10" i="12"/>
  <c r="N11" i="12"/>
  <c r="N19" i="12"/>
  <c r="N17" i="12"/>
  <c r="N8" i="12"/>
  <c r="N13" i="12"/>
  <c r="N6" i="12"/>
  <c r="N15" i="12"/>
  <c r="M8" i="12"/>
  <c r="M10" i="12"/>
  <c r="M19" i="12"/>
  <c r="M17" i="12"/>
  <c r="M14" i="12"/>
  <c r="M11" i="12"/>
  <c r="M15" i="12"/>
  <c r="U4" i="12" l="1"/>
  <c r="U25" i="12" s="1"/>
  <c r="T4" i="12"/>
  <c r="T25" i="12" s="1"/>
  <c r="W4" i="12"/>
  <c r="W25" i="12" s="1"/>
  <c r="S4" i="12"/>
  <c r="S25" i="12" s="1"/>
  <c r="R4" i="12"/>
  <c r="R25" i="12" s="1"/>
  <c r="Q4" i="12"/>
  <c r="X4" i="12"/>
  <c r="X25" i="12" s="1"/>
  <c r="V4" i="12"/>
  <c r="V25" i="12" s="1"/>
  <c r="N31" i="12"/>
  <c r="L31" i="12" s="1"/>
  <c r="M31" i="12"/>
  <c r="Z15" i="12"/>
  <c r="Y15" i="12"/>
  <c r="Z14" i="12"/>
  <c r="Y14" i="12"/>
  <c r="Z6" i="12"/>
  <c r="Y6" i="12"/>
  <c r="Z11" i="12"/>
  <c r="Y11" i="12"/>
  <c r="Z13" i="12"/>
  <c r="Y13" i="12"/>
  <c r="Y17" i="12"/>
  <c r="Z17" i="12"/>
  <c r="Y19" i="12"/>
  <c r="Z19" i="12"/>
  <c r="Y10" i="12"/>
  <c r="Z10" i="12"/>
  <c r="Z8" i="12"/>
  <c r="Y8" i="12"/>
  <c r="Y16" i="12"/>
  <c r="Z16" i="12"/>
  <c r="Q25" i="12"/>
  <c r="M24" i="12"/>
  <c r="N24" i="12"/>
  <c r="M25" i="12"/>
  <c r="N25" i="12"/>
  <c r="N26" i="12" l="1"/>
  <c r="AB19" i="11"/>
  <c r="AB8" i="11"/>
  <c r="AB10" i="11"/>
  <c r="AB12" i="11"/>
  <c r="AB20" i="11"/>
  <c r="AB17" i="11"/>
  <c r="AB13" i="11"/>
  <c r="AB15" i="11"/>
  <c r="AB14" i="11"/>
  <c r="AB9" i="11"/>
  <c r="D30" i="12" l="1"/>
  <c r="D35" i="12" s="1"/>
  <c r="K46" i="12" l="1"/>
  <c r="L46" i="12" s="1"/>
  <c r="M46" i="12" s="1"/>
  <c r="N46" i="12" s="1"/>
  <c r="O46" i="12" s="1"/>
  <c r="P46" i="12" s="1"/>
  <c r="Q46" i="12" s="1"/>
  <c r="R46" i="12" s="1"/>
  <c r="S46" i="12" s="1"/>
  <c r="T46" i="12" s="1"/>
  <c r="U46" i="12" s="1"/>
  <c r="C21" i="12"/>
  <c r="C19" i="12"/>
  <c r="J39" i="12"/>
  <c r="K39" i="12" s="1"/>
  <c r="L39" i="12" s="1"/>
  <c r="M39" i="12" s="1"/>
  <c r="N39" i="12" s="1"/>
  <c r="O39" i="12" s="1"/>
  <c r="P39" i="12" s="1"/>
  <c r="Q39" i="12" s="1"/>
  <c r="R39" i="12" s="1"/>
  <c r="S39" i="12" s="1"/>
  <c r="T39" i="12" s="1"/>
  <c r="U39" i="12" s="1"/>
  <c r="C31" i="12"/>
  <c r="P4" i="12" l="1"/>
  <c r="P25" i="12" s="1"/>
  <c r="O4" i="12"/>
  <c r="C33" i="12"/>
  <c r="C35" i="12" s="1"/>
  <c r="C36" i="12" s="1"/>
  <c r="W46" i="12"/>
  <c r="W45" i="12"/>
  <c r="U20" i="11"/>
  <c r="V9" i="11"/>
  <c r="V17" i="11"/>
  <c r="V10" i="11"/>
  <c r="V7" i="11"/>
  <c r="V15" i="11"/>
  <c r="V18" i="11"/>
  <c r="V8" i="11"/>
  <c r="V19" i="11"/>
  <c r="V13" i="11"/>
  <c r="V6" i="11"/>
  <c r="W8" i="11"/>
  <c r="W20" i="11"/>
  <c r="W15" i="11"/>
  <c r="W19" i="11"/>
  <c r="W10" i="11"/>
  <c r="W9" i="11"/>
  <c r="W14" i="11"/>
  <c r="W18" i="11"/>
  <c r="X14" i="11"/>
  <c r="Y19" i="11"/>
  <c r="X19" i="11"/>
  <c r="X20" i="11"/>
  <c r="X8" i="11"/>
  <c r="X15" i="11"/>
  <c r="X7" i="11"/>
  <c r="Y18" i="11"/>
  <c r="Y8" i="11"/>
  <c r="Y10" i="11"/>
  <c r="Y17" i="11"/>
  <c r="Y13" i="11"/>
  <c r="D18" i="11"/>
  <c r="O25" i="12" l="1"/>
  <c r="V26" i="12" s="1"/>
  <c r="Y4" i="12"/>
  <c r="Y24" i="12" s="1"/>
  <c r="Z4" i="12"/>
  <c r="Z24" i="12" s="1"/>
  <c r="M26" i="12"/>
  <c r="AC2" i="11"/>
  <c r="Q26" i="12" l="1"/>
  <c r="P26" i="12"/>
  <c r="O26" i="12"/>
  <c r="U26" i="12"/>
  <c r="R26" i="12"/>
  <c r="S26" i="12"/>
  <c r="W26" i="12"/>
  <c r="X26" i="12"/>
  <c r="T26" i="12"/>
  <c r="X10" i="11"/>
  <c r="X18" i="11"/>
  <c r="X6" i="11"/>
  <c r="X9" i="11"/>
  <c r="X17" i="11"/>
  <c r="X13" i="11"/>
  <c r="U18" i="11" l="1"/>
  <c r="U17" i="11"/>
  <c r="S15" i="11"/>
  <c r="S10" i="11"/>
  <c r="S13" i="11"/>
  <c r="S19" i="11"/>
  <c r="S18" i="11"/>
  <c r="S14" i="11"/>
  <c r="S17" i="11"/>
  <c r="S9" i="11"/>
  <c r="S8" i="11"/>
  <c r="U19" i="11"/>
  <c r="U10" i="11"/>
  <c r="U8" i="11"/>
  <c r="U11" i="11"/>
  <c r="U13" i="11"/>
  <c r="Q13" i="11" l="1"/>
  <c r="D27" i="11"/>
  <c r="D20" i="11"/>
  <c r="D28" i="11" s="1"/>
  <c r="Q14" i="11"/>
  <c r="R13" i="11"/>
  <c r="Q19" i="11"/>
  <c r="R19" i="11" s="1"/>
  <c r="Q10" i="11"/>
  <c r="R10" i="11" s="1"/>
  <c r="R22" i="11" s="1"/>
  <c r="D30" i="11" l="1"/>
  <c r="V4" i="11" s="1"/>
  <c r="V21" i="11" s="1"/>
  <c r="D31" i="11" l="1"/>
  <c r="S4" i="11"/>
  <c r="S21" i="11" s="1"/>
  <c r="Q4" i="11"/>
  <c r="Y4" i="11"/>
  <c r="Y21" i="11" s="1"/>
  <c r="U4" i="11"/>
  <c r="U21" i="11" s="1"/>
  <c r="Z4" i="11"/>
  <c r="Z21" i="11" s="1"/>
  <c r="AB4" i="11"/>
  <c r="AB21" i="11" s="1"/>
  <c r="AA4" i="11"/>
  <c r="AA21" i="11" s="1"/>
  <c r="X4" i="11"/>
  <c r="X21" i="11" s="1"/>
  <c r="W4" i="11"/>
  <c r="W21" i="11" s="1"/>
  <c r="Q17" i="11"/>
  <c r="O17" i="11"/>
  <c r="Q8" i="11"/>
  <c r="Q15" i="11"/>
  <c r="Q20" i="11"/>
  <c r="AC20" i="11" s="1"/>
  <c r="C28" i="11" l="1"/>
  <c r="M8" i="11"/>
  <c r="N8" i="11" s="1"/>
  <c r="O8" i="11"/>
  <c r="P8" i="11" s="1"/>
  <c r="P11" i="11" s="1"/>
  <c r="M11" i="11"/>
  <c r="M12" i="11"/>
  <c r="O12" i="11"/>
  <c r="O13" i="11"/>
  <c r="C14" i="11"/>
  <c r="C27" i="11" s="1"/>
  <c r="P16" i="11"/>
  <c r="M17" i="11"/>
  <c r="P17" i="11"/>
  <c r="O18" i="11"/>
  <c r="P18" i="11" s="1"/>
  <c r="M19" i="11"/>
  <c r="N19" i="11" s="1"/>
  <c r="O19" i="11"/>
  <c r="P19" i="11" s="1"/>
  <c r="J34" i="11"/>
  <c r="K34" i="11" s="1"/>
  <c r="L34" i="11" s="1"/>
  <c r="M34" i="11" s="1"/>
  <c r="N34" i="11" s="1"/>
  <c r="O34" i="11" s="1"/>
  <c r="P34" i="11" s="1"/>
  <c r="Q34" i="11" s="1"/>
  <c r="R34" i="11" s="1"/>
  <c r="S34" i="11" s="1"/>
  <c r="T34" i="11" s="1"/>
  <c r="U34" i="11"/>
  <c r="J41" i="11"/>
  <c r="K41" i="11" s="1"/>
  <c r="L41" i="11" s="1"/>
  <c r="M41" i="11" s="1"/>
  <c r="N41" i="11" s="1"/>
  <c r="O41" i="11" s="1"/>
  <c r="P41" i="11" s="1"/>
  <c r="Q41" i="11" s="1"/>
  <c r="R41" i="11" s="1"/>
  <c r="S41" i="11" s="1"/>
  <c r="T41" i="11" s="1"/>
  <c r="U41" i="11" s="1"/>
  <c r="W40" i="11" s="1"/>
  <c r="N11" i="11" l="1"/>
  <c r="N22" i="11" s="1"/>
  <c r="C30" i="11"/>
  <c r="P22" i="11"/>
  <c r="W41" i="11"/>
  <c r="M4" i="11" l="1"/>
  <c r="M21" i="11" s="1"/>
  <c r="Q21" i="11"/>
  <c r="O4" i="11"/>
  <c r="O21" i="11" s="1"/>
  <c r="C31" i="11"/>
  <c r="M22" i="11" l="1"/>
  <c r="Q22" i="11"/>
  <c r="O22" i="11"/>
  <c r="W5" i="6" l="1"/>
  <c r="I67" i="6"/>
  <c r="W18" i="6"/>
  <c r="W9" i="6"/>
  <c r="R34" i="6" l="1"/>
  <c r="Q9" i="6" l="1"/>
  <c r="P9" i="6"/>
  <c r="R9" i="6"/>
  <c r="S9" i="6"/>
  <c r="S14" i="6"/>
  <c r="S13" i="6"/>
  <c r="T13" i="6"/>
  <c r="T9" i="6"/>
  <c r="T14" i="6"/>
  <c r="Y13" i="6" l="1"/>
  <c r="G10" i="6" l="1"/>
  <c r="D27" i="6" l="1"/>
  <c r="R11" i="6" l="1"/>
  <c r="Z13" i="6" l="1"/>
  <c r="Q11" i="6" l="1"/>
  <c r="Q14" i="6" l="1"/>
  <c r="C13" i="6" l="1"/>
  <c r="I4" i="6" l="1"/>
  <c r="I3" i="6"/>
  <c r="D26" i="6"/>
  <c r="Q13" i="6"/>
  <c r="U6" i="6" l="1"/>
  <c r="T6" i="6"/>
  <c r="S6" i="6"/>
  <c r="R6" i="6"/>
  <c r="P11" i="6"/>
  <c r="J32" i="6"/>
  <c r="K32" i="6" s="1"/>
  <c r="L32" i="6" s="1"/>
  <c r="M32" i="6" s="1"/>
  <c r="N32" i="6" s="1"/>
  <c r="O32" i="6" s="1"/>
  <c r="P32" i="6" s="1"/>
  <c r="Q32" i="6" s="1"/>
  <c r="O14" i="6"/>
  <c r="O9" i="6"/>
  <c r="D29" i="6"/>
  <c r="D30" i="6" s="1"/>
  <c r="J39" i="6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N10" i="6"/>
  <c r="N18" i="6"/>
  <c r="N17" i="5"/>
  <c r="N10" i="5"/>
  <c r="N5" i="4"/>
  <c r="D25" i="5"/>
  <c r="D27" i="5"/>
  <c r="D28" i="5"/>
  <c r="J37" i="5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J31" i="5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J29" i="4"/>
  <c r="K29" i="4" s="1"/>
  <c r="L28" i="4"/>
  <c r="T28" i="4"/>
  <c r="U14" i="4"/>
  <c r="P11" i="4"/>
  <c r="O12" i="4"/>
  <c r="P8" i="4"/>
  <c r="M13" i="4"/>
  <c r="D26" i="4"/>
  <c r="J27" i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D24" i="4"/>
  <c r="D23" i="4"/>
  <c r="D25" i="1"/>
  <c r="U5" i="1"/>
  <c r="D22" i="1"/>
  <c r="D23" i="1"/>
  <c r="D27" i="1" l="1"/>
  <c r="T4" i="1" s="1"/>
  <c r="T16" i="1" s="1"/>
  <c r="T17" i="1" s="1"/>
  <c r="D30" i="5"/>
  <c r="D31" i="5" s="1"/>
  <c r="L5" i="5" s="1"/>
  <c r="L18" i="5" s="1"/>
  <c r="D28" i="4"/>
  <c r="D29" i="4" s="1"/>
  <c r="P4" i="4" s="1"/>
  <c r="P17" i="4" s="1"/>
  <c r="L29" i="4"/>
  <c r="M29" i="4" s="1"/>
  <c r="N29" i="4" s="1"/>
  <c r="O29" i="4" s="1"/>
  <c r="P29" i="4" s="1"/>
  <c r="Q29" i="4" s="1"/>
  <c r="R29" i="4" s="1"/>
  <c r="S29" i="4" s="1"/>
  <c r="T29" i="4" s="1"/>
  <c r="S4" i="1"/>
  <c r="S16" i="1" s="1"/>
  <c r="S17" i="1" s="1"/>
  <c r="N4" i="1"/>
  <c r="N16" i="1" s="1"/>
  <c r="N17" i="1" s="1"/>
  <c r="N4" i="4"/>
  <c r="N17" i="4" s="1"/>
  <c r="Y6" i="6"/>
  <c r="L4" i="1"/>
  <c r="L16" i="1" s="1"/>
  <c r="L17" i="1" s="1"/>
  <c r="R4" i="1"/>
  <c r="R16" i="1" s="1"/>
  <c r="R17" i="1" s="1"/>
  <c r="V38" i="6"/>
  <c r="V39" i="6"/>
  <c r="R4" i="6"/>
  <c r="R19" i="6" s="1"/>
  <c r="U4" i="6"/>
  <c r="U19" i="6" s="1"/>
  <c r="L4" i="6"/>
  <c r="L19" i="6" s="1"/>
  <c r="P4" i="6"/>
  <c r="P19" i="6" s="1"/>
  <c r="S4" i="6"/>
  <c r="S19" i="6" s="1"/>
  <c r="M4" i="6"/>
  <c r="M19" i="6" s="1"/>
  <c r="Q4" i="6"/>
  <c r="Q19" i="6" s="1"/>
  <c r="V4" i="6"/>
  <c r="V19" i="6" s="1"/>
  <c r="N4" i="6"/>
  <c r="N19" i="6" s="1"/>
  <c r="O4" i="6"/>
  <c r="O19" i="6" s="1"/>
  <c r="T4" i="6"/>
  <c r="T19" i="6" s="1"/>
  <c r="W4" i="6"/>
  <c r="W19" i="6" s="1"/>
  <c r="R32" i="6"/>
  <c r="S32" i="6" s="1"/>
  <c r="Q35" i="6"/>
  <c r="R35" i="6" s="1"/>
  <c r="S35" i="6" s="1"/>
  <c r="T32" i="6" s="1"/>
  <c r="V4" i="1" l="1"/>
  <c r="V16" i="1" s="1"/>
  <c r="V17" i="1" s="1"/>
  <c r="R5" i="5"/>
  <c r="R18" i="5" s="1"/>
  <c r="U4" i="1"/>
  <c r="U16" i="1" s="1"/>
  <c r="U17" i="1" s="1"/>
  <c r="P4" i="1"/>
  <c r="P16" i="1" s="1"/>
  <c r="P17" i="1" s="1"/>
  <c r="D28" i="1"/>
  <c r="W4" i="1"/>
  <c r="W16" i="1" s="1"/>
  <c r="W17" i="1" s="1"/>
  <c r="Q4" i="1"/>
  <c r="Q16" i="1" s="1"/>
  <c r="Q17" i="1" s="1"/>
  <c r="O4" i="1"/>
  <c r="O16" i="1" s="1"/>
  <c r="O17" i="1" s="1"/>
  <c r="M4" i="1"/>
  <c r="M16" i="1" s="1"/>
  <c r="M17" i="1" s="1"/>
  <c r="Q4" i="4"/>
  <c r="Q17" i="4" s="1"/>
  <c r="W5" i="5"/>
  <c r="W18" i="5" s="1"/>
  <c r="T5" i="5"/>
  <c r="T18" i="5" s="1"/>
  <c r="Q5" i="5"/>
  <c r="Q18" i="5" s="1"/>
  <c r="P5" i="5"/>
  <c r="P18" i="5" s="1"/>
  <c r="O5" i="5"/>
  <c r="O18" i="5" s="1"/>
  <c r="N5" i="5"/>
  <c r="N18" i="5" s="1"/>
  <c r="U5" i="5"/>
  <c r="U18" i="5" s="1"/>
  <c r="M5" i="5"/>
  <c r="M18" i="5" s="1"/>
  <c r="M19" i="5" s="1"/>
  <c r="V4" i="4"/>
  <c r="V17" i="4" s="1"/>
  <c r="V5" i="5"/>
  <c r="V18" i="5" s="1"/>
  <c r="S5" i="5"/>
  <c r="S18" i="5" s="1"/>
  <c r="T20" i="6"/>
  <c r="U4" i="4"/>
  <c r="U17" i="4" s="1"/>
  <c r="O4" i="4"/>
  <c r="O17" i="4" s="1"/>
  <c r="S4" i="4"/>
  <c r="S17" i="4" s="1"/>
  <c r="L4" i="4"/>
  <c r="L17" i="4" s="1"/>
  <c r="M4" i="4"/>
  <c r="M17" i="4" s="1"/>
  <c r="W4" i="4"/>
  <c r="W17" i="4" s="1"/>
  <c r="T4" i="4"/>
  <c r="T17" i="4" s="1"/>
  <c r="R4" i="4"/>
  <c r="R17" i="4" s="1"/>
  <c r="P20" i="6"/>
  <c r="L19" i="5"/>
  <c r="N20" i="6"/>
  <c r="M20" i="6"/>
  <c r="U20" i="6"/>
  <c r="Q20" i="6"/>
  <c r="O20" i="6"/>
  <c r="S20" i="6"/>
  <c r="L20" i="6"/>
  <c r="V20" i="6"/>
  <c r="R20" i="6"/>
  <c r="W20" i="6"/>
  <c r="T19" i="5" l="1"/>
  <c r="O19" i="5"/>
  <c r="V19" i="5"/>
  <c r="W19" i="5"/>
  <c r="Q19" i="5"/>
  <c r="U19" i="5"/>
  <c r="O18" i="4"/>
  <c r="N19" i="5"/>
  <c r="S19" i="5"/>
  <c r="W18" i="4"/>
  <c r="R18" i="4"/>
  <c r="R19" i="5"/>
  <c r="P19" i="5"/>
  <c r="U18" i="4"/>
  <c r="M18" i="4"/>
  <c r="P18" i="4"/>
  <c r="T18" i="4"/>
  <c r="L18" i="4"/>
  <c r="Q18" i="4"/>
  <c r="V18" i="4"/>
  <c r="N18" i="4"/>
  <c r="I16" i="4"/>
  <c r="S18" i="4"/>
  <c r="AB22" i="11" l="1"/>
  <c r="W22" i="11"/>
  <c r="V22" i="11"/>
  <c r="S22" i="11"/>
  <c r="U22" i="11"/>
  <c r="Z22" i="11"/>
  <c r="Y22" i="11"/>
  <c r="AA22" i="11"/>
  <c r="X22" i="11"/>
  <c r="C39" i="12"/>
  <c r="D36" i="12"/>
</calcChain>
</file>

<file path=xl/sharedStrings.xml><?xml version="1.0" encoding="utf-8"?>
<sst xmlns="http://schemas.openxmlformats.org/spreadsheetml/2006/main" count="2026" uniqueCount="663">
  <si>
    <t>Maandlikse salaris</t>
  </si>
  <si>
    <t>Uitgawes / aftrekkings</t>
  </si>
  <si>
    <t>PPS UA</t>
  </si>
  <si>
    <t>VGV</t>
  </si>
  <si>
    <t>PMG</t>
  </si>
  <si>
    <t>Huis lening</t>
  </si>
  <si>
    <t>Petrol</t>
  </si>
  <si>
    <t>*</t>
  </si>
  <si>
    <t>Huur (w/l) R2750 + elek</t>
  </si>
  <si>
    <t>telkom</t>
  </si>
  <si>
    <t>Internet (telkom)</t>
  </si>
  <si>
    <t>Kos</t>
  </si>
  <si>
    <t>Afrihost en WA</t>
  </si>
  <si>
    <t>3e Party Kar</t>
  </si>
  <si>
    <t>Virgin Active</t>
  </si>
  <si>
    <t>Oldmutual</t>
  </si>
  <si>
    <t>Afriforum</t>
  </si>
  <si>
    <t>Ma fonds</t>
  </si>
  <si>
    <t>Selfoon</t>
  </si>
  <si>
    <t>Vakansie / spaar</t>
  </si>
  <si>
    <t>Oorbetalings</t>
  </si>
  <si>
    <t>Spaar rekening:</t>
  </si>
  <si>
    <t>Spaar rekening 2:</t>
  </si>
  <si>
    <t>Kridietkaart:</t>
  </si>
  <si>
    <t>Ander rekeninge:</t>
  </si>
  <si>
    <t>Maandlikse speel geld</t>
  </si>
  <si>
    <t>Totale:</t>
  </si>
  <si>
    <t>CASH</t>
  </si>
  <si>
    <t>Spaar vir BAASTERS en April Vakansie</t>
  </si>
  <si>
    <t>Nov</t>
  </si>
  <si>
    <t>Dec</t>
  </si>
  <si>
    <t>Jan</t>
  </si>
  <si>
    <t>Feb</t>
  </si>
  <si>
    <t>Maart</t>
  </si>
  <si>
    <t>Apr</t>
  </si>
  <si>
    <t>Mei</t>
  </si>
  <si>
    <t>Jun</t>
  </si>
  <si>
    <t>Jul</t>
  </si>
  <si>
    <t>Aug</t>
  </si>
  <si>
    <t>Sep</t>
  </si>
  <si>
    <t>Oct</t>
  </si>
  <si>
    <t>Geld gespaar</t>
  </si>
  <si>
    <t>Rekening koste:</t>
  </si>
  <si>
    <t>Totaal</t>
  </si>
  <si>
    <t>Januarie</t>
  </si>
  <si>
    <t>Februarie</t>
  </si>
  <si>
    <t>APRIL</t>
  </si>
  <si>
    <t>MAY</t>
  </si>
  <si>
    <t>Junie</t>
  </si>
  <si>
    <t>Julie</t>
  </si>
  <si>
    <t>Okt</t>
  </si>
  <si>
    <t>Die res</t>
  </si>
  <si>
    <t>Groot uitgawes</t>
  </si>
  <si>
    <t>GAME</t>
  </si>
  <si>
    <t>Gholf</t>
  </si>
  <si>
    <t>Kamp</t>
  </si>
  <si>
    <t>Reenjas / Klere</t>
  </si>
  <si>
    <t>Link / Drank / Rekenaar</t>
  </si>
  <si>
    <t>Meubels</t>
  </si>
  <si>
    <t>Medies</t>
  </si>
  <si>
    <t>KAR</t>
  </si>
  <si>
    <t>TOTAAL</t>
  </si>
  <si>
    <t>Leftovers</t>
  </si>
  <si>
    <t>Elektrisiteit</t>
  </si>
  <si>
    <t>Ektras / travel claim</t>
  </si>
  <si>
    <t>Kalahari / Takealot</t>
  </si>
  <si>
    <t>Current account instandhouding</t>
  </si>
  <si>
    <t>KAARTJIES</t>
  </si>
  <si>
    <t>Emsie diens</t>
  </si>
  <si>
    <t>Jukskei betaling</t>
  </si>
  <si>
    <t>Ultra kaartjie</t>
  </si>
  <si>
    <t>Johan geskenk en Glenfidich 15 jr</t>
  </si>
  <si>
    <t>Wow</t>
  </si>
  <si>
    <t>Tras Laptop</t>
  </si>
  <si>
    <t>Tras laptop</t>
  </si>
  <si>
    <t>Geld vir Leentjie geleen</t>
  </si>
  <si>
    <t>Nuwe wiele op Emsie</t>
  </si>
  <si>
    <t>Nuwe bril</t>
  </si>
  <si>
    <t>Sars (by travel claim)</t>
  </si>
  <si>
    <t>Q2 Award</t>
  </si>
  <si>
    <t>R500 extra per maand sodat Nevember en December nie betaal hoef te word nie</t>
  </si>
  <si>
    <t>Nuwe Bril</t>
  </si>
  <si>
    <t>Starcraft2: LotV</t>
  </si>
  <si>
    <t>210 Whisky live kaartjie</t>
  </si>
  <si>
    <t>300 Sweeny Todd</t>
  </si>
  <si>
    <t>Ousie Lettie</t>
  </si>
  <si>
    <t>Old Mutual belegging</t>
  </si>
  <si>
    <t>Old Mutual belegging 1e betaling</t>
  </si>
  <si>
    <t>Oldmutual lewens versekering</t>
  </si>
  <si>
    <t>Nuwe ratkas en koppelaar</t>
  </si>
  <si>
    <t>Septemdecim trou geskenk</t>
  </si>
  <si>
    <t>Klere</t>
  </si>
  <si>
    <t>Connie Jukskei bt v my en Lyssa</t>
  </si>
  <si>
    <t>Johan se ou meubels</t>
  </si>
  <si>
    <t>Besoek en medisyne</t>
  </si>
  <si>
    <t>Kamp / Verblyf</t>
  </si>
  <si>
    <t>Res van Clarens verblyf</t>
  </si>
  <si>
    <t>Skoene vir J se Troue</t>
  </si>
  <si>
    <t>Drie inbetalings v R1650 vir nuwe Galaxy A5 smartphone vir E</t>
  </si>
  <si>
    <t>Chroniese pille en nog 'n dr besoek</t>
  </si>
  <si>
    <t>Huur vooruit betaal vir see vakansie</t>
  </si>
  <si>
    <t>Johan M 2e betaling vir Galaxy A5</t>
  </si>
  <si>
    <t>Vliegkaartjie vir Elyssa na George</t>
  </si>
  <si>
    <t>St Francis Links</t>
  </si>
  <si>
    <t>Ousie Lettie bt</t>
  </si>
  <si>
    <t>Kos / Uiteet / Kuier</t>
  </si>
  <si>
    <t>Uiteet 6 maande viering</t>
  </si>
  <si>
    <t>Uiteet 7 maande viering</t>
  </si>
  <si>
    <t>TOTAL</t>
  </si>
  <si>
    <t>Discount Dining claim R92</t>
  </si>
  <si>
    <t>April</t>
  </si>
  <si>
    <t>Augustus</t>
  </si>
  <si>
    <t>September</t>
  </si>
  <si>
    <t>Oktober</t>
  </si>
  <si>
    <t>November</t>
  </si>
  <si>
    <t>December</t>
  </si>
  <si>
    <t>Vliegkaartjie en KayaFM</t>
  </si>
  <si>
    <t>Fairview wyn en KayaWhisky</t>
  </si>
  <si>
    <t>Ekstras / travel claim</t>
  </si>
  <si>
    <t>Kathu verblyf en petrol</t>
  </si>
  <si>
    <t>Nuwe plaat vir Emsie en clutchkabel</t>
  </si>
  <si>
    <t>Baasters Geld</t>
  </si>
  <si>
    <t>1 jaar viering saam Elyssa by 5 ster Resort geboek vir 3Okt</t>
  </si>
  <si>
    <t>WoW Legion</t>
  </si>
  <si>
    <t>Diens, waterpomp, brieke</t>
  </si>
  <si>
    <t>1,24,6</t>
  </si>
  <si>
    <t xml:space="preserve"> R5000 vir Ma geleen vir Polo diens</t>
  </si>
  <si>
    <t>Nuwe shaft en CV vir Emsie</t>
  </si>
  <si>
    <t>3 maande wow game time</t>
  </si>
  <si>
    <t>Nuwe mat en gordyne</t>
  </si>
  <si>
    <t>12 jaar Belvenie Connie v Duitsland</t>
  </si>
  <si>
    <t>Balasting - R1386,84</t>
  </si>
  <si>
    <t xml:space="preserve">Betaal elke maand R500 terug tot volgende jaar </t>
  </si>
  <si>
    <t>En nog 200 oorbetaal na die current rekening vir Old Mutual aftrek</t>
  </si>
  <si>
    <t>5,375.00 Ring deposito</t>
  </si>
  <si>
    <t>R10,125.08 in but -30 available</t>
  </si>
  <si>
    <t>…ook nou vir die ring ;) en Wittebrood</t>
  </si>
  <si>
    <t>Betaal vir Polo</t>
  </si>
  <si>
    <t>Kar versekering</t>
  </si>
  <si>
    <t>Kar betaling</t>
  </si>
  <si>
    <t>Betaal</t>
  </si>
  <si>
    <t>Gautrein / 4weke maand</t>
  </si>
  <si>
    <t>Medihelp</t>
  </si>
  <si>
    <t>R180 per dag</t>
  </si>
  <si>
    <t>Afrihost</t>
  </si>
  <si>
    <t>Sabaton Donkerbrille</t>
  </si>
  <si>
    <t>Queen size XL bed</t>
  </si>
  <si>
    <t>245.92</t>
  </si>
  <si>
    <t>Gekanseleer 20 Feb 2017</t>
  </si>
  <si>
    <t>Ekstras / geld terug</t>
  </si>
  <si>
    <t>Ed&amp;Anna Trouebroek</t>
  </si>
  <si>
    <t>Verjaarsdag geskenk : R1000</t>
  </si>
  <si>
    <t>Gekanseleer 20 Feb 2017 moet nou 400 per maand wees</t>
  </si>
  <si>
    <t>Edwin troue Highland gate</t>
  </si>
  <si>
    <t>Jukskei te VDG</t>
  </si>
  <si>
    <t>Nuwe wiele op Chronos en registrasie</t>
  </si>
  <si>
    <t>Bestuurslisensie hernu</t>
  </si>
  <si>
    <t>Prys van nuwe wiele</t>
  </si>
  <si>
    <t>Wittebrood</t>
  </si>
  <si>
    <t>OOR</t>
  </si>
  <si>
    <t>400 ekstra vir Des buffer</t>
  </si>
  <si>
    <t>Vir nou soveel - gaan minder wees as Ma fonds bykom</t>
  </si>
  <si>
    <t>Oorspronklike plan vir 2017 wat baie verander het</t>
  </si>
  <si>
    <t>Overwatch</t>
  </si>
  <si>
    <t>Vir April net 3 dae se geld</t>
  </si>
  <si>
    <t>Nommerplate</t>
  </si>
  <si>
    <t>Transformers game op Steam</t>
  </si>
  <si>
    <t>Kokoriba deposito</t>
  </si>
  <si>
    <t>Final guests</t>
  </si>
  <si>
    <t>Food</t>
  </si>
  <si>
    <t>MOET BETAAL</t>
  </si>
  <si>
    <t>DOOM 4</t>
  </si>
  <si>
    <t>Elyssa K-Way</t>
  </si>
  <si>
    <t>Munky Shoulder</t>
  </si>
  <si>
    <t>Baasters deposit</t>
  </si>
  <si>
    <t>Res van Baasters geld</t>
  </si>
  <si>
    <t>Chronos 85k km diens</t>
  </si>
  <si>
    <t>Mulder trou geskenk</t>
  </si>
  <si>
    <t>Koster kostes</t>
  </si>
  <si>
    <t>Elyssa Selfoon herstel A5</t>
  </si>
  <si>
    <t>Koster trou geskenk</t>
  </si>
  <si>
    <t>Betaal depositos van 2e week van wittebrood</t>
  </si>
  <si>
    <t>-800.78</t>
  </si>
  <si>
    <t>SAP CERT BOEK</t>
  </si>
  <si>
    <t>-299.00</t>
  </si>
  <si>
    <t>Swart broek Woolies</t>
  </si>
  <si>
    <t xml:space="preserve">Betaal fotgrawe se verlbyf </t>
  </si>
  <si>
    <t>5,810.00</t>
  </si>
  <si>
    <t>Oom Derek spaarbussie</t>
  </si>
  <si>
    <t>Bottega Nikka tasting</t>
  </si>
  <si>
    <t>Ds Geel betaal</t>
  </si>
  <si>
    <t>Moet Wittebrood betaal</t>
  </si>
  <si>
    <t>Fotograaf &amp; DJ</t>
  </si>
  <si>
    <t>TOTALE VERBLYF</t>
  </si>
  <si>
    <t>Chronos bybetaling</t>
  </si>
  <si>
    <t>Nuwe Strykyster</t>
  </si>
  <si>
    <t>Courier trou kaartjie na Elyssa se ouma en oupa</t>
  </si>
  <si>
    <t>Eerste week van die Wittebrood 6955</t>
  </si>
  <si>
    <t>Bottega en Glen Fiddich 15</t>
  </si>
  <si>
    <t>Neptune's uiteet</t>
  </si>
  <si>
    <t>Cert bonus</t>
  </si>
  <si>
    <t>SAP Canteen</t>
  </si>
  <si>
    <t>Sigare en dasse</t>
  </si>
  <si>
    <t>Maak elektrisiteit reg</t>
  </si>
  <si>
    <t>Dit moet nie bygetel word nie, maar afgetrek word</t>
  </si>
  <si>
    <t>Tans is die syfers skewed…</t>
  </si>
  <si>
    <t>Oudit is nodig</t>
  </si>
  <si>
    <t>Nuwe bedrag van September af</t>
  </si>
  <si>
    <t>Massering en rose by knysna</t>
  </si>
  <si>
    <t>2 jr anniversary</t>
  </si>
  <si>
    <t>Buffelsfontein uiteet</t>
  </si>
  <si>
    <t>Cats sneakers &amp; Rob Roy</t>
  </si>
  <si>
    <t>Trou suite skoene en belt</t>
  </si>
  <si>
    <t>1k vir Edgars</t>
  </si>
  <si>
    <t>Houtstoele troue</t>
  </si>
  <si>
    <t>Spaar 1 ekstra geld</t>
  </si>
  <si>
    <t>Oom Derek &amp; Tannie Ria betaling vir troue</t>
  </si>
  <si>
    <t>Tekkies vir Elyssa</t>
  </si>
  <si>
    <t>Bethulie verblyf af Kaap toe</t>
  </si>
  <si>
    <t>Cltx Star Stop Sullivi VENTE</t>
  </si>
  <si>
    <t>PETROL FEE * </t>
  </si>
  <si>
    <t>N1 GRASMERE GRASM</t>
  </si>
  <si>
    <t>N1 VAAL VAAL </t>
  </si>
  <si>
    <t>N1 VERKEERDEVLEI VERKE</t>
  </si>
  <si>
    <t>TOTAL CRADOCK CRADO</t>
  </si>
  <si>
    <t>Walskipper</t>
  </si>
  <si>
    <t>Nuwe Wiel vir Chronos</t>
  </si>
  <si>
    <t>PETROPORT MOSSEL BAY MOSSE</t>
  </si>
  <si>
    <t>CALTEX STRAND STRAN</t>
  </si>
  <si>
    <t>SHELL U/C COLESBERG COLES</t>
  </si>
  <si>
    <t>C#SHELL U/C COLESBERG FNB BANK</t>
  </si>
  <si>
    <t>HUGUENOT TUNNEL CAPE </t>
  </si>
  <si>
    <t>AMBERFIELD SERVICE STA CENTU</t>
  </si>
  <si>
    <t>Kaapse vakanskei reis koste</t>
  </si>
  <si>
    <t>Bethulie oorslaap</t>
  </si>
  <si>
    <t>Woudzicht Breakage</t>
  </si>
  <si>
    <t>SALARIS</t>
  </si>
  <si>
    <t>Maandlikse (gem) salaris</t>
  </si>
  <si>
    <t>Sapconet trougeskenk</t>
  </si>
  <si>
    <t>Uitgawes</t>
  </si>
  <si>
    <t>Reeds betaal</t>
  </si>
  <si>
    <t>Edgars</t>
  </si>
  <si>
    <t>Opblaas matras</t>
  </si>
  <si>
    <t>PnP</t>
  </si>
  <si>
    <t>Frangelico</t>
  </si>
  <si>
    <t>Gordyne</t>
  </si>
  <si>
    <t>Dischem</t>
  </si>
  <si>
    <t>FLM</t>
  </si>
  <si>
    <t>Netflix</t>
  </si>
  <si>
    <t>Showmax</t>
  </si>
  <si>
    <t>Medies / Dischem</t>
  </si>
  <si>
    <t>Ekstra geld om EMSIE reg te maak</t>
  </si>
  <si>
    <t>Tandarts Elyssa</t>
  </si>
  <si>
    <t>Ice Rink</t>
  </si>
  <si>
    <t>Wildrit</t>
  </si>
  <si>
    <t>Amajuba verblyf</t>
  </si>
  <si>
    <t>Vanaf Maart</t>
  </si>
  <si>
    <t>Woudzciht Skaap 2169</t>
  </si>
  <si>
    <t>Elyssa Hare</t>
  </si>
  <si>
    <t>R50 vanaf Maart</t>
  </si>
  <si>
    <t>Elyssa liksens lesse</t>
  </si>
  <si>
    <t>Chronos brieke</t>
  </si>
  <si>
    <t>200???</t>
  </si>
  <si>
    <t>Clicks</t>
  </si>
  <si>
    <t>Link / Drank / Rekenaar / Golf</t>
  </si>
  <si>
    <t>Afriforum &amp; Solidariteit</t>
  </si>
  <si>
    <t>Nuwe battery vir Chronos</t>
  </si>
  <si>
    <t>3150 is korrekte nuwe waarde!</t>
  </si>
  <si>
    <t>Gautrain</t>
  </si>
  <si>
    <t>PnP &amp; Checkers &amp; Spar</t>
  </si>
  <si>
    <t>Nuwe brieke vir Chronos</t>
  </si>
  <si>
    <t>Diens</t>
  </si>
  <si>
    <t xml:space="preserve">Jag </t>
  </si>
  <si>
    <t>4x4 skou en Magdelie Revue</t>
  </si>
  <si>
    <t>Wheel alignment</t>
  </si>
  <si>
    <t>Elyssa Dr afspraak</t>
  </si>
  <si>
    <t>GAME / Makro / Chaimberlaines</t>
  </si>
  <si>
    <t>Weiveld</t>
  </si>
  <si>
    <t>Liberty Life</t>
  </si>
  <si>
    <t>3468 Waarde vanaf Jan 2019</t>
  </si>
  <si>
    <t>SARS</t>
  </si>
  <si>
    <t>34 690.90</t>
  </si>
  <si>
    <t>37 191.89</t>
  </si>
  <si>
    <t>Ekstra geld vir Desember kuier</t>
  </si>
  <si>
    <t>Elyssa</t>
  </si>
  <si>
    <t>Boufonds, Solidariteit en NSRI</t>
  </si>
  <si>
    <t>Jenna Clifford Tanzaniet oorbelle</t>
  </si>
  <si>
    <t>R500 geskenkbewys by Woolies vir Lynx</t>
  </si>
  <si>
    <t>Saambreel by GAME</t>
  </si>
  <si>
    <t>Lyssa booking by Waltloo</t>
  </si>
  <si>
    <t>Vliegkaartjie vir Mamma</t>
  </si>
  <si>
    <t>Clicks / Placecol</t>
  </si>
  <si>
    <t>Boek v Magdelie</t>
  </si>
  <si>
    <t>Placecol vir lyssa</t>
  </si>
  <si>
    <t>Elyssa hare snips</t>
  </si>
  <si>
    <t>La Rosa uiteet</t>
  </si>
  <si>
    <t>Waffel Maker</t>
  </si>
  <si>
    <t xml:space="preserve">Kontant </t>
  </si>
  <si>
    <t>Finance charge / Pay protection</t>
  </si>
  <si>
    <t>Klere / Cosmetics</t>
  </si>
  <si>
    <t>Subtotaal: alle uitgawes</t>
  </si>
  <si>
    <t>Food Lover's Market</t>
  </si>
  <si>
    <t>AVERAGE</t>
  </si>
  <si>
    <t>SAPCONET</t>
  </si>
  <si>
    <t>Com Serv</t>
  </si>
  <si>
    <t>Sea Rescue</t>
  </si>
  <si>
    <t>Ander rekeninge 2</t>
  </si>
  <si>
    <t>Ander rekeninge 1</t>
  </si>
  <si>
    <t>Totale per rekening</t>
  </si>
  <si>
    <t>Spaar vir vakansie</t>
  </si>
  <si>
    <t>Begroting</t>
  </si>
  <si>
    <t>Audit</t>
  </si>
  <si>
    <t>Totale uitgawes:</t>
  </si>
  <si>
    <t>Drank</t>
  </si>
  <si>
    <t>Woolworths</t>
  </si>
  <si>
    <t>BAASTERS deposit</t>
  </si>
  <si>
    <t>Oorblywend</t>
  </si>
  <si>
    <t>Foon skerm regmaak</t>
  </si>
  <si>
    <t>maande</t>
  </si>
  <si>
    <t>Lening bedrag</t>
  </si>
  <si>
    <t>Totaal vir huis betaal</t>
  </si>
  <si>
    <t>Rente</t>
  </si>
  <si>
    <t>Maalvleis</t>
  </si>
  <si>
    <t>Hoender</t>
  </si>
  <si>
    <t>Braaivleis</t>
  </si>
  <si>
    <t>Koste</t>
  </si>
  <si>
    <t>Hoeveelheid</t>
  </si>
  <si>
    <t>Item</t>
  </si>
  <si>
    <t>Melk</t>
  </si>
  <si>
    <t>Piesangs</t>
  </si>
  <si>
    <t>Brood</t>
  </si>
  <si>
    <t>Appels</t>
  </si>
  <si>
    <t>Butternut</t>
  </si>
  <si>
    <t>Papaya</t>
  </si>
  <si>
    <t>Sampioene</t>
  </si>
  <si>
    <t>Wortels</t>
  </si>
  <si>
    <t>Blaarslaai</t>
  </si>
  <si>
    <t>Tamaties (groot en klein)</t>
  </si>
  <si>
    <t>Tamatiesous</t>
  </si>
  <si>
    <t>Mayonaise</t>
  </si>
  <si>
    <t>Water (drink vanaf Shell)</t>
  </si>
  <si>
    <t>Pampoen</t>
  </si>
  <si>
    <t>Vis</t>
  </si>
  <si>
    <t>Heuning</t>
  </si>
  <si>
    <t>Koffie</t>
  </si>
  <si>
    <t>Future Life</t>
  </si>
  <si>
    <t>Broccoli</t>
  </si>
  <si>
    <t>Lemoene</t>
  </si>
  <si>
    <t>Fetakaas</t>
  </si>
  <si>
    <t>Kaas</t>
  </si>
  <si>
    <t>Chutney</t>
  </si>
  <si>
    <t>Tee</t>
  </si>
  <si>
    <t>Botter</t>
  </si>
  <si>
    <t>Pasta</t>
  </si>
  <si>
    <t>Rys</t>
  </si>
  <si>
    <t>Wyn</t>
  </si>
  <si>
    <t>Ander vrugte</t>
  </si>
  <si>
    <t>Speserye</t>
  </si>
  <si>
    <t>Jogurt</t>
  </si>
  <si>
    <t>Skoonmaakmiddels</t>
  </si>
  <si>
    <t>Sunlightseep</t>
  </si>
  <si>
    <t>Stasoft</t>
  </si>
  <si>
    <t>Skottelgoedwasser</t>
  </si>
  <si>
    <t>Skottelgoedsout</t>
  </si>
  <si>
    <t>Whitener</t>
  </si>
  <si>
    <t>Tandepaste</t>
  </si>
  <si>
    <t>Floss</t>
  </si>
  <si>
    <t>Bodywash</t>
  </si>
  <si>
    <t>Haarjel</t>
  </si>
  <si>
    <t>Antiperspirant</t>
  </si>
  <si>
    <t>Handwasseep</t>
  </si>
  <si>
    <t>Begroting kruideniers</t>
  </si>
  <si>
    <t>Gesigroom</t>
  </si>
  <si>
    <t>Pluszz</t>
  </si>
  <si>
    <t>Kondome</t>
  </si>
  <si>
    <t>Boeke</t>
  </si>
  <si>
    <t>Hondekos</t>
  </si>
  <si>
    <t>Hondesous</t>
  </si>
  <si>
    <t>Hondejoint (Mobiflex)</t>
  </si>
  <si>
    <t>Hondepynpille</t>
  </si>
  <si>
    <t>Kerk</t>
  </si>
  <si>
    <t>Eiers</t>
  </si>
  <si>
    <t>Levy</t>
  </si>
  <si>
    <t>Maandliks</t>
  </si>
  <si>
    <t>Spaar geld (10%)</t>
  </si>
  <si>
    <t>Persoonlike lening betaling</t>
  </si>
  <si>
    <t>Kalahari / Takealot / Pets</t>
  </si>
  <si>
    <t>Meubels / Plastiek land / Westpack</t>
  </si>
  <si>
    <t>GAME / Makro / Chaimberlaines / Builders</t>
  </si>
  <si>
    <t>Absa</t>
  </si>
  <si>
    <t>Lening</t>
  </si>
  <si>
    <t>Nedbank</t>
  </si>
  <si>
    <t>FNB</t>
  </si>
  <si>
    <t>Std Bank</t>
  </si>
  <si>
    <t>Initiation</t>
  </si>
  <si>
    <t>RENTE v P</t>
  </si>
  <si>
    <t>FNB (2)</t>
  </si>
  <si>
    <t>Per maand</t>
  </si>
  <si>
    <t>Maande</t>
  </si>
  <si>
    <t>Tydperk (maande)</t>
  </si>
  <si>
    <t>Nedbank (2)</t>
  </si>
  <si>
    <t>Persoonlike lening</t>
  </si>
  <si>
    <t>Gautrain Average</t>
  </si>
  <si>
    <t>Transfer Cost </t>
  </si>
  <si>
    <t>R 31,437.00</t>
  </si>
  <si>
    <t>Initiation Fee </t>
  </si>
  <si>
    <t>R 6,037.50</t>
  </si>
  <si>
    <t>Transfer Duty </t>
  </si>
  <si>
    <t>R 59,700.00</t>
  </si>
  <si>
    <t>Total </t>
  </si>
  <si>
    <t>Jaar</t>
  </si>
  <si>
    <t>My en Elyssa</t>
  </si>
  <si>
    <t>Huis Paaiement</t>
  </si>
  <si>
    <t>Ousie en Tuin jong</t>
  </si>
  <si>
    <t>GEMS</t>
  </si>
  <si>
    <t>Salarisse</t>
  </si>
  <si>
    <t>Selfone</t>
  </si>
  <si>
    <t>Dr Dag</t>
  </si>
  <si>
    <t>Bond Cost 50%</t>
  </si>
  <si>
    <t>Deads office Search fee</t>
  </si>
  <si>
    <t>Gateway fee</t>
  </si>
  <si>
    <t>Deeds office fee</t>
  </si>
  <si>
    <t>To Electronic Document Processing</t>
  </si>
  <si>
    <t>To Stordoc Fee</t>
  </si>
  <si>
    <t>To fee for submitting transfer duty</t>
  </si>
  <si>
    <t>To deeds office fee</t>
  </si>
  <si>
    <t>To Deeds Office Search</t>
  </si>
  <si>
    <t>To Electronic Doc Processing Charge</t>
  </si>
  <si>
    <t>To postages and petties</t>
  </si>
  <si>
    <t>To FICA identification an verification fee</t>
  </si>
  <si>
    <t>To postages, petties and telephone</t>
  </si>
  <si>
    <t>To rates clearance cert fee</t>
  </si>
  <si>
    <t>TRANSFER</t>
  </si>
  <si>
    <t>BOND</t>
  </si>
  <si>
    <t>Total Excess:</t>
  </si>
  <si>
    <t>Total Premium after Reduction</t>
  </si>
  <si>
    <t>BETAAL</t>
  </si>
  <si>
    <t>Daar moet nog genoeg geld oor wees, sodat die debiet order afgaan vir die Persoonlike lening</t>
  </si>
  <si>
    <t>Betaal vanaf?</t>
  </si>
  <si>
    <t>OKKUPASIE HUUR</t>
  </si>
  <si>
    <t>Honde kos en medisyne</t>
  </si>
  <si>
    <t>Spaar</t>
  </si>
  <si>
    <t>Gautrain average</t>
  </si>
  <si>
    <t>Tolhek</t>
  </si>
  <si>
    <t>KAARTJIES / Uber</t>
  </si>
  <si>
    <t>Afriforum &amp; Solidariteit, boufonds, legalex</t>
  </si>
  <si>
    <t>Anri bt TAX</t>
  </si>
  <si>
    <t>Kussings by mr price home</t>
  </si>
  <si>
    <t>Edwin Diesel vir Baasters</t>
  </si>
  <si>
    <t>Kris Alberts meubels</t>
  </si>
  <si>
    <t xml:space="preserve">Elyssa </t>
  </si>
  <si>
    <t>Bt</t>
  </si>
  <si>
    <t>Da</t>
  </si>
  <si>
    <t>Sanlam</t>
  </si>
  <si>
    <t>Water en Ligte</t>
  </si>
  <si>
    <t>MonitorNET</t>
  </si>
  <si>
    <t>Kredietkaart FNB</t>
  </si>
  <si>
    <t>Kridietkaart Nedbank</t>
  </si>
  <si>
    <t>Checque Oorbt</t>
  </si>
  <si>
    <t>Dromdiens</t>
  </si>
  <si>
    <t>Spaar rek Nedbank</t>
  </si>
  <si>
    <t>Spaar rek FNB</t>
  </si>
  <si>
    <t>Huis paaiement</t>
  </si>
  <si>
    <t>Oor</t>
  </si>
  <si>
    <t>MTN Selfone</t>
  </si>
  <si>
    <t>PPS</t>
  </si>
  <si>
    <t>Cheque Nedbank</t>
  </si>
  <si>
    <t>Huis versekering</t>
  </si>
  <si>
    <t>Deposito vir Shabach</t>
  </si>
  <si>
    <t xml:space="preserve">Medies </t>
  </si>
  <si>
    <t xml:space="preserve">PnP </t>
  </si>
  <si>
    <t>Makro</t>
  </si>
  <si>
    <t>Geld vir Psig</t>
  </si>
  <si>
    <t>Bonus 19522.69</t>
  </si>
  <si>
    <t>Geyser vervang</t>
  </si>
  <si>
    <t>Spar</t>
  </si>
  <si>
    <t xml:space="preserve"> Checkers</t>
  </si>
  <si>
    <t>Checkers</t>
  </si>
  <si>
    <t>Spectacle wharehouse Lifestyle Centurion</t>
  </si>
  <si>
    <t>Blizzard sub</t>
  </si>
  <si>
    <t>Ebucks</t>
  </si>
  <si>
    <t>Link  / Rekenaar / Golf</t>
  </si>
  <si>
    <t>HONDE</t>
  </si>
  <si>
    <t>Bronberrick Vleismark</t>
  </si>
  <si>
    <t>PnP Clothing</t>
  </si>
  <si>
    <t>WierdaPark Butchery</t>
  </si>
  <si>
    <t>Sea Harvest</t>
  </si>
  <si>
    <t>Muchachos</t>
  </si>
  <si>
    <t>Save More factory shop (Roomys en droëys winkel)</t>
  </si>
  <si>
    <t>Kauai</t>
  </si>
  <si>
    <t>Interest</t>
  </si>
  <si>
    <t>Mica</t>
  </si>
  <si>
    <t>SANC</t>
  </si>
  <si>
    <t>Kuier</t>
  </si>
  <si>
    <t>Lotto</t>
  </si>
  <si>
    <t>Salsa Mexican</t>
  </si>
  <si>
    <t>Panarottis</t>
  </si>
  <si>
    <t>Builders</t>
  </si>
  <si>
    <t>GAME /  / Chaimberlaines</t>
  </si>
  <si>
    <t>Placecol</t>
  </si>
  <si>
    <t>Uiteet</t>
  </si>
  <si>
    <t>23 On RiverSide</t>
  </si>
  <si>
    <t>Met begroting ingereken</t>
  </si>
  <si>
    <t>30% v inkomste</t>
  </si>
  <si>
    <t>Water, Elektrisiteit, Belasting, Sanitasie</t>
  </si>
  <si>
    <t>Skuld vir Connie</t>
  </si>
  <si>
    <t>Persoonlike Lening</t>
  </si>
  <si>
    <t>Maandlikse bedrag</t>
  </si>
  <si>
    <t>Oorspronklike bedrag</t>
  </si>
  <si>
    <t>TOTALE rente</t>
  </si>
  <si>
    <t>Totale Rente</t>
  </si>
  <si>
    <t>Ma Ria terug betaal</t>
  </si>
  <si>
    <t>Connie</t>
  </si>
  <si>
    <t>Ousie Maggie</t>
  </si>
  <si>
    <t>Lucas</t>
  </si>
  <si>
    <t>Maal 2</t>
  </si>
  <si>
    <t>weke</t>
  </si>
  <si>
    <t>REFFERENCE</t>
  </si>
  <si>
    <t>VODSZ798C3DG</t>
  </si>
  <si>
    <t>VODS6NWGD3DG</t>
  </si>
  <si>
    <t>VODSBDFMD3DG</t>
  </si>
  <si>
    <t>VODS9TYPD3DG</t>
  </si>
  <si>
    <t>VODS1D7RD3DG</t>
  </si>
  <si>
    <t>063 830 9746</t>
  </si>
  <si>
    <t>send to</t>
  </si>
  <si>
    <t>Cenique</t>
  </si>
  <si>
    <t>HEUNING</t>
  </si>
  <si>
    <t>Bronberrick Apteek</t>
  </si>
  <si>
    <t>Aloe Ferox</t>
  </si>
  <si>
    <t>Metro Lifestyle</t>
  </si>
  <si>
    <t>SA BAKING SUPPLIES</t>
  </si>
  <si>
    <t>VALUE CO (China winkel)</t>
  </si>
  <si>
    <t>Ackermans</t>
  </si>
  <si>
    <t>DEALZ</t>
  </si>
  <si>
    <t>LOVISA</t>
  </si>
  <si>
    <t>SALVAGE</t>
  </si>
  <si>
    <t>CUM Boeke</t>
  </si>
  <si>
    <t>700 PTA Boeremark baadjies</t>
  </si>
  <si>
    <t>MAANDLIKS</t>
  </si>
  <si>
    <t>UBER EATS</t>
  </si>
  <si>
    <t>UBER RIDES</t>
  </si>
  <si>
    <t>LAP EN MATERIAAL</t>
  </si>
  <si>
    <t>Airtime of Data</t>
  </si>
  <si>
    <t>Salaris</t>
  </si>
  <si>
    <t>Helpende Hand</t>
  </si>
  <si>
    <t xml:space="preserve">Nedbank petrol </t>
  </si>
  <si>
    <t>Credit Facility Svc</t>
  </si>
  <si>
    <t>GB Linkage</t>
  </si>
  <si>
    <t>Additional Card fee</t>
  </si>
  <si>
    <t>Maintenance Fee</t>
  </si>
  <si>
    <t>LooLoo Chews</t>
  </si>
  <si>
    <t>BabyBeads SA</t>
  </si>
  <si>
    <t>Mini Matters</t>
  </si>
  <si>
    <t>KRALETJIES - Otter en Kou</t>
  </si>
  <si>
    <t>GEMS (Martin)</t>
  </si>
  <si>
    <t>Lucas Tuin Jong</t>
  </si>
  <si>
    <t>Pa Dereck het geld geleen vir kredietkaartskuld</t>
  </si>
  <si>
    <t>Kos OORBETAAL VIR Lyssa</t>
  </si>
  <si>
    <t>OORBETAAL</t>
  </si>
  <si>
    <t>AC Schmidt</t>
  </si>
  <si>
    <t>Rocomamas</t>
  </si>
  <si>
    <t>HONDE Hoogland</t>
  </si>
  <si>
    <t>Elize babyshower</t>
  </si>
  <si>
    <t>Burger Bistro</t>
  </si>
  <si>
    <t>60k, maar 5k by Elyssa gelos</t>
  </si>
  <si>
    <t>Bernina (Somerset West)</t>
  </si>
  <si>
    <t>Thirsty Fox</t>
  </si>
  <si>
    <t>Pizza Perfect</t>
  </si>
  <si>
    <t>Jerry's Blouberg</t>
  </si>
  <si>
    <t>Cottage Vet Gordonsbaai</t>
  </si>
  <si>
    <t>Mambos Plastics Somersus</t>
  </si>
  <si>
    <t>YOCO Helderberg Firment</t>
  </si>
  <si>
    <t>Fabric Centre SomersetWes</t>
  </si>
  <si>
    <t>Tweefontein Padstal Worcester</t>
  </si>
  <si>
    <t>SOS POOLS</t>
  </si>
  <si>
    <t xml:space="preserve">Ousie </t>
  </si>
  <si>
    <t>Huisversekering</t>
  </si>
  <si>
    <t>Bedrag</t>
  </si>
  <si>
    <t>2,969.44</t>
  </si>
  <si>
    <t>2,737.37</t>
  </si>
  <si>
    <t>eBucks</t>
  </si>
  <si>
    <t>Ousie Wilmien</t>
  </si>
  <si>
    <t>MINIMUM NODIG IN TJEK</t>
  </si>
  <si>
    <t>Apteek / Medisyne</t>
  </si>
  <si>
    <t>Seatle Coffee Company</t>
  </si>
  <si>
    <t>SLG</t>
  </si>
  <si>
    <t>GAME /  / Chamberlaines</t>
  </si>
  <si>
    <t>ELYSSA BETALING</t>
  </si>
  <si>
    <t>Versekering excess</t>
  </si>
  <si>
    <t>Hanlie EIERS</t>
  </si>
  <si>
    <t>Nicis Accessories</t>
  </si>
  <si>
    <t>Three Aqua</t>
  </si>
  <si>
    <t>KOS</t>
  </si>
  <si>
    <t>YEAR</t>
  </si>
  <si>
    <t>SALARY</t>
  </si>
  <si>
    <t>KREDIETKAART SKULD EN RENTE</t>
  </si>
  <si>
    <t>Bedrag per maand</t>
  </si>
  <si>
    <t>Hoeveel</t>
  </si>
  <si>
    <t xml:space="preserve"> maande</t>
  </si>
  <si>
    <t>jare</t>
  </si>
  <si>
    <t>Verskuldig</t>
  </si>
  <si>
    <t>ELYSSA</t>
  </si>
  <si>
    <t>KREDIET KAART</t>
  </si>
  <si>
    <t>Hoelank</t>
  </si>
  <si>
    <t>Word automaties afgetrek</t>
  </si>
  <si>
    <t>Kos OORBETAAL</t>
  </si>
  <si>
    <t>Aanbevele</t>
  </si>
  <si>
    <t>Behuising 30%</t>
  </si>
  <si>
    <t>Kos 15%</t>
  </si>
  <si>
    <t>Spaar 15%</t>
  </si>
  <si>
    <t>Versekering 10 - 20%</t>
  </si>
  <si>
    <t>Vervoer 10%</t>
  </si>
  <si>
    <t>Rekeninge 5%</t>
  </si>
  <si>
    <t>REALITEIT</t>
  </si>
  <si>
    <t>Vermaak, klere en persoonlike uitgawes</t>
  </si>
  <si>
    <t>Persentasie</t>
  </si>
  <si>
    <t>HUIS PAAIEMENT</t>
  </si>
  <si>
    <t>MAANDLIKS HUISPRYS OPGEGAAN</t>
  </si>
  <si>
    <t>Permaand</t>
  </si>
  <si>
    <t>Ekstras</t>
  </si>
  <si>
    <t>SPAAR</t>
  </si>
  <si>
    <t>Auryn</t>
  </si>
  <si>
    <t xml:space="preserve"> Belegging</t>
  </si>
  <si>
    <t>Apollo het al die bonus gekos</t>
  </si>
  <si>
    <t>Maandlikse salaris (Inkomste)</t>
  </si>
  <si>
    <t>ELYSSA - KOS</t>
  </si>
  <si>
    <t>Kos OORBETAAL - EERDER DIREK AAN ELYSSA</t>
  </si>
  <si>
    <t>Afriforum &amp; Solidariteit, boufonds</t>
  </si>
  <si>
    <t>Elyssa het haar backpay gekry. Krediet en tjekkaart weer nul</t>
  </si>
  <si>
    <t>Saphire Company Knowledge</t>
  </si>
  <si>
    <t>Things I know how to do</t>
  </si>
  <si>
    <t>Things I know I don't know (Business)</t>
  </si>
  <si>
    <t>Things I don't know I don't know - you don't know you don't know, so you are not looking for them</t>
  </si>
  <si>
    <t>Oorspronklik</t>
  </si>
  <si>
    <t>Groot val met COVID</t>
  </si>
  <si>
    <t>Ousie Maria</t>
  </si>
  <si>
    <t>Checkkaart en bankkoste</t>
  </si>
  <si>
    <t>Mrt</t>
  </si>
  <si>
    <t>SHARES ZERO ACCOUNT</t>
  </si>
  <si>
    <t xml:space="preserve">3 May 2023 </t>
  </si>
  <si>
    <t>BUY 40 OMU @ 11.56 - ORDER# 1</t>
  </si>
  <si>
    <t>BUY 10 GLN @ 103.40 - ORDER# 2</t>
  </si>
  <si>
    <t>BUY 29 APETNC @ 14.88 - ORDER# 3</t>
  </si>
  <si>
    <t>BUY 40 SRETNQ @ 9.38 - ORDER# 4</t>
  </si>
  <si>
    <t>Percentages</t>
  </si>
  <si>
    <t>Geld in betaal</t>
  </si>
  <si>
    <t>Koste van aandele</t>
  </si>
  <si>
    <t>my rek</t>
  </si>
  <si>
    <t>Belegging uitbetaling</t>
  </si>
  <si>
    <t>69k</t>
  </si>
  <si>
    <t>Skuld</t>
  </si>
  <si>
    <t>20k</t>
  </si>
  <si>
    <t>Vakansie</t>
  </si>
  <si>
    <t>10k</t>
  </si>
  <si>
    <t>NODIGE UITGAWES</t>
  </si>
  <si>
    <t>Nuwe slot vir garage</t>
  </si>
  <si>
    <t>Nog sekuritetis beam</t>
  </si>
  <si>
    <t>Hek motor herstel</t>
  </si>
  <si>
    <t>Hek motor solar</t>
  </si>
  <si>
    <t>Lang termyn</t>
  </si>
  <si>
    <t>Moet 6k hou vir kar regmaak (koppelaar)</t>
  </si>
  <si>
    <t>9k</t>
  </si>
  <si>
    <t>Bêre vir die volgende lendevrug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</si>
</sst>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&quot;#,##0;[Red]\-&quot;R&quot;#,##0"/>
    <numFmt numFmtId="164" formatCode="[$ZAR]\ #,##0.00"/>
    <numFmt numFmtId="165" formatCode="[$R-1C09]#,##0.00"/>
  </numFmts>
  <fonts count="5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FA7D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8"/>
      <color rgb="FF000000"/>
      <name val="F_regular"/>
    </font>
    <font>
      <b/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12"/>
      <color theme="0"/>
      <name val="Arial"/>
      <family val="2"/>
    </font>
    <font>
      <b/>
      <sz val="10"/>
      <color rgb="FFAA2930"/>
      <name val="Century Gothic"/>
      <family val="2"/>
    </font>
    <font>
      <b/>
      <sz val="20"/>
      <color theme="1"/>
      <name val="Calibri"/>
      <family val="2"/>
      <scheme val="minor"/>
    </font>
    <font>
      <sz val="10"/>
      <color rgb="FF000000"/>
      <name val="Inherit"/>
    </font>
    <font>
      <sz val="1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4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rgb="FFD8E8DE"/>
      </left>
      <right style="thick">
        <color rgb="FFD8E8DE"/>
      </right>
      <top style="thick">
        <color rgb="FFD8E8DE"/>
      </top>
      <bottom style="thick">
        <color rgb="FFD8E8DE"/>
      </bottom>
      <diagonal/>
    </border>
    <border>
      <left style="thick">
        <color rgb="FFD8E8DE"/>
      </left>
      <right style="thick">
        <color rgb="FFD8E8DE"/>
      </right>
      <top style="thick">
        <color rgb="FFD8E8DE"/>
      </top>
      <bottom/>
      <diagonal/>
    </border>
    <border>
      <left style="thick">
        <color rgb="FFD8E8DE"/>
      </left>
      <right style="thick">
        <color rgb="FFD8E8DE"/>
      </right>
      <top/>
      <bottom style="thick">
        <color rgb="FFD8E8D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B2B2B2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indexed="64"/>
      </right>
      <top style="thin">
        <color rgb="FF7F7F7F"/>
      </top>
      <bottom/>
      <diagonal/>
    </border>
    <border>
      <left style="double">
        <color rgb="FF3F3F3F"/>
      </left>
      <right/>
      <top/>
      <bottom/>
      <diagonal/>
    </border>
    <border>
      <left/>
      <right/>
      <top/>
      <bottom style="thin">
        <color rgb="FFB2B2B2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6" fillId="0" borderId="2" applyNumberFormat="0" applyFill="0" applyAlignment="0" applyProtection="0"/>
    <xf numFmtId="0" fontId="7" fillId="7" borderId="3" applyNumberFormat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2" fillId="11" borderId="38" applyNumberFormat="0" applyFont="0" applyAlignment="0" applyProtection="0"/>
    <xf numFmtId="0" fontId="12" fillId="12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</cellStyleXfs>
  <cellXfs count="359">
    <xf numFmtId="0" fontId="0" fillId="0" borderId="0" xfId="0"/>
    <xf numFmtId="0" fontId="1" fillId="2" borderId="14" xfId="1" applyBorder="1"/>
    <xf numFmtId="0" fontId="3" fillId="4" borderId="15" xfId="3" applyBorder="1"/>
    <xf numFmtId="0" fontId="3" fillId="4" borderId="16" xfId="3" applyBorder="1"/>
    <xf numFmtId="0" fontId="2" fillId="3" borderId="10" xfId="2" applyBorder="1"/>
    <xf numFmtId="0" fontId="2" fillId="3" borderId="16" xfId="2" applyBorder="1"/>
    <xf numFmtId="0" fontId="1" fillId="2" borderId="17" xfId="1" applyBorder="1"/>
    <xf numFmtId="0" fontId="1" fillId="2" borderId="15" xfId="1" applyBorder="1"/>
    <xf numFmtId="0" fontId="1" fillId="2" borderId="0" xfId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3" fillId="4" borderId="0" xfId="3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1" applyBorder="1"/>
    <xf numFmtId="0" fontId="3" fillId="4" borderId="0" xfId="3"/>
    <xf numFmtId="0" fontId="6" fillId="0" borderId="0" xfId="6" applyBorder="1"/>
    <xf numFmtId="0" fontId="9" fillId="0" borderId="20" xfId="0" applyFont="1" applyBorder="1"/>
    <xf numFmtId="0" fontId="9" fillId="0" borderId="21" xfId="0" applyFont="1" applyBorder="1"/>
    <xf numFmtId="0" fontId="5" fillId="6" borderId="1" xfId="5"/>
    <xf numFmtId="0" fontId="3" fillId="4" borderId="4" xfId="3" applyBorder="1"/>
    <xf numFmtId="0" fontId="2" fillId="3" borderId="7" xfId="2" applyBorder="1"/>
    <xf numFmtId="0" fontId="1" fillId="2" borderId="6" xfId="1" applyBorder="1"/>
    <xf numFmtId="0" fontId="1" fillId="2" borderId="0" xfId="1"/>
    <xf numFmtId="0" fontId="2" fillId="3" borderId="4" xfId="2" applyBorder="1"/>
    <xf numFmtId="0" fontId="0" fillId="0" borderId="0" xfId="0" applyAlignment="1">
      <alignment horizontal="center"/>
    </xf>
    <xf numFmtId="0" fontId="1" fillId="2" borderId="4" xfId="1" applyBorder="1"/>
    <xf numFmtId="0" fontId="4" fillId="5" borderId="4" xfId="4" applyBorder="1"/>
    <xf numFmtId="0" fontId="7" fillId="7" borderId="4" xfId="7" applyBorder="1"/>
    <xf numFmtId="0" fontId="2" fillId="3" borderId="4" xfId="2" applyBorder="1" applyAlignment="1">
      <alignment horizontal="center"/>
    </xf>
    <xf numFmtId="4" fontId="5" fillId="6" borderId="1" xfId="5" applyNumberFormat="1"/>
    <xf numFmtId="4" fontId="1" fillId="2" borderId="14" xfId="1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4" fontId="10" fillId="0" borderId="0" xfId="0" applyNumberFormat="1" applyFont="1"/>
    <xf numFmtId="0" fontId="2" fillId="3" borderId="0" xfId="2"/>
    <xf numFmtId="0" fontId="11" fillId="0" borderId="27" xfId="0" applyFont="1" applyBorder="1"/>
    <xf numFmtId="0" fontId="11" fillId="0" borderId="0" xfId="0" applyFont="1"/>
    <xf numFmtId="0" fontId="10" fillId="0" borderId="0" xfId="0" applyFont="1"/>
    <xf numFmtId="4" fontId="0" fillId="0" borderId="0" xfId="0" applyNumberFormat="1"/>
    <xf numFmtId="0" fontId="15" fillId="0" borderId="0" xfId="0" applyFont="1"/>
    <xf numFmtId="0" fontId="16" fillId="2" borderId="17" xfId="1" applyFont="1" applyBorder="1"/>
    <xf numFmtId="0" fontId="15" fillId="0" borderId="0" xfId="0" applyFont="1" applyAlignment="1">
      <alignment horizontal="center"/>
    </xf>
    <xf numFmtId="0" fontId="17" fillId="3" borderId="4" xfId="2" applyFont="1" applyBorder="1" applyAlignment="1">
      <alignment horizontal="center"/>
    </xf>
    <xf numFmtId="0" fontId="16" fillId="2" borderId="4" xfId="1" applyFont="1" applyBorder="1"/>
    <xf numFmtId="0" fontId="18" fillId="4" borderId="4" xfId="3" applyFont="1" applyBorder="1"/>
    <xf numFmtId="0" fontId="17" fillId="3" borderId="4" xfId="2" applyFont="1" applyBorder="1"/>
    <xf numFmtId="0" fontId="18" fillId="4" borderId="16" xfId="3" applyFont="1" applyBorder="1"/>
    <xf numFmtId="0" fontId="19" fillId="7" borderId="3" xfId="7" applyFont="1"/>
    <xf numFmtId="0" fontId="20" fillId="5" borderId="4" xfId="4" applyFont="1" applyBorder="1"/>
    <xf numFmtId="0" fontId="18" fillId="4" borderId="0" xfId="3" applyFont="1" applyAlignment="1">
      <alignment horizontal="center"/>
    </xf>
    <xf numFmtId="0" fontId="19" fillId="7" borderId="4" xfId="7" applyFont="1" applyBorder="1"/>
    <xf numFmtId="0" fontId="16" fillId="2" borderId="14" xfId="1" applyFont="1" applyBorder="1"/>
    <xf numFmtId="4" fontId="16" fillId="2" borderId="14" xfId="1" applyNumberFormat="1" applyFont="1" applyBorder="1"/>
    <xf numFmtId="0" fontId="18" fillId="4" borderId="0" xfId="3" applyFont="1"/>
    <xf numFmtId="0" fontId="17" fillId="3" borderId="16" xfId="2" applyFont="1" applyBorder="1"/>
    <xf numFmtId="0" fontId="15" fillId="8" borderId="1" xfId="8" applyFont="1" applyBorder="1"/>
    <xf numFmtId="4" fontId="15" fillId="8" borderId="1" xfId="8" applyNumberFormat="1" applyFont="1" applyBorder="1"/>
    <xf numFmtId="3" fontId="15" fillId="8" borderId="1" xfId="8" applyNumberFormat="1" applyFont="1" applyBorder="1"/>
    <xf numFmtId="0" fontId="15" fillId="8" borderId="0" xfId="8" applyFont="1" applyAlignment="1">
      <alignment horizontal="left"/>
    </xf>
    <xf numFmtId="0" fontId="16" fillId="2" borderId="0" xfId="1" applyFont="1" applyAlignment="1">
      <alignment horizontal="center"/>
    </xf>
    <xf numFmtId="0" fontId="15" fillId="0" borderId="24" xfId="0" applyFont="1" applyBorder="1"/>
    <xf numFmtId="0" fontId="15" fillId="0" borderId="25" xfId="0" applyFont="1" applyBorder="1"/>
    <xf numFmtId="9" fontId="15" fillId="0" borderId="0" xfId="0" applyNumberFormat="1" applyFont="1"/>
    <xf numFmtId="0" fontId="17" fillId="3" borderId="0" xfId="2" applyFont="1"/>
    <xf numFmtId="4" fontId="21" fillId="0" borderId="0" xfId="0" applyNumberFormat="1" applyFont="1"/>
    <xf numFmtId="0" fontId="22" fillId="9" borderId="34" xfId="9" applyFont="1" applyBorder="1" applyAlignment="1">
      <alignment horizontal="left"/>
    </xf>
    <xf numFmtId="0" fontId="23" fillId="0" borderId="0" xfId="0" quotePrefix="1" applyFont="1" applyAlignment="1">
      <alignment wrapText="1"/>
    </xf>
    <xf numFmtId="0" fontId="15" fillId="0" borderId="26" xfId="0" applyFont="1" applyBorder="1"/>
    <xf numFmtId="0" fontId="15" fillId="0" borderId="27" xfId="0" applyFont="1" applyBorder="1"/>
    <xf numFmtId="0" fontId="23" fillId="0" borderId="27" xfId="0" applyFont="1" applyBorder="1"/>
    <xf numFmtId="0" fontId="16" fillId="2" borderId="27" xfId="1" applyFont="1" applyBorder="1"/>
    <xf numFmtId="0" fontId="17" fillId="3" borderId="10" xfId="2" applyFont="1" applyBorder="1"/>
    <xf numFmtId="0" fontId="16" fillId="2" borderId="11" xfId="1" applyFont="1" applyBorder="1"/>
    <xf numFmtId="0" fontId="15" fillId="0" borderId="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6" fillId="2" borderId="0" xfId="1" applyFont="1" applyAlignment="1">
      <alignment horizontal="center" vertical="center"/>
    </xf>
    <xf numFmtId="0" fontId="16" fillId="2" borderId="8" xfId="1" applyFont="1" applyBorder="1" applyAlignment="1">
      <alignment horizontal="center" vertical="center"/>
    </xf>
    <xf numFmtId="0" fontId="16" fillId="2" borderId="15" xfId="1" applyFont="1" applyBorder="1"/>
    <xf numFmtId="0" fontId="18" fillId="4" borderId="15" xfId="3" applyFont="1" applyBorder="1"/>
    <xf numFmtId="0" fontId="21" fillId="0" borderId="0" xfId="0" applyFont="1"/>
    <xf numFmtId="0" fontId="16" fillId="2" borderId="0" xfId="1" applyFont="1"/>
    <xf numFmtId="0" fontId="17" fillId="3" borderId="0" xfId="2" applyFont="1" applyAlignment="1">
      <alignment horizontal="center"/>
    </xf>
    <xf numFmtId="0" fontId="24" fillId="0" borderId="0" xfId="6" applyFont="1" applyBorder="1"/>
    <xf numFmtId="0" fontId="25" fillId="0" borderId="20" xfId="0" applyFont="1" applyBorder="1"/>
    <xf numFmtId="0" fontId="25" fillId="0" borderId="21" xfId="0" applyFont="1" applyBorder="1"/>
    <xf numFmtId="0" fontId="16" fillId="2" borderId="6" xfId="1" applyFont="1" applyBorder="1"/>
    <xf numFmtId="0" fontId="17" fillId="3" borderId="7" xfId="2" applyFont="1" applyBorder="1"/>
    <xf numFmtId="4" fontId="26" fillId="6" borderId="1" xfId="5" applyNumberFormat="1" applyFont="1"/>
    <xf numFmtId="0" fontId="26" fillId="6" borderId="1" xfId="5" applyFont="1"/>
    <xf numFmtId="0" fontId="20" fillId="5" borderId="1" xfId="4" applyFont="1"/>
    <xf numFmtId="0" fontId="27" fillId="4" borderId="17" xfId="3" applyFont="1" applyBorder="1"/>
    <xf numFmtId="0" fontId="16" fillId="2" borderId="23" xfId="1" applyFont="1" applyBorder="1"/>
    <xf numFmtId="0" fontId="16" fillId="2" borderId="16" xfId="1" applyFont="1" applyBorder="1"/>
    <xf numFmtId="0" fontId="17" fillId="3" borderId="22" xfId="2" applyFont="1" applyBorder="1"/>
    <xf numFmtId="0" fontId="26" fillId="6" borderId="19" xfId="5" applyFont="1" applyBorder="1"/>
    <xf numFmtId="0" fontId="26" fillId="6" borderId="33" xfId="5" applyFont="1" applyBorder="1"/>
    <xf numFmtId="0" fontId="28" fillId="0" borderId="0" xfId="0" applyFont="1"/>
    <xf numFmtId="20" fontId="29" fillId="4" borderId="0" xfId="3" applyNumberFormat="1" applyFont="1"/>
    <xf numFmtId="0" fontId="30" fillId="7" borderId="3" xfId="7" applyFont="1"/>
    <xf numFmtId="0" fontId="31" fillId="2" borderId="0" xfId="1" applyFont="1"/>
    <xf numFmtId="0" fontId="32" fillId="6" borderId="1" xfId="5" applyFont="1"/>
    <xf numFmtId="0" fontId="11" fillId="10" borderId="35" xfId="0" applyFont="1" applyFill="1" applyBorder="1" applyAlignment="1">
      <alignment vertical="center" wrapText="1"/>
    </xf>
    <xf numFmtId="0" fontId="11" fillId="10" borderId="35" xfId="0" applyFont="1" applyFill="1" applyBorder="1" applyAlignment="1">
      <alignment horizontal="right" vertical="center" wrapText="1"/>
    </xf>
    <xf numFmtId="0" fontId="0" fillId="10" borderId="36" xfId="0" applyFill="1" applyBorder="1" applyAlignment="1">
      <alignment vertical="center" wrapText="1"/>
    </xf>
    <xf numFmtId="0" fontId="11" fillId="10" borderId="37" xfId="0" applyFont="1" applyFill="1" applyBorder="1" applyAlignment="1">
      <alignment vertical="center" wrapText="1"/>
    </xf>
    <xf numFmtId="0" fontId="3" fillId="4" borderId="4" xfId="3" applyBorder="1" applyAlignment="1">
      <alignment horizontal="center"/>
    </xf>
    <xf numFmtId="0" fontId="0" fillId="0" borderId="0" xfId="0" quotePrefix="1"/>
    <xf numFmtId="0" fontId="0" fillId="11" borderId="38" xfId="10" applyFont="1"/>
    <xf numFmtId="0" fontId="6" fillId="0" borderId="2" xfId="6"/>
    <xf numFmtId="0" fontId="3" fillId="4" borderId="24" xfId="3" applyBorder="1"/>
    <xf numFmtId="0" fontId="7" fillId="7" borderId="3" xfId="7"/>
    <xf numFmtId="0" fontId="1" fillId="2" borderId="4" xfId="1" applyBorder="1" applyAlignment="1">
      <alignment horizontal="center"/>
    </xf>
    <xf numFmtId="0" fontId="15" fillId="11" borderId="41" xfId="10" applyFont="1" applyBorder="1"/>
    <xf numFmtId="0" fontId="5" fillId="6" borderId="42" xfId="5" applyBorder="1"/>
    <xf numFmtId="0" fontId="15" fillId="11" borderId="38" xfId="10" applyFont="1"/>
    <xf numFmtId="0" fontId="4" fillId="5" borderId="1" xfId="4"/>
    <xf numFmtId="0" fontId="1" fillId="2" borderId="10" xfId="1" applyBorder="1"/>
    <xf numFmtId="9" fontId="0" fillId="0" borderId="0" xfId="0" applyNumberFormat="1"/>
    <xf numFmtId="6" fontId="0" fillId="0" borderId="0" xfId="0" applyNumberFormat="1"/>
    <xf numFmtId="0" fontId="17" fillId="3" borderId="43" xfId="2" applyFont="1" applyBorder="1"/>
    <xf numFmtId="0" fontId="17" fillId="3" borderId="44" xfId="2" applyFont="1" applyBorder="1"/>
    <xf numFmtId="0" fontId="17" fillId="3" borderId="45" xfId="2" applyFont="1" applyBorder="1"/>
    <xf numFmtId="4" fontId="17" fillId="3" borderId="44" xfId="2" applyNumberFormat="1" applyFont="1" applyBorder="1"/>
    <xf numFmtId="4" fontId="15" fillId="0" borderId="0" xfId="0" applyNumberFormat="1" applyFont="1"/>
    <xf numFmtId="0" fontId="2" fillId="3" borderId="17" xfId="2" applyBorder="1"/>
    <xf numFmtId="0" fontId="13" fillId="9" borderId="0" xfId="9" applyAlignment="1">
      <alignment horizontal="center" vertical="center"/>
    </xf>
    <xf numFmtId="0" fontId="13" fillId="9" borderId="0" xfId="9"/>
    <xf numFmtId="0" fontId="12" fillId="12" borderId="0" xfId="11"/>
    <xf numFmtId="0" fontId="12" fillId="12" borderId="15" xfId="11" applyBorder="1"/>
    <xf numFmtId="0" fontId="0" fillId="12" borderId="0" xfId="11" applyFont="1" applyAlignment="1">
      <alignment horizontal="center"/>
    </xf>
    <xf numFmtId="0" fontId="8" fillId="0" borderId="12" xfId="0" applyFont="1" applyBorder="1"/>
    <xf numFmtId="0" fontId="14" fillId="0" borderId="12" xfId="0" applyFont="1" applyBorder="1"/>
    <xf numFmtId="0" fontId="33" fillId="3" borderId="43" xfId="2" applyFont="1" applyBorder="1"/>
    <xf numFmtId="0" fontId="33" fillId="3" borderId="44" xfId="2" applyFont="1" applyBorder="1"/>
    <xf numFmtId="4" fontId="33" fillId="3" borderId="44" xfId="2" applyNumberFormat="1" applyFont="1" applyBorder="1"/>
    <xf numFmtId="0" fontId="33" fillId="3" borderId="45" xfId="2" applyFont="1" applyBorder="1"/>
    <xf numFmtId="4" fontId="25" fillId="0" borderId="21" xfId="0" applyNumberFormat="1" applyFont="1" applyBorder="1"/>
    <xf numFmtId="0" fontId="2" fillId="3" borderId="51" xfId="2" applyBorder="1"/>
    <xf numFmtId="0" fontId="2" fillId="3" borderId="1" xfId="2" applyBorder="1"/>
    <xf numFmtId="4" fontId="34" fillId="0" borderId="0" xfId="0" applyNumberFormat="1" applyFont="1"/>
    <xf numFmtId="0" fontId="15" fillId="0" borderId="13" xfId="0" applyFont="1" applyBorder="1"/>
    <xf numFmtId="0" fontId="16" fillId="2" borderId="0" xfId="1" applyFont="1" applyBorder="1" applyAlignment="1">
      <alignment horizontal="center"/>
    </xf>
    <xf numFmtId="0" fontId="18" fillId="4" borderId="0" xfId="3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5" fillId="0" borderId="0" xfId="6" applyFont="1" applyBorder="1"/>
    <xf numFmtId="0" fontId="36" fillId="0" borderId="20" xfId="0" applyFont="1" applyBorder="1"/>
    <xf numFmtId="4" fontId="36" fillId="0" borderId="21" xfId="0" applyNumberFormat="1" applyFont="1" applyBorder="1"/>
    <xf numFmtId="0" fontId="1" fillId="2" borderId="0" xfId="1" applyBorder="1"/>
    <xf numFmtId="0" fontId="18" fillId="4" borderId="0" xfId="3" applyFont="1" applyBorder="1"/>
    <xf numFmtId="0" fontId="17" fillId="3" borderId="0" xfId="2" applyFont="1" applyBorder="1" applyAlignment="1">
      <alignment horizontal="center"/>
    </xf>
    <xf numFmtId="0" fontId="17" fillId="3" borderId="0" xfId="2" applyFont="1" applyBorder="1"/>
    <xf numFmtId="0" fontId="0" fillId="12" borderId="0" xfId="11" applyFont="1" applyBorder="1" applyAlignment="1">
      <alignment horizontal="center"/>
    </xf>
    <xf numFmtId="4" fontId="19" fillId="7" borderId="4" xfId="7" applyNumberFormat="1" applyFont="1" applyBorder="1"/>
    <xf numFmtId="0" fontId="1" fillId="2" borderId="0" xfId="1" quotePrefix="1"/>
    <xf numFmtId="0" fontId="3" fillId="4" borderId="5" xfId="3" applyBorder="1"/>
    <xf numFmtId="0" fontId="19" fillId="7" borderId="5" xfId="7" applyFont="1" applyBorder="1"/>
    <xf numFmtId="0" fontId="0" fillId="11" borderId="54" xfId="10" applyFont="1" applyBorder="1"/>
    <xf numFmtId="0" fontId="5" fillId="6" borderId="4" xfId="5" applyBorder="1"/>
    <xf numFmtId="0" fontId="37" fillId="0" borderId="0" xfId="0" applyFont="1"/>
    <xf numFmtId="0" fontId="8" fillId="0" borderId="55" xfId="0" applyFont="1" applyBorder="1"/>
    <xf numFmtId="0" fontId="38" fillId="0" borderId="55" xfId="0" applyFont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164" fontId="41" fillId="0" borderId="0" xfId="0" applyNumberFormat="1" applyFont="1" applyAlignment="1">
      <alignment vertical="center" wrapText="1"/>
    </xf>
    <xf numFmtId="165" fontId="0" fillId="0" borderId="0" xfId="0" applyNumberFormat="1"/>
    <xf numFmtId="165" fontId="41" fillId="0" borderId="0" xfId="0" applyNumberFormat="1" applyFont="1" applyAlignment="1">
      <alignment vertical="center" wrapText="1"/>
    </xf>
    <xf numFmtId="0" fontId="13" fillId="13" borderId="0" xfId="0" applyFont="1" applyFill="1"/>
    <xf numFmtId="0" fontId="13" fillId="13" borderId="13" xfId="0" applyFont="1" applyFill="1" applyBorder="1"/>
    <xf numFmtId="0" fontId="1" fillId="13" borderId="0" xfId="1" applyFill="1"/>
    <xf numFmtId="0" fontId="8" fillId="0" borderId="0" xfId="0" applyFont="1"/>
    <xf numFmtId="0" fontId="8" fillId="0" borderId="33" xfId="0" applyFont="1" applyBorder="1"/>
    <xf numFmtId="165" fontId="8" fillId="0" borderId="33" xfId="0" applyNumberFormat="1" applyFont="1" applyBorder="1"/>
    <xf numFmtId="0" fontId="42" fillId="0" borderId="33" xfId="0" applyFont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3" fontId="0" fillId="0" borderId="56" xfId="0" applyNumberFormat="1" applyBorder="1" applyAlignment="1">
      <alignment vertical="center" wrapText="1"/>
    </xf>
    <xf numFmtId="0" fontId="43" fillId="0" borderId="0" xfId="0" applyFont="1"/>
    <xf numFmtId="0" fontId="16" fillId="11" borderId="38" xfId="10" applyFont="1" applyAlignment="1">
      <alignment horizontal="center"/>
    </xf>
    <xf numFmtId="0" fontId="13" fillId="14" borderId="0" xfId="12"/>
    <xf numFmtId="4" fontId="44" fillId="13" borderId="0" xfId="0" applyNumberFormat="1" applyFont="1" applyFill="1"/>
    <xf numFmtId="14" fontId="0" fillId="0" borderId="0" xfId="0" applyNumberFormat="1"/>
    <xf numFmtId="0" fontId="13" fillId="15" borderId="0" xfId="13"/>
    <xf numFmtId="0" fontId="13" fillId="16" borderId="0" xfId="14"/>
    <xf numFmtId="0" fontId="13" fillId="16" borderId="38" xfId="14" applyBorder="1"/>
    <xf numFmtId="0" fontId="13" fillId="17" borderId="0" xfId="15"/>
    <xf numFmtId="0" fontId="13" fillId="17" borderId="0" xfId="15" applyAlignment="1">
      <alignment horizontal="center"/>
    </xf>
    <xf numFmtId="0" fontId="13" fillId="17" borderId="15" xfId="15" applyBorder="1"/>
    <xf numFmtId="0" fontId="13" fillId="16" borderId="0" xfId="14" applyAlignment="1">
      <alignment horizontal="center"/>
    </xf>
    <xf numFmtId="0" fontId="13" fillId="16" borderId="15" xfId="14" applyBorder="1"/>
    <xf numFmtId="0" fontId="13" fillId="15" borderId="0" xfId="13" applyAlignment="1">
      <alignment horizontal="center"/>
    </xf>
    <xf numFmtId="0" fontId="13" fillId="15" borderId="15" xfId="13" applyBorder="1"/>
    <xf numFmtId="0" fontId="0" fillId="0" borderId="60" xfId="0" applyBorder="1"/>
    <xf numFmtId="0" fontId="0" fillId="0" borderId="18" xfId="0" applyBorder="1"/>
    <xf numFmtId="0" fontId="0" fillId="0" borderId="61" xfId="0" applyBorder="1"/>
    <xf numFmtId="0" fontId="1" fillId="2" borderId="0" xfId="1" applyBorder="1" applyAlignment="1"/>
    <xf numFmtId="0" fontId="12" fillId="18" borderId="0" xfId="16" applyAlignment="1">
      <alignment horizontal="center"/>
    </xf>
    <xf numFmtId="0" fontId="12" fillId="18" borderId="0" xfId="16"/>
    <xf numFmtId="0" fontId="1" fillId="2" borderId="0" xfId="1" applyBorder="1" applyAlignment="1">
      <alignment horizontal="center"/>
    </xf>
    <xf numFmtId="0" fontId="1" fillId="2" borderId="0" xfId="1" applyBorder="1" applyAlignment="1">
      <alignment horizontal="right"/>
    </xf>
    <xf numFmtId="0" fontId="16" fillId="2" borderId="25" xfId="1" applyFont="1" applyBorder="1" applyAlignment="1">
      <alignment horizontal="center"/>
    </xf>
    <xf numFmtId="0" fontId="1" fillId="2" borderId="25" xfId="1" applyBorder="1" applyAlignment="1">
      <alignment horizontal="center"/>
    </xf>
    <xf numFmtId="0" fontId="1" fillId="2" borderId="0" xfId="1" applyBorder="1" applyAlignment="1">
      <alignment horizontal="left"/>
    </xf>
    <xf numFmtId="0" fontId="16" fillId="2" borderId="0" xfId="1" applyFont="1" applyBorder="1" applyAlignment="1">
      <alignment horizontal="right"/>
    </xf>
    <xf numFmtId="0" fontId="3" fillId="4" borderId="0" xfId="3" applyBorder="1" applyAlignment="1">
      <alignment horizontal="right"/>
    </xf>
    <xf numFmtId="0" fontId="5" fillId="6" borderId="1" xfId="5" applyAlignment="1">
      <alignment horizontal="center"/>
    </xf>
    <xf numFmtId="0" fontId="5" fillId="6" borderId="0" xfId="5" applyBorder="1" applyAlignment="1">
      <alignment horizontal="right"/>
    </xf>
    <xf numFmtId="0" fontId="1" fillId="2" borderId="25" xfId="1" applyBorder="1" applyAlignment="1">
      <alignment horizontal="left"/>
    </xf>
    <xf numFmtId="0" fontId="1" fillId="2" borderId="0" xfId="1" applyAlignment="1">
      <alignment horizontal="right"/>
    </xf>
    <xf numFmtId="0" fontId="1" fillId="2" borderId="8" xfId="1" applyBorder="1" applyAlignment="1">
      <alignment horizontal="right"/>
    </xf>
    <xf numFmtId="0" fontId="3" fillId="4" borderId="18" xfId="3" applyBorder="1"/>
    <xf numFmtId="0" fontId="45" fillId="0" borderId="0" xfId="0" applyFont="1"/>
    <xf numFmtId="0" fontId="12" fillId="18" borderId="63" xfId="16" applyBorder="1"/>
    <xf numFmtId="0" fontId="12" fillId="20" borderId="0" xfId="18"/>
    <xf numFmtId="0" fontId="12" fillId="19" borderId="0" xfId="17"/>
    <xf numFmtId="0" fontId="3" fillId="4" borderId="0" xfId="3" applyBorder="1" applyAlignment="1">
      <alignment horizontal="center"/>
    </xf>
    <xf numFmtId="0" fontId="3" fillId="4" borderId="62" xfId="3" applyBorder="1" applyAlignment="1">
      <alignment horizontal="center"/>
    </xf>
    <xf numFmtId="14" fontId="0" fillId="11" borderId="38" xfId="10" applyNumberFormat="1" applyFont="1"/>
    <xf numFmtId="0" fontId="12" fillId="21" borderId="0" xfId="19" applyAlignment="1">
      <alignment vertical="center"/>
    </xf>
    <xf numFmtId="0" fontId="12" fillId="21" borderId="0" xfId="19"/>
    <xf numFmtId="0" fontId="13" fillId="15" borderId="0" xfId="13" applyBorder="1"/>
    <xf numFmtId="0" fontId="7" fillId="7" borderId="3" xfId="7" applyAlignment="1">
      <alignment horizontal="center"/>
    </xf>
    <xf numFmtId="0" fontId="43" fillId="22" borderId="0" xfId="13" applyFont="1" applyFill="1" applyBorder="1"/>
    <xf numFmtId="0" fontId="43" fillId="22" borderId="0" xfId="13" applyFont="1" applyFill="1"/>
    <xf numFmtId="0" fontId="43" fillId="22" borderId="0" xfId="13" applyFont="1" applyFill="1" applyAlignment="1">
      <alignment horizontal="center"/>
    </xf>
    <xf numFmtId="0" fontId="43" fillId="22" borderId="10" xfId="13" applyFont="1" applyFill="1" applyBorder="1"/>
    <xf numFmtId="0" fontId="0" fillId="0" borderId="69" xfId="0" applyBorder="1"/>
    <xf numFmtId="0" fontId="1" fillId="11" borderId="0" xfId="10" applyFont="1" applyBorder="1" applyAlignment="1">
      <alignment horizontal="center"/>
    </xf>
    <xf numFmtId="0" fontId="1" fillId="11" borderId="0" xfId="10" applyFont="1" applyBorder="1" applyAlignment="1">
      <alignment horizontal="right"/>
    </xf>
    <xf numFmtId="0" fontId="2" fillId="3" borderId="0" xfId="2" applyBorder="1" applyAlignment="1">
      <alignment horizontal="right"/>
    </xf>
    <xf numFmtId="0" fontId="47" fillId="0" borderId="0" xfId="0" applyFont="1" applyAlignment="1">
      <alignment horizontal="right" vertical="center" wrapText="1"/>
    </xf>
    <xf numFmtId="0" fontId="2" fillId="3" borderId="0" xfId="2" applyBorder="1" applyAlignment="1">
      <alignment horizontal="center"/>
    </xf>
    <xf numFmtId="0" fontId="2" fillId="3" borderId="25" xfId="2" applyBorder="1" applyAlignment="1">
      <alignment horizontal="center"/>
    </xf>
    <xf numFmtId="17" fontId="0" fillId="0" borderId="0" xfId="0" applyNumberFormat="1"/>
    <xf numFmtId="0" fontId="0" fillId="23" borderId="0" xfId="0" applyFill="1"/>
    <xf numFmtId="0" fontId="43" fillId="22" borderId="0" xfId="0" applyFont="1" applyFill="1"/>
    <xf numFmtId="0" fontId="5" fillId="0" borderId="0" xfId="6" applyFont="1" applyBorder="1"/>
    <xf numFmtId="0" fontId="49" fillId="0" borderId="20" xfId="0" applyFont="1" applyBorder="1"/>
    <xf numFmtId="0" fontId="50" fillId="24" borderId="0" xfId="0" applyFont="1" applyFill="1" applyAlignment="1">
      <alignment horizontal="center"/>
    </xf>
    <xf numFmtId="4" fontId="51" fillId="13" borderId="0" xfId="0" applyNumberFormat="1" applyFont="1" applyFill="1"/>
    <xf numFmtId="0" fontId="52" fillId="22" borderId="0" xfId="13" applyFont="1" applyFill="1"/>
    <xf numFmtId="15" fontId="0" fillId="0" borderId="0" xfId="0" applyNumberFormat="1"/>
    <xf numFmtId="0" fontId="48" fillId="0" borderId="0" xfId="0" applyFont="1" applyAlignment="1">
      <alignment horizontal="center"/>
    </xf>
    <xf numFmtId="0" fontId="8" fillId="22" borderId="0" xfId="0" applyFont="1" applyFill="1" applyAlignment="1">
      <alignment horizontal="center"/>
    </xf>
    <xf numFmtId="0" fontId="18" fillId="4" borderId="0" xfId="3" applyFont="1" applyBorder="1" applyAlignment="1">
      <alignment horizontal="center"/>
    </xf>
    <xf numFmtId="0" fontId="1" fillId="2" borderId="0" xfId="1" applyAlignment="1">
      <alignment horizontal="center"/>
    </xf>
    <xf numFmtId="0" fontId="7" fillId="7" borderId="0" xfId="7" applyBorder="1" applyAlignment="1">
      <alignment horizontal="center"/>
    </xf>
    <xf numFmtId="0" fontId="7" fillId="7" borderId="52" xfId="7" applyBorder="1" applyAlignment="1">
      <alignment horizontal="center"/>
    </xf>
    <xf numFmtId="0" fontId="3" fillId="4" borderId="0" xfId="3" applyBorder="1" applyAlignment="1">
      <alignment horizontal="center"/>
    </xf>
    <xf numFmtId="0" fontId="1" fillId="2" borderId="0" xfId="1" applyBorder="1" applyAlignment="1">
      <alignment horizontal="center"/>
    </xf>
    <xf numFmtId="0" fontId="16" fillId="2" borderId="0" xfId="1" applyFont="1" applyBorder="1" applyAlignment="1">
      <alignment horizontal="center"/>
    </xf>
    <xf numFmtId="0" fontId="33" fillId="3" borderId="0" xfId="2" applyFont="1" applyBorder="1" applyAlignment="1">
      <alignment horizontal="center"/>
    </xf>
    <xf numFmtId="0" fontId="33" fillId="3" borderId="25" xfId="2" applyFont="1" applyBorder="1" applyAlignment="1">
      <alignment horizontal="center"/>
    </xf>
    <xf numFmtId="0" fontId="5" fillId="6" borderId="0" xfId="5" applyBorder="1" applyAlignment="1">
      <alignment horizontal="center"/>
    </xf>
    <xf numFmtId="0" fontId="2" fillId="11" borderId="0" xfId="10" applyFont="1" applyBorder="1" applyAlignment="1">
      <alignment horizontal="center"/>
    </xf>
    <xf numFmtId="0" fontId="2" fillId="11" borderId="53" xfId="10" applyFont="1" applyBorder="1" applyAlignment="1">
      <alignment horizontal="center"/>
    </xf>
    <xf numFmtId="0" fontId="1" fillId="11" borderId="0" xfId="10" applyFont="1" applyBorder="1" applyAlignment="1">
      <alignment horizontal="center"/>
    </xf>
    <xf numFmtId="0" fontId="16" fillId="11" borderId="0" xfId="1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4" fillId="5" borderId="0" xfId="4" applyBorder="1" applyAlignment="1">
      <alignment horizontal="right"/>
    </xf>
    <xf numFmtId="0" fontId="4" fillId="5" borderId="8" xfId="4" applyBorder="1" applyAlignment="1">
      <alignment horizontal="right"/>
    </xf>
    <xf numFmtId="0" fontId="20" fillId="5" borderId="49" xfId="4" applyFont="1" applyBorder="1" applyAlignment="1">
      <alignment horizontal="center"/>
    </xf>
    <xf numFmtId="0" fontId="20" fillId="5" borderId="50" xfId="4" applyFont="1" applyBorder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2" borderId="0" xfId="1" applyFont="1" applyAlignment="1">
      <alignment horizontal="right"/>
    </xf>
    <xf numFmtId="0" fontId="16" fillId="2" borderId="8" xfId="1" applyFont="1" applyBorder="1" applyAlignment="1">
      <alignment horizontal="right"/>
    </xf>
    <xf numFmtId="0" fontId="1" fillId="2" borderId="0" xfId="1" applyAlignment="1">
      <alignment horizontal="right"/>
    </xf>
    <xf numFmtId="0" fontId="0" fillId="22" borderId="62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3" fillId="4" borderId="0" xfId="3" applyBorder="1" applyAlignment="1">
      <alignment horizontal="right"/>
    </xf>
    <xf numFmtId="0" fontId="3" fillId="4" borderId="8" xfId="3" applyBorder="1" applyAlignment="1">
      <alignment horizontal="right"/>
    </xf>
    <xf numFmtId="0" fontId="3" fillId="4" borderId="62" xfId="3" applyBorder="1" applyAlignment="1">
      <alignment horizontal="center"/>
    </xf>
    <xf numFmtId="0" fontId="1" fillId="2" borderId="62" xfId="1" applyBorder="1" applyAlignment="1">
      <alignment horizontal="center"/>
    </xf>
    <xf numFmtId="0" fontId="1" fillId="2" borderId="0" xfId="1" applyBorder="1" applyAlignment="1">
      <alignment horizontal="right"/>
    </xf>
    <xf numFmtId="0" fontId="1" fillId="2" borderId="8" xfId="1" applyBorder="1" applyAlignment="1">
      <alignment horizontal="right"/>
    </xf>
    <xf numFmtId="0" fontId="2" fillId="3" borderId="0" xfId="2" applyBorder="1" applyAlignment="1">
      <alignment horizontal="right"/>
    </xf>
    <xf numFmtId="0" fontId="1" fillId="2" borderId="25" xfId="1" applyBorder="1" applyAlignment="1">
      <alignment horizontal="center"/>
    </xf>
    <xf numFmtId="0" fontId="16" fillId="2" borderId="25" xfId="1" applyFont="1" applyBorder="1" applyAlignment="1">
      <alignment horizontal="center"/>
    </xf>
    <xf numFmtId="0" fontId="2" fillId="3" borderId="0" xfId="2" applyBorder="1" applyAlignment="1">
      <alignment horizontal="center"/>
    </xf>
    <xf numFmtId="0" fontId="16" fillId="2" borderId="0" xfId="1" applyFont="1" applyBorder="1" applyAlignment="1">
      <alignment horizontal="right"/>
    </xf>
    <xf numFmtId="0" fontId="2" fillId="3" borderId="8" xfId="2" applyBorder="1" applyAlignment="1">
      <alignment horizontal="center"/>
    </xf>
    <xf numFmtId="0" fontId="1" fillId="2" borderId="0" xfId="1" applyBorder="1" applyAlignment="1">
      <alignment horizontal="left"/>
    </xf>
    <xf numFmtId="0" fontId="1" fillId="2" borderId="25" xfId="1" applyBorder="1" applyAlignment="1">
      <alignment horizontal="left"/>
    </xf>
    <xf numFmtId="0" fontId="5" fillId="6" borderId="1" xfId="5" applyAlignment="1">
      <alignment horizontal="center"/>
    </xf>
    <xf numFmtId="0" fontId="2" fillId="11" borderId="0" xfId="10" applyFont="1" applyBorder="1" applyAlignment="1">
      <alignment horizontal="right"/>
    </xf>
    <xf numFmtId="0" fontId="2" fillId="11" borderId="53" xfId="10" applyFont="1" applyBorder="1" applyAlignment="1">
      <alignment horizontal="right"/>
    </xf>
    <xf numFmtId="0" fontId="1" fillId="11" borderId="0" xfId="10" applyFont="1" applyBorder="1" applyAlignment="1">
      <alignment horizontal="right"/>
    </xf>
    <xf numFmtId="0" fontId="1" fillId="11" borderId="25" xfId="10" applyFont="1" applyBorder="1" applyAlignment="1">
      <alignment horizontal="center"/>
    </xf>
    <xf numFmtId="0" fontId="16" fillId="11" borderId="0" xfId="10" applyFont="1" applyBorder="1" applyAlignment="1">
      <alignment horizontal="right"/>
    </xf>
    <xf numFmtId="0" fontId="16" fillId="11" borderId="38" xfId="10" applyFont="1" applyAlignment="1">
      <alignment horizontal="center"/>
    </xf>
    <xf numFmtId="0" fontId="4" fillId="5" borderId="19" xfId="4" applyBorder="1" applyAlignment="1">
      <alignment horizontal="center"/>
    </xf>
    <xf numFmtId="0" fontId="4" fillId="5" borderId="64" xfId="4" applyBorder="1" applyAlignment="1">
      <alignment horizontal="center"/>
    </xf>
    <xf numFmtId="0" fontId="4" fillId="5" borderId="65" xfId="4" applyBorder="1" applyAlignment="1">
      <alignment horizontal="center"/>
    </xf>
    <xf numFmtId="0" fontId="33" fillId="3" borderId="0" xfId="2" applyFont="1" applyBorder="1" applyAlignment="1">
      <alignment horizontal="right"/>
    </xf>
    <xf numFmtId="0" fontId="33" fillId="3" borderId="25" xfId="2" applyFont="1" applyBorder="1" applyAlignment="1">
      <alignment horizontal="right"/>
    </xf>
    <xf numFmtId="0" fontId="18" fillId="4" borderId="0" xfId="3" applyFont="1" applyBorder="1" applyAlignment="1">
      <alignment horizontal="right"/>
    </xf>
    <xf numFmtId="0" fontId="0" fillId="0" borderId="0" xfId="0"/>
    <xf numFmtId="0" fontId="4" fillId="5" borderId="66" xfId="4" applyBorder="1" applyAlignment="1">
      <alignment horizontal="center"/>
    </xf>
    <xf numFmtId="0" fontId="4" fillId="5" borderId="67" xfId="4" applyBorder="1" applyAlignment="1">
      <alignment horizontal="center"/>
    </xf>
    <xf numFmtId="0" fontId="5" fillId="6" borderId="0" xfId="5" applyBorder="1" applyAlignment="1">
      <alignment horizontal="right"/>
    </xf>
    <xf numFmtId="0" fontId="20" fillId="5" borderId="0" xfId="4" applyFont="1" applyBorder="1" applyAlignment="1">
      <alignment horizontal="right"/>
    </xf>
    <xf numFmtId="0" fontId="20" fillId="5" borderId="8" xfId="4" applyFont="1" applyBorder="1" applyAlignment="1">
      <alignment horizontal="right"/>
    </xf>
    <xf numFmtId="0" fontId="7" fillId="7" borderId="68" xfId="7" applyBorder="1" applyAlignment="1">
      <alignment horizontal="center"/>
    </xf>
    <xf numFmtId="0" fontId="1" fillId="2" borderId="8" xfId="1" applyBorder="1" applyAlignment="1">
      <alignment horizontal="center"/>
    </xf>
    <xf numFmtId="0" fontId="7" fillId="7" borderId="46" xfId="7" applyBorder="1" applyAlignment="1">
      <alignment horizontal="center"/>
    </xf>
    <xf numFmtId="0" fontId="7" fillId="7" borderId="47" xfId="7" applyBorder="1" applyAlignment="1">
      <alignment horizontal="center"/>
    </xf>
    <xf numFmtId="0" fontId="7" fillId="7" borderId="48" xfId="7" applyBorder="1" applyAlignment="1">
      <alignment horizontal="center"/>
    </xf>
    <xf numFmtId="0" fontId="16" fillId="2" borderId="0" xfId="1" applyFont="1" applyAlignment="1">
      <alignment horizontal="center"/>
    </xf>
    <xf numFmtId="0" fontId="16" fillId="2" borderId="8" xfId="1" applyFont="1" applyBorder="1" applyAlignment="1">
      <alignment horizontal="center"/>
    </xf>
    <xf numFmtId="0" fontId="2" fillId="11" borderId="38" xfId="10" applyFont="1" applyAlignment="1">
      <alignment horizontal="center"/>
    </xf>
    <xf numFmtId="0" fontId="1" fillId="11" borderId="57" xfId="10" applyFont="1" applyBorder="1" applyAlignment="1">
      <alignment horizontal="center"/>
    </xf>
    <xf numFmtId="0" fontId="16" fillId="11" borderId="58" xfId="10" applyFont="1" applyBorder="1" applyAlignment="1">
      <alignment horizontal="center"/>
    </xf>
    <xf numFmtId="0" fontId="16" fillId="11" borderId="59" xfId="10" applyFont="1" applyBorder="1" applyAlignment="1">
      <alignment horizontal="center"/>
    </xf>
    <xf numFmtId="0" fontId="16" fillId="2" borderId="5" xfId="1" applyFont="1" applyBorder="1" applyAlignment="1">
      <alignment horizontal="center"/>
    </xf>
    <xf numFmtId="0" fontId="16" fillId="2" borderId="23" xfId="1" applyFont="1" applyBorder="1" applyAlignment="1">
      <alignment horizontal="center"/>
    </xf>
    <xf numFmtId="0" fontId="17" fillId="3" borderId="4" xfId="2" applyFont="1" applyBorder="1" applyAlignment="1">
      <alignment horizontal="center"/>
    </xf>
    <xf numFmtId="0" fontId="17" fillId="3" borderId="5" xfId="2" applyFont="1" applyBorder="1" applyAlignment="1">
      <alignment horizontal="center"/>
    </xf>
    <xf numFmtId="0" fontId="18" fillId="4" borderId="22" xfId="3" applyFont="1" applyBorder="1" applyAlignment="1">
      <alignment horizontal="center"/>
    </xf>
    <xf numFmtId="0" fontId="1" fillId="2" borderId="5" xfId="1" applyBorder="1" applyAlignment="1">
      <alignment horizontal="center"/>
    </xf>
    <xf numFmtId="0" fontId="16" fillId="2" borderId="32" xfId="1" applyFont="1" applyBorder="1" applyAlignment="1">
      <alignment horizontal="center"/>
    </xf>
    <xf numFmtId="0" fontId="1" fillId="2" borderId="18" xfId="1" applyBorder="1" applyAlignment="1">
      <alignment horizontal="center"/>
    </xf>
    <xf numFmtId="0" fontId="1" fillId="2" borderId="39" xfId="1" applyBorder="1" applyAlignment="1">
      <alignment horizontal="center"/>
    </xf>
    <xf numFmtId="0" fontId="16" fillId="2" borderId="40" xfId="1" applyFont="1" applyBorder="1" applyAlignment="1">
      <alignment horizontal="center"/>
    </xf>
    <xf numFmtId="0" fontId="1" fillId="11" borderId="5" xfId="10" applyFont="1" applyBorder="1" applyAlignment="1">
      <alignment horizontal="center"/>
    </xf>
    <xf numFmtId="0" fontId="1" fillId="11" borderId="32" xfId="10" applyFont="1" applyBorder="1" applyAlignment="1">
      <alignment horizontal="center"/>
    </xf>
    <xf numFmtId="0" fontId="1" fillId="2" borderId="32" xfId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20" fillId="5" borderId="1" xfId="4" applyFont="1" applyAlignment="1">
      <alignment horizontal="center"/>
    </xf>
    <xf numFmtId="0" fontId="20" fillId="5" borderId="19" xfId="4" applyFont="1" applyBorder="1" applyAlignment="1">
      <alignment horizontal="center"/>
    </xf>
    <xf numFmtId="0" fontId="7" fillId="7" borderId="4" xfId="7" applyBorder="1" applyAlignment="1">
      <alignment horizontal="center"/>
    </xf>
    <xf numFmtId="0" fontId="19" fillId="7" borderId="5" xfId="7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1" fillId="10" borderId="36" xfId="0" applyFont="1" applyFill="1" applyBorder="1" applyAlignment="1">
      <alignment horizontal="right" vertical="center" wrapText="1"/>
    </xf>
    <xf numFmtId="0" fontId="11" fillId="10" borderId="37" xfId="0" applyFont="1" applyFill="1" applyBorder="1" applyAlignment="1">
      <alignment horizontal="right" vertical="center" wrapText="1"/>
    </xf>
    <xf numFmtId="0" fontId="19" fillId="7" borderId="4" xfId="7" applyFont="1" applyBorder="1" applyAlignment="1">
      <alignment horizontal="center"/>
    </xf>
    <xf numFmtId="0" fontId="15" fillId="8" borderId="1" xfId="8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23" xfId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1" xfId="4" applyAlignment="1">
      <alignment horizontal="center"/>
    </xf>
    <xf numFmtId="0" fontId="7" fillId="7" borderId="5" xfId="7" applyBorder="1" applyAlignment="1">
      <alignment horizontal="center"/>
    </xf>
    <xf numFmtId="0" fontId="3" fillId="4" borderId="22" xfId="3" applyBorder="1" applyAlignment="1">
      <alignment horizontal="center"/>
    </xf>
    <xf numFmtId="0" fontId="2" fillId="3" borderId="4" xfId="2" applyBorder="1" applyAlignment="1">
      <alignment horizontal="center"/>
    </xf>
  </cellXfs>
  <cellStyles count="20">
    <cellStyle name="20% - Accent2" xfId="19" builtinId="34"/>
    <cellStyle name="20% - Accent5" xfId="8" builtinId="46"/>
    <cellStyle name="40% - Accent1" xfId="16" builtinId="31"/>
    <cellStyle name="40% - Accent2" xfId="18" builtinId="35"/>
    <cellStyle name="60% - Accent1" xfId="17" builtinId="32"/>
    <cellStyle name="60% - Accent4" xfId="11" builtinId="44"/>
    <cellStyle name="Accent1" xfId="13" builtinId="29"/>
    <cellStyle name="Accent2" xfId="9" builtinId="33"/>
    <cellStyle name="Accent3" xfId="14" builtinId="37"/>
    <cellStyle name="Accent4" xfId="12" builtinId="41"/>
    <cellStyle name="Accent5" xfId="15" builtinId="45"/>
    <cellStyle name="Bad" xfId="2" builtinId="27"/>
    <cellStyle name="Calculation" xfId="5" builtinId="22"/>
    <cellStyle name="Check Cell" xfId="7" builtinId="23"/>
    <cellStyle name="Good" xfId="1" builtinId="26"/>
    <cellStyle name="Input" xfId="4" builtinId="20"/>
    <cellStyle name="Linked Cell" xfId="6" builtinId="24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SALARIS!$C$2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SALARIS!$B$3:$B$23</c:f>
              <c:numCache>
                <c:formatCode>General</c:formatCode>
                <c:ptCount val="2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</c:numCache>
            </c:numRef>
          </c:cat>
          <c:val>
            <c:numRef>
              <c:f>SALARIS!$C$3:$C$23</c:f>
              <c:numCache>
                <c:formatCode>General</c:formatCode>
                <c:ptCount val="21"/>
                <c:pt idx="0">
                  <c:v>5000</c:v>
                </c:pt>
                <c:pt idx="1">
                  <c:v>11800</c:v>
                </c:pt>
                <c:pt idx="2">
                  <c:v>12500</c:v>
                </c:pt>
                <c:pt idx="3">
                  <c:v>15000</c:v>
                </c:pt>
                <c:pt idx="4">
                  <c:v>18000</c:v>
                </c:pt>
                <c:pt idx="5">
                  <c:v>19000</c:v>
                </c:pt>
                <c:pt idx="6">
                  <c:v>21000</c:v>
                </c:pt>
                <c:pt idx="7">
                  <c:v>22802.21</c:v>
                </c:pt>
                <c:pt idx="8">
                  <c:v>24571.22</c:v>
                </c:pt>
                <c:pt idx="9">
                  <c:v>31519.33</c:v>
                </c:pt>
                <c:pt idx="10">
                  <c:v>36617.354169999999</c:v>
                </c:pt>
                <c:pt idx="11">
                  <c:v>42465.77</c:v>
                </c:pt>
                <c:pt idx="12">
                  <c:v>43178.75</c:v>
                </c:pt>
                <c:pt idx="13">
                  <c:v>45893.11</c:v>
                </c:pt>
                <c:pt idx="14">
                  <c:v>48929.4</c:v>
                </c:pt>
                <c:pt idx="15">
                  <c:v>48929.4</c:v>
                </c:pt>
                <c:pt idx="16">
                  <c:v>54500</c:v>
                </c:pt>
                <c:pt idx="17">
                  <c:v>58500</c:v>
                </c:pt>
                <c:pt idx="18">
                  <c:v>63000</c:v>
                </c:pt>
                <c:pt idx="19">
                  <c:v>66500</c:v>
                </c:pt>
                <c:pt idx="20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4-467E-94F0-1563D0B7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916784"/>
        <c:axId val="1401909296"/>
      </c:lineChart>
      <c:catAx>
        <c:axId val="14019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09296"/>
        <c:crosses val="autoZero"/>
        <c:auto val="1"/>
        <c:lblAlgn val="ctr"/>
        <c:lblOffset val="100"/>
        <c:noMultiLvlLbl val="0"/>
      </c:catAx>
      <c:valAx>
        <c:axId val="14019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11</xdr:col>
      <xdr:colOff>314325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D7843-0C71-7FCC-60C0-C0DD1D5FE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52</xdr:row>
      <xdr:rowOff>20955</xdr:rowOff>
    </xdr:from>
    <xdr:to>
      <xdr:col>1</xdr:col>
      <xdr:colOff>2648570</xdr:colOff>
      <xdr:row>69</xdr:row>
      <xdr:rowOff>98359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A97897-C825-4E6C-9C8F-752AB4CAB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0603230"/>
          <a:ext cx="2583800" cy="3159694"/>
        </a:xfrm>
        <a:prstGeom prst="rect">
          <a:avLst/>
        </a:prstGeom>
      </xdr:spPr>
    </xdr:pic>
    <xdr:clientData/>
  </xdr:twoCellAnchor>
  <xdr:twoCellAnchor editAs="oneCell">
    <xdr:from>
      <xdr:col>9</xdr:col>
      <xdr:colOff>87630</xdr:colOff>
      <xdr:row>19</xdr:row>
      <xdr:rowOff>106680</xdr:rowOff>
    </xdr:from>
    <xdr:to>
      <xdr:col>17</xdr:col>
      <xdr:colOff>130715</xdr:colOff>
      <xdr:row>37</xdr:row>
      <xdr:rowOff>59055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13523F4-77DB-4A9D-AB32-695EC3012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1180" y="3907155"/>
          <a:ext cx="5243735" cy="3267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7CFB-3750-4140-B070-A288E4BD3B86}">
  <dimension ref="B2:Z53"/>
  <sheetViews>
    <sheetView tabSelected="1" topLeftCell="B1" workbookViewId="0">
      <selection activeCell="T6" sqref="T6"/>
    </sheetView>
  </sheetViews>
  <sheetFormatPr defaultRowHeight="15"/>
  <cols>
    <col min="1" max="1" width="5.5703125" bestFit="1" customWidth="1"/>
    <col min="2" max="2" width="10.7109375" customWidth="1"/>
    <col min="3" max="3" width="34.7109375" bestFit="1" customWidth="1"/>
    <col min="4" max="4" width="17.28515625" bestFit="1" customWidth="1"/>
    <col min="14" max="14" width="7" bestFit="1" customWidth="1"/>
    <col min="15" max="15" width="10.42578125" bestFit="1" customWidth="1"/>
    <col min="16" max="16" width="17.28515625" bestFit="1" customWidth="1"/>
    <col min="17" max="17" width="8.5703125" bestFit="1" customWidth="1"/>
    <col min="18" max="18" width="6" bestFit="1" customWidth="1"/>
    <col min="19" max="19" width="9.42578125" bestFit="1" customWidth="1"/>
    <col min="20" max="20" width="10" bestFit="1" customWidth="1"/>
    <col min="22" max="22" width="10.140625" bestFit="1" customWidth="1"/>
  </cols>
  <sheetData>
    <row r="2" spans="2:26">
      <c r="B2" s="180" t="s">
        <v>593</v>
      </c>
      <c r="C2" s="180" t="s">
        <v>594</v>
      </c>
    </row>
    <row r="3" spans="2:26">
      <c r="B3" s="180">
        <v>2008</v>
      </c>
      <c r="C3" s="180">
        <v>5000</v>
      </c>
      <c r="P3" t="s">
        <v>648</v>
      </c>
    </row>
    <row r="4" spans="2:26">
      <c r="B4">
        <v>2009</v>
      </c>
      <c r="C4" s="42">
        <v>11800</v>
      </c>
      <c r="P4" t="s">
        <v>649</v>
      </c>
      <c r="Q4" t="s">
        <v>661</v>
      </c>
      <c r="R4" t="s">
        <v>650</v>
      </c>
      <c r="T4" t="s">
        <v>651</v>
      </c>
      <c r="U4" t="s">
        <v>652</v>
      </c>
    </row>
    <row r="5" spans="2:26">
      <c r="B5">
        <v>2010</v>
      </c>
      <c r="C5" s="42">
        <v>12500</v>
      </c>
      <c r="Q5" t="s">
        <v>651</v>
      </c>
      <c r="R5" t="s">
        <v>59</v>
      </c>
      <c r="T5" t="s">
        <v>662</v>
      </c>
    </row>
    <row r="6" spans="2:26">
      <c r="B6">
        <v>2011</v>
      </c>
      <c r="C6" s="42">
        <v>15000</v>
      </c>
      <c r="Q6" t="s">
        <v>653</v>
      </c>
      <c r="R6" t="s">
        <v>659</v>
      </c>
    </row>
    <row r="7" spans="2:26">
      <c r="B7">
        <v>2012</v>
      </c>
      <c r="C7" s="42">
        <v>18000</v>
      </c>
      <c r="Q7" t="s">
        <v>653</v>
      </c>
      <c r="R7" t="s">
        <v>654</v>
      </c>
    </row>
    <row r="8" spans="2:26">
      <c r="B8">
        <v>2013</v>
      </c>
      <c r="C8" s="42">
        <v>19000</v>
      </c>
      <c r="R8" t="s">
        <v>657</v>
      </c>
    </row>
    <row r="9" spans="2:26">
      <c r="B9">
        <v>2014</v>
      </c>
      <c r="C9" s="42">
        <v>21000</v>
      </c>
      <c r="R9" t="s">
        <v>658</v>
      </c>
    </row>
    <row r="10" spans="2:26">
      <c r="B10">
        <v>2015</v>
      </c>
      <c r="C10">
        <v>22802.21</v>
      </c>
      <c r="R10" t="s">
        <v>655</v>
      </c>
    </row>
    <row r="11" spans="2:26">
      <c r="B11">
        <v>2016</v>
      </c>
      <c r="C11">
        <v>24571.22</v>
      </c>
      <c r="R11" t="s">
        <v>656</v>
      </c>
    </row>
    <row r="12" spans="2:26">
      <c r="B12">
        <v>2017</v>
      </c>
      <c r="C12">
        <v>31519.33</v>
      </c>
      <c r="R12" t="s">
        <v>660</v>
      </c>
    </row>
    <row r="13" spans="2:26">
      <c r="B13">
        <v>2018</v>
      </c>
      <c r="C13">
        <v>36617.354169999999</v>
      </c>
    </row>
    <row r="14" spans="2:26">
      <c r="B14">
        <v>2019</v>
      </c>
      <c r="C14">
        <v>42465.77</v>
      </c>
      <c r="W14" t="s">
        <v>32</v>
      </c>
      <c r="X14" t="s">
        <v>637</v>
      </c>
      <c r="Y14" t="s">
        <v>34</v>
      </c>
      <c r="Z14" t="s">
        <v>35</v>
      </c>
    </row>
    <row r="15" spans="2:26">
      <c r="B15">
        <v>2020</v>
      </c>
      <c r="C15">
        <v>43178.75</v>
      </c>
      <c r="W15">
        <v>1400</v>
      </c>
      <c r="X15">
        <v>1650</v>
      </c>
      <c r="Y15">
        <v>1900</v>
      </c>
      <c r="Z15">
        <v>2150</v>
      </c>
    </row>
    <row r="16" spans="2:26">
      <c r="B16">
        <v>2021</v>
      </c>
      <c r="C16">
        <v>45893.11</v>
      </c>
    </row>
    <row r="17" spans="2:26">
      <c r="B17">
        <v>2022</v>
      </c>
      <c r="C17">
        <v>48929.4</v>
      </c>
    </row>
    <row r="18" spans="2:26">
      <c r="B18">
        <v>2023</v>
      </c>
      <c r="C18">
        <v>48929.4</v>
      </c>
    </row>
    <row r="19" spans="2:26">
      <c r="B19">
        <v>2024</v>
      </c>
      <c r="C19" s="42">
        <v>54500</v>
      </c>
    </row>
    <row r="20" spans="2:26">
      <c r="B20">
        <v>2025</v>
      </c>
      <c r="C20" s="42">
        <v>58500</v>
      </c>
    </row>
    <row r="21" spans="2:26">
      <c r="B21">
        <v>2026</v>
      </c>
      <c r="C21" s="42">
        <v>63000</v>
      </c>
    </row>
    <row r="22" spans="2:26">
      <c r="B22">
        <v>2027</v>
      </c>
      <c r="C22" s="42">
        <v>66500</v>
      </c>
      <c r="W22" s="26" t="s">
        <v>621</v>
      </c>
      <c r="X22" s="26"/>
      <c r="Y22" s="26"/>
      <c r="Z22" s="26"/>
    </row>
    <row r="23" spans="2:26">
      <c r="B23">
        <v>2028</v>
      </c>
      <c r="C23" s="42">
        <v>70000</v>
      </c>
      <c r="W23" t="s">
        <v>410</v>
      </c>
      <c r="X23" t="s">
        <v>618</v>
      </c>
      <c r="Y23" t="s">
        <v>619</v>
      </c>
      <c r="Z23" t="s">
        <v>622</v>
      </c>
    </row>
    <row r="24" spans="2:26" ht="23.25">
      <c r="B24" s="251" t="s">
        <v>602</v>
      </c>
      <c r="C24" s="251"/>
      <c r="D24" s="251"/>
      <c r="E24" s="251"/>
      <c r="F24" s="251"/>
      <c r="M24" s="252" t="s">
        <v>606</v>
      </c>
      <c r="N24" s="252"/>
      <c r="O24" s="252"/>
      <c r="S24" s="243" t="s">
        <v>613</v>
      </c>
      <c r="W24">
        <v>1</v>
      </c>
      <c r="X24">
        <v>100</v>
      </c>
      <c r="Y24">
        <v>200</v>
      </c>
      <c r="Z24">
        <f>Y24+(X24*12)</f>
        <v>1400</v>
      </c>
    </row>
    <row r="25" spans="2:26">
      <c r="C25" s="180" t="s">
        <v>600</v>
      </c>
      <c r="D25" s="180" t="s">
        <v>597</v>
      </c>
      <c r="E25" s="180" t="s">
        <v>603</v>
      </c>
      <c r="M25" s="180">
        <f>48929.4</f>
        <v>48929.4</v>
      </c>
      <c r="N25" s="180" t="s">
        <v>236</v>
      </c>
      <c r="T25" t="s">
        <v>615</v>
      </c>
      <c r="W25">
        <v>2</v>
      </c>
      <c r="X25">
        <v>250</v>
      </c>
      <c r="Y25">
        <v>1000</v>
      </c>
      <c r="Z25">
        <f t="shared" ref="Z25:Z30" si="0">Z24+Y25++(X25*12)</f>
        <v>5400</v>
      </c>
    </row>
    <row r="26" spans="2:26">
      <c r="D26" t="s">
        <v>596</v>
      </c>
      <c r="E26" t="s">
        <v>598</v>
      </c>
      <c r="F26" t="s">
        <v>599</v>
      </c>
      <c r="M26">
        <f>M25*0.3</f>
        <v>14678.82</v>
      </c>
      <c r="N26" t="s">
        <v>607</v>
      </c>
      <c r="S26">
        <v>19736.29</v>
      </c>
      <c r="T26">
        <f>S26/M25*100</f>
        <v>40.33625999910074</v>
      </c>
      <c r="W26">
        <v>3</v>
      </c>
      <c r="X26">
        <v>250</v>
      </c>
      <c r="Y26">
        <v>1000</v>
      </c>
      <c r="Z26">
        <f t="shared" si="0"/>
        <v>9400</v>
      </c>
    </row>
    <row r="27" spans="2:26">
      <c r="B27" s="242">
        <v>44835</v>
      </c>
      <c r="C27">
        <v>75000</v>
      </c>
      <c r="D27">
        <v>1000</v>
      </c>
      <c r="E27">
        <f t="shared" ref="E27:E32" si="1">C27/D27</f>
        <v>75</v>
      </c>
      <c r="F27">
        <f t="shared" ref="F27:F32" si="2">ROUNDUP(E27/12,1)</f>
        <v>6.3</v>
      </c>
      <c r="M27">
        <f>M25*0.15</f>
        <v>7339.41</v>
      </c>
      <c r="N27" t="s">
        <v>608</v>
      </c>
      <c r="S27">
        <v>6000</v>
      </c>
      <c r="T27">
        <f>S27/M25*100</f>
        <v>12.262566064574672</v>
      </c>
      <c r="W27">
        <v>4</v>
      </c>
      <c r="X27">
        <v>250</v>
      </c>
      <c r="Y27">
        <v>1000</v>
      </c>
      <c r="Z27">
        <f t="shared" si="0"/>
        <v>13400</v>
      </c>
    </row>
    <row r="28" spans="2:26">
      <c r="B28" s="242">
        <v>44866</v>
      </c>
      <c r="C28">
        <v>74000</v>
      </c>
      <c r="D28">
        <v>3500</v>
      </c>
      <c r="E28">
        <f t="shared" si="1"/>
        <v>21.142857142857142</v>
      </c>
      <c r="F28">
        <f t="shared" si="2"/>
        <v>1.8</v>
      </c>
      <c r="M28">
        <f>M25*0.15</f>
        <v>7339.41</v>
      </c>
      <c r="N28" t="s">
        <v>609</v>
      </c>
      <c r="S28">
        <f>1500+1945.33</f>
        <v>3445.33</v>
      </c>
      <c r="T28">
        <f>S28/M25*100</f>
        <v>7.0414311232101765</v>
      </c>
      <c r="W28">
        <v>5</v>
      </c>
      <c r="X28">
        <v>250</v>
      </c>
      <c r="Y28">
        <v>1000</v>
      </c>
      <c r="Z28">
        <f t="shared" si="0"/>
        <v>17400</v>
      </c>
    </row>
    <row r="29" spans="2:26">
      <c r="B29" s="242">
        <v>44896</v>
      </c>
      <c r="C29" s="244">
        <v>66000</v>
      </c>
      <c r="D29">
        <v>3000</v>
      </c>
      <c r="E29">
        <f t="shared" si="1"/>
        <v>22</v>
      </c>
      <c r="F29">
        <f t="shared" si="2"/>
        <v>1.9000000000000001</v>
      </c>
      <c r="G29" s="244" t="s">
        <v>623</v>
      </c>
      <c r="M29">
        <f>M25*0.2</f>
        <v>9785.880000000001</v>
      </c>
      <c r="N29" t="s">
        <v>610</v>
      </c>
      <c r="S29">
        <f>2900+373.56</f>
        <v>3273.56</v>
      </c>
      <c r="T29">
        <f>S29/M25*100</f>
        <v>6.6903742943915105</v>
      </c>
      <c r="W29">
        <v>6</v>
      </c>
      <c r="X29">
        <v>250</v>
      </c>
      <c r="Y29">
        <v>1000</v>
      </c>
      <c r="Z29">
        <f t="shared" si="0"/>
        <v>21400</v>
      </c>
    </row>
    <row r="30" spans="2:26">
      <c r="B30" s="242">
        <v>44927</v>
      </c>
      <c r="C30" s="244">
        <v>71000</v>
      </c>
      <c r="D30">
        <v>3000</v>
      </c>
      <c r="E30">
        <f t="shared" si="1"/>
        <v>23.666666666666668</v>
      </c>
      <c r="F30">
        <f t="shared" si="2"/>
        <v>2</v>
      </c>
      <c r="M30">
        <f>M25*0.1</f>
        <v>4892.9400000000005</v>
      </c>
      <c r="N30" t="s">
        <v>611</v>
      </c>
      <c r="S30">
        <v>2600</v>
      </c>
      <c r="T30">
        <f>S30/M25*100</f>
        <v>5.3137786279823578</v>
      </c>
      <c r="W30">
        <v>7</v>
      </c>
      <c r="X30">
        <v>250</v>
      </c>
      <c r="Y30">
        <v>1000</v>
      </c>
      <c r="Z30">
        <f t="shared" si="0"/>
        <v>25400</v>
      </c>
    </row>
    <row r="31" spans="2:26">
      <c r="B31" s="242">
        <v>44958</v>
      </c>
      <c r="C31">
        <v>74000</v>
      </c>
      <c r="D31">
        <v>3000</v>
      </c>
      <c r="E31">
        <f t="shared" si="1"/>
        <v>24.666666666666668</v>
      </c>
      <c r="F31">
        <f t="shared" si="2"/>
        <v>2.1</v>
      </c>
      <c r="M31">
        <f>M25*0.05</f>
        <v>2446.4700000000003</v>
      </c>
      <c r="N31" t="s">
        <v>612</v>
      </c>
      <c r="S31">
        <f>777+312.8+495+1750+159+1000+620</f>
        <v>5113.8</v>
      </c>
      <c r="T31">
        <f>S31/M25*100</f>
        <v>10.451385056836994</v>
      </c>
      <c r="W31">
        <v>8</v>
      </c>
      <c r="X31">
        <v>250</v>
      </c>
      <c r="Y31">
        <v>1000</v>
      </c>
      <c r="Z31">
        <f t="shared" ref="Z31:Z32" si="3">Z30+Y31++(X31*12)</f>
        <v>29400</v>
      </c>
    </row>
    <row r="32" spans="2:26">
      <c r="B32" s="242">
        <v>44986</v>
      </c>
      <c r="C32">
        <v>0</v>
      </c>
      <c r="D32">
        <v>1</v>
      </c>
      <c r="E32">
        <f t="shared" si="1"/>
        <v>0</v>
      </c>
      <c r="F32">
        <f t="shared" si="2"/>
        <v>0</v>
      </c>
      <c r="G32" t="s">
        <v>628</v>
      </c>
      <c r="M32">
        <f>M25*0.05</f>
        <v>2446.4700000000003</v>
      </c>
      <c r="N32" t="s">
        <v>614</v>
      </c>
      <c r="S32">
        <f>850+500</f>
        <v>1350</v>
      </c>
      <c r="T32">
        <f>S32/M25*100</f>
        <v>2.7590773645293014</v>
      </c>
      <c r="W32">
        <v>9</v>
      </c>
      <c r="X32">
        <v>250</v>
      </c>
      <c r="Y32">
        <v>1000</v>
      </c>
      <c r="Z32">
        <f t="shared" si="3"/>
        <v>33400</v>
      </c>
    </row>
    <row r="33" spans="2:26">
      <c r="G33" s="126">
        <v>74000</v>
      </c>
      <c r="S33" s="180" t="s">
        <v>159</v>
      </c>
      <c r="T33">
        <f>M25-SUM(S26:S32)</f>
        <v>7410.419999999991</v>
      </c>
      <c r="W33">
        <v>10</v>
      </c>
      <c r="X33">
        <v>250</v>
      </c>
      <c r="Y33">
        <v>1000</v>
      </c>
      <c r="Z33">
        <f t="shared" ref="Z33" si="4">Z32+Y33++(X33*12)</f>
        <v>37400</v>
      </c>
    </row>
    <row r="37" spans="2:26">
      <c r="C37" s="169" t="s">
        <v>644</v>
      </c>
      <c r="D37" t="s">
        <v>629</v>
      </c>
    </row>
    <row r="38" spans="2:26">
      <c r="C38">
        <v>1</v>
      </c>
      <c r="D38" t="s">
        <v>630</v>
      </c>
    </row>
    <row r="39" spans="2:26">
      <c r="C39">
        <v>14</v>
      </c>
      <c r="D39" t="s">
        <v>631</v>
      </c>
    </row>
    <row r="40" spans="2:26">
      <c r="C40">
        <v>85</v>
      </c>
      <c r="D40" t="s">
        <v>632</v>
      </c>
    </row>
    <row r="43" spans="2:26">
      <c r="D43">
        <f>SUM(C46:C1048576)</f>
        <v>3000</v>
      </c>
      <c r="G43">
        <f>2976.76+121.59</f>
        <v>3098.3500000000004</v>
      </c>
    </row>
    <row r="44" spans="2:26">
      <c r="B44" t="s">
        <v>638</v>
      </c>
    </row>
    <row r="45" spans="2:26">
      <c r="C45" t="s">
        <v>645</v>
      </c>
      <c r="E45" t="s">
        <v>646</v>
      </c>
    </row>
    <row r="46" spans="2:26">
      <c r="B46" t="s">
        <v>639</v>
      </c>
      <c r="C46">
        <v>500</v>
      </c>
    </row>
    <row r="47" spans="2:26">
      <c r="B47" t="s">
        <v>639</v>
      </c>
      <c r="C47">
        <v>1500</v>
      </c>
    </row>
    <row r="48" spans="2:26">
      <c r="B48" s="250">
        <v>45050</v>
      </c>
      <c r="D48" s="44" t="s">
        <v>640</v>
      </c>
      <c r="E48">
        <f>40*11.56</f>
        <v>462.40000000000003</v>
      </c>
    </row>
    <row r="49" spans="2:5">
      <c r="B49" s="250">
        <v>45050</v>
      </c>
      <c r="C49">
        <v>500</v>
      </c>
    </row>
    <row r="50" spans="2:5">
      <c r="B50" s="250">
        <v>45054</v>
      </c>
      <c r="D50" s="44" t="s">
        <v>641</v>
      </c>
      <c r="E50">
        <f>10*103.4</f>
        <v>1034</v>
      </c>
    </row>
    <row r="51" spans="2:5">
      <c r="B51" s="250">
        <v>45055</v>
      </c>
      <c r="D51" s="44" t="s">
        <v>642</v>
      </c>
      <c r="E51">
        <f>29*14.88</f>
        <v>431.52000000000004</v>
      </c>
    </row>
    <row r="52" spans="2:5">
      <c r="B52" s="250">
        <v>45085</v>
      </c>
      <c r="D52" s="44" t="s">
        <v>643</v>
      </c>
      <c r="E52">
        <f>40*9.38</f>
        <v>375.20000000000005</v>
      </c>
    </row>
    <row r="53" spans="2:5">
      <c r="B53" s="250">
        <v>45110</v>
      </c>
      <c r="C53">
        <v>500</v>
      </c>
    </row>
  </sheetData>
  <mergeCells count="2">
    <mergeCell ref="B24:F24"/>
    <mergeCell ref="M24:O24"/>
  </mergeCells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"/>
  <sheetViews>
    <sheetView workbookViewId="0">
      <selection activeCell="B3" sqref="B3"/>
    </sheetView>
  </sheetViews>
  <sheetFormatPr defaultRowHeight="15"/>
  <cols>
    <col min="1" max="1" width="11.7109375" bestFit="1" customWidth="1"/>
    <col min="2" max="2" width="18.85546875" bestFit="1" customWidth="1"/>
    <col min="3" max="3" width="8.85546875" customWidth="1"/>
    <col min="5" max="5" width="8.85546875" customWidth="1"/>
    <col min="7" max="7" width="13" customWidth="1"/>
    <col min="9" max="9" width="27.140625" bestFit="1" customWidth="1"/>
    <col min="18" max="19" width="10.7109375" bestFit="1" customWidth="1"/>
    <col min="22" max="23" width="10.7109375" bestFit="1" customWidth="1"/>
    <col min="25" max="25" width="9.7109375" bestFit="1" customWidth="1"/>
    <col min="29" max="29" width="11.5703125" customWidth="1"/>
  </cols>
  <sheetData>
    <row r="1" spans="1:29" ht="16.5" thickTop="1" thickBot="1">
      <c r="A1" s="268" t="s">
        <v>237</v>
      </c>
      <c r="B1" s="269"/>
      <c r="C1" s="138" t="s">
        <v>1</v>
      </c>
      <c r="D1" s="138"/>
      <c r="E1" s="138"/>
      <c r="F1" s="47"/>
      <c r="G1" s="47"/>
      <c r="H1" s="47"/>
      <c r="I1" s="47"/>
      <c r="J1" s="321" t="s">
        <v>52</v>
      </c>
      <c r="K1" s="321"/>
      <c r="L1" s="322"/>
      <c r="M1" s="50" t="s">
        <v>44</v>
      </c>
      <c r="N1" s="51" t="s">
        <v>45</v>
      </c>
      <c r="O1" s="52" t="s">
        <v>33</v>
      </c>
      <c r="P1" s="53" t="s">
        <v>110</v>
      </c>
      <c r="Q1" s="27" t="s">
        <v>35</v>
      </c>
      <c r="R1" s="21" t="s">
        <v>48</v>
      </c>
      <c r="S1" s="53" t="s">
        <v>49</v>
      </c>
      <c r="T1" s="27" t="s">
        <v>111</v>
      </c>
      <c r="U1" s="113" t="s">
        <v>112</v>
      </c>
      <c r="V1" s="53" t="s">
        <v>113</v>
      </c>
      <c r="W1" s="27" t="s">
        <v>114</v>
      </c>
      <c r="X1" s="21" t="s">
        <v>115</v>
      </c>
      <c r="Y1" s="118" t="s">
        <v>108</v>
      </c>
      <c r="Z1" s="20" t="s">
        <v>302</v>
      </c>
    </row>
    <row r="2" spans="1:29" ht="16.5" thickTop="1" thickBot="1">
      <c r="A2" s="177" t="s">
        <v>303</v>
      </c>
      <c r="B2" s="178">
        <v>31519.33</v>
      </c>
      <c r="C2" s="42">
        <v>1510.77</v>
      </c>
      <c r="D2" s="42">
        <v>1510.77</v>
      </c>
      <c r="E2" s="42">
        <v>1510.77</v>
      </c>
      <c r="F2" t="s">
        <v>278</v>
      </c>
      <c r="G2" s="47"/>
      <c r="H2" s="47"/>
      <c r="I2" s="47"/>
      <c r="J2" s="11"/>
      <c r="K2" s="24" t="s">
        <v>236</v>
      </c>
      <c r="L2" s="24"/>
      <c r="M2" s="24">
        <v>32457.759999999998</v>
      </c>
      <c r="N2" s="24">
        <v>38671.86</v>
      </c>
      <c r="O2" s="24">
        <v>33031.19</v>
      </c>
      <c r="P2" s="24">
        <v>45873.82</v>
      </c>
      <c r="Q2" s="24">
        <v>42465.77</v>
      </c>
      <c r="R2" s="24">
        <v>42352.36</v>
      </c>
      <c r="S2" s="24">
        <v>42352.36</v>
      </c>
      <c r="T2" s="24">
        <v>42352.36</v>
      </c>
      <c r="U2" s="24">
        <v>42465.77</v>
      </c>
      <c r="V2" s="24">
        <v>42465.77</v>
      </c>
      <c r="W2" s="24">
        <v>42465.77</v>
      </c>
      <c r="X2" s="24">
        <v>42465.77</v>
      </c>
      <c r="Y2" s="118">
        <f t="shared" ref="Y2:Y19" si="0">SUM(M2:X2)</f>
        <v>489420.56000000006</v>
      </c>
      <c r="Z2" s="20">
        <f>AVERAGE(M2:X2)</f>
        <v>40785.046666666669</v>
      </c>
    </row>
    <row r="3" spans="1:29" ht="15" customHeight="1" thickTop="1" thickBot="1">
      <c r="A3" s="26" t="s">
        <v>411</v>
      </c>
      <c r="B3" s="248">
        <f>42465.77+8831.72</f>
        <v>51297.49</v>
      </c>
      <c r="C3" s="42">
        <v>2657.36</v>
      </c>
      <c r="D3" s="42">
        <v>2657.36</v>
      </c>
      <c r="E3" s="42">
        <v>2657.36</v>
      </c>
      <c r="F3" s="47" t="s">
        <v>2</v>
      </c>
      <c r="G3" s="47"/>
      <c r="H3" s="47"/>
      <c r="I3" s="47"/>
      <c r="J3" s="272" t="s">
        <v>63</v>
      </c>
      <c r="K3" s="272"/>
      <c r="L3" s="273"/>
      <c r="M3" s="56">
        <v>401.56</v>
      </c>
      <c r="N3" s="56">
        <v>250.82</v>
      </c>
      <c r="O3" s="56">
        <v>470.25</v>
      </c>
      <c r="P3" s="56">
        <v>392.01</v>
      </c>
      <c r="Q3" s="56">
        <v>462.61</v>
      </c>
      <c r="R3" s="56">
        <v>443.53</v>
      </c>
      <c r="S3" s="56">
        <v>563.74</v>
      </c>
      <c r="T3" s="56">
        <v>567.55999999999995</v>
      </c>
      <c r="U3" s="56">
        <v>577.11</v>
      </c>
      <c r="V3" s="56">
        <v>682.99</v>
      </c>
      <c r="W3" s="56">
        <v>447.57</v>
      </c>
      <c r="X3" s="56"/>
      <c r="Y3" s="118">
        <f t="shared" si="0"/>
        <v>5259.7499999999991</v>
      </c>
      <c r="Z3" s="20">
        <f t="shared" ref="Z3:Z23" si="1">AVERAGE(M3:X3)</f>
        <v>478.15909090909082</v>
      </c>
      <c r="AA3" s="272" t="s">
        <v>63</v>
      </c>
      <c r="AB3" s="272"/>
      <c r="AC3" s="273"/>
    </row>
    <row r="4" spans="1:29" ht="16.5" thickTop="1" thickBot="1">
      <c r="A4" s="47"/>
      <c r="B4" s="47"/>
      <c r="C4" s="61">
        <v>800</v>
      </c>
      <c r="D4" s="61">
        <v>1000</v>
      </c>
      <c r="E4" s="61"/>
      <c r="F4" t="s">
        <v>440</v>
      </c>
      <c r="G4" s="47"/>
      <c r="H4" s="47"/>
      <c r="I4">
        <f>AVERAGE(M3:V3)</f>
        <v>481.21799999999996</v>
      </c>
      <c r="J4" s="318" t="s">
        <v>239</v>
      </c>
      <c r="K4" s="319"/>
      <c r="L4" s="320"/>
      <c r="M4" s="58">
        <v>-27536.13</v>
      </c>
      <c r="N4" s="58">
        <v>-27536.13</v>
      </c>
      <c r="O4" s="58">
        <f>D35*-1</f>
        <v>-52922.880000000005</v>
      </c>
      <c r="P4" s="58">
        <f>D35*-1</f>
        <v>-52922.880000000005</v>
      </c>
      <c r="Q4" s="58">
        <f>E35*-1</f>
        <v>-30254.13</v>
      </c>
      <c r="R4" s="58">
        <f>E35*-1</f>
        <v>-30254.13</v>
      </c>
      <c r="S4" s="58">
        <f>E35*-1</f>
        <v>-30254.13</v>
      </c>
      <c r="T4" s="58">
        <f>E35*-1</f>
        <v>-30254.13</v>
      </c>
      <c r="U4" s="58">
        <f>E35*-1</f>
        <v>-30254.13</v>
      </c>
      <c r="V4" s="58">
        <f>E35*-1</f>
        <v>-30254.13</v>
      </c>
      <c r="W4" s="58">
        <f>E35*-1</f>
        <v>-30254.13</v>
      </c>
      <c r="X4" s="58">
        <f>E35*-1</f>
        <v>-30254.13</v>
      </c>
      <c r="Y4" s="118">
        <f t="shared" si="0"/>
        <v>-402951.06000000006</v>
      </c>
      <c r="Z4" s="20">
        <f t="shared" si="1"/>
        <v>-33579.255000000005</v>
      </c>
      <c r="AA4" s="318" t="s">
        <v>239</v>
      </c>
      <c r="AB4" s="319"/>
      <c r="AC4" s="320"/>
    </row>
    <row r="5" spans="1:29" ht="16.5" thickTop="1" thickBot="1">
      <c r="A5" t="s">
        <v>415</v>
      </c>
      <c r="B5" s="47"/>
      <c r="C5" s="61">
        <v>99</v>
      </c>
      <c r="D5" s="61">
        <v>99</v>
      </c>
      <c r="E5" s="61">
        <v>99</v>
      </c>
      <c r="F5" t="s">
        <v>249</v>
      </c>
      <c r="G5" s="47"/>
      <c r="H5" s="47"/>
      <c r="I5" s="47"/>
      <c r="J5" s="257" t="s">
        <v>149</v>
      </c>
      <c r="K5" s="257"/>
      <c r="L5" s="257"/>
      <c r="M5">
        <f>D10+D14</f>
        <v>7500</v>
      </c>
      <c r="N5">
        <f>E10+E14</f>
        <v>6400</v>
      </c>
      <c r="O5">
        <f>E10+E14</f>
        <v>6400</v>
      </c>
      <c r="P5">
        <f>E10+E14</f>
        <v>6400</v>
      </c>
      <c r="Q5">
        <f>E10+E14</f>
        <v>6400</v>
      </c>
      <c r="R5">
        <f>E10+E14</f>
        <v>6400</v>
      </c>
      <c r="S5">
        <f>E10+E14+29000</f>
        <v>35400</v>
      </c>
      <c r="T5">
        <f>E10+E14</f>
        <v>6400</v>
      </c>
      <c r="U5">
        <f>D9+D10+D14</f>
        <v>9900</v>
      </c>
      <c r="V5">
        <f>D9+D10+D14+13181</f>
        <v>23081</v>
      </c>
      <c r="W5">
        <f>D9+D10+D14+4800</f>
        <v>14700</v>
      </c>
      <c r="X5">
        <f>D9+D10+D142+2550+656.42+850+19522.69</f>
        <v>29979.11</v>
      </c>
      <c r="Y5" s="118">
        <f t="shared" si="0"/>
        <v>158960.10999999999</v>
      </c>
      <c r="Z5" s="20">
        <f t="shared" si="1"/>
        <v>13246.675833333333</v>
      </c>
      <c r="AA5" s="257" t="s">
        <v>149</v>
      </c>
      <c r="AB5" s="257"/>
      <c r="AC5" s="257"/>
    </row>
    <row r="6" spans="1:29" ht="16.5" thickTop="1" thickBot="1">
      <c r="A6" s="47"/>
      <c r="B6" s="47"/>
      <c r="C6" s="42">
        <v>200</v>
      </c>
      <c r="D6" s="42">
        <v>200</v>
      </c>
      <c r="E6" s="42">
        <v>200</v>
      </c>
      <c r="F6" s="47" t="s">
        <v>66</v>
      </c>
      <c r="G6" s="47"/>
      <c r="H6" s="47"/>
      <c r="I6" s="47"/>
      <c r="J6" s="258" t="s">
        <v>388</v>
      </c>
      <c r="K6" s="258"/>
      <c r="L6" s="258"/>
      <c r="N6">
        <f>-129</f>
        <v>-129</v>
      </c>
      <c r="O6">
        <f>-90-2064.4-181.99-1110.5</f>
        <v>-3446.8900000000003</v>
      </c>
      <c r="P6">
        <f>-1007.9-1307-72.7-284.6</f>
        <v>-2672.2</v>
      </c>
      <c r="R6">
        <f>-516-1391.1-76-46</f>
        <v>-2029.1</v>
      </c>
      <c r="S6">
        <f>-300-807.4</f>
        <v>-1107.4000000000001</v>
      </c>
      <c r="T6">
        <f>-907.5-282</f>
        <v>-1189.5</v>
      </c>
      <c r="U6">
        <v>-282</v>
      </c>
      <c r="V6">
        <v>-399.5</v>
      </c>
      <c r="W6">
        <f>-253-880-463</f>
        <v>-1596</v>
      </c>
      <c r="X6">
        <v>-508</v>
      </c>
      <c r="Y6" s="118">
        <f t="shared" si="0"/>
        <v>-13359.59</v>
      </c>
      <c r="Z6" s="20">
        <f t="shared" si="1"/>
        <v>-1335.9590000000001</v>
      </c>
      <c r="AA6" s="258" t="s">
        <v>276</v>
      </c>
      <c r="AB6" s="258"/>
      <c r="AC6" s="258"/>
    </row>
    <row r="7" spans="1:29" ht="16.5" thickTop="1" thickBot="1">
      <c r="A7" s="47"/>
      <c r="B7" s="47"/>
      <c r="C7" s="71">
        <v>239</v>
      </c>
      <c r="D7" s="71">
        <v>239</v>
      </c>
      <c r="E7" s="71">
        <v>239</v>
      </c>
      <c r="F7" s="47" t="s">
        <v>4</v>
      </c>
      <c r="G7" s="47"/>
      <c r="H7" s="47"/>
      <c r="J7" s="258" t="s">
        <v>386</v>
      </c>
      <c r="K7" s="259"/>
      <c r="L7" s="259"/>
      <c r="P7">
        <v>-359</v>
      </c>
      <c r="T7">
        <f>-359-70.3</f>
        <v>-429.3</v>
      </c>
      <c r="Y7" s="118">
        <f t="shared" si="0"/>
        <v>-788.3</v>
      </c>
      <c r="Z7" s="20">
        <f t="shared" si="1"/>
        <v>-394.15</v>
      </c>
      <c r="AA7" s="259" t="s">
        <v>65</v>
      </c>
      <c r="AB7" s="259"/>
      <c r="AC7" s="259"/>
    </row>
    <row r="8" spans="1:29" ht="16.5" thickTop="1" thickBot="1">
      <c r="A8" s="47"/>
      <c r="B8" s="47"/>
      <c r="C8" s="71">
        <v>870</v>
      </c>
      <c r="D8" s="71">
        <v>870</v>
      </c>
      <c r="E8" s="71">
        <v>870</v>
      </c>
      <c r="F8" s="47" t="s">
        <v>138</v>
      </c>
      <c r="G8" s="47"/>
      <c r="H8" s="47"/>
      <c r="I8" s="47"/>
      <c r="J8" s="259" t="s">
        <v>105</v>
      </c>
      <c r="K8" s="259"/>
      <c r="L8" s="291"/>
      <c r="M8">
        <f>-140-127.8-460-178-615-39-119.8-592</f>
        <v>-2271.6</v>
      </c>
      <c r="N8">
        <f>-220-36.4-170.7</f>
        <v>-427.09999999999997</v>
      </c>
      <c r="O8">
        <f>-162.7-360-550-163.8-465-76.8-521.73</f>
        <v>-2300.0299999999997</v>
      </c>
      <c r="P8">
        <f>-700-120-219-61.9-375-275-151-121.8-580-240-110-260</f>
        <v>-3213.7</v>
      </c>
      <c r="R8">
        <f>-460-146-245-184.6-74-97.8</f>
        <v>-1207.3999999999999</v>
      </c>
      <c r="S8">
        <f>-525-465-45-117.8-88.9-85.9-68-62-160-75.8-500-79-99.8-81.9-230-135.6</f>
        <v>-2819.7000000000003</v>
      </c>
      <c r="T8">
        <f>-137.8-180-240-158-39-55-102.76-78.59-51.8-410-91.8</f>
        <v>-1544.75</v>
      </c>
      <c r="U8">
        <f>-170.7-110-115-27.28-83.18-299.7-72.8-150-130-200-280-135-285.56</f>
        <v>-2059.2199999999998</v>
      </c>
      <c r="V8">
        <f>-34.9-69-81.9-81.9-212.9-175-240-161-184.58-145-147.7</f>
        <v>-1533.8799999999999</v>
      </c>
      <c r="W8">
        <f>-81.9-50-55.9-55</f>
        <v>-242.8</v>
      </c>
      <c r="X8">
        <f>-55.8-89.9-133.7-420-200-170-52</f>
        <v>-1121.4000000000001</v>
      </c>
      <c r="Y8" s="118">
        <f t="shared" si="0"/>
        <v>-18741.580000000002</v>
      </c>
      <c r="Z8" s="20">
        <f t="shared" si="1"/>
        <v>-1703.7800000000002</v>
      </c>
      <c r="AA8" s="259" t="s">
        <v>105</v>
      </c>
      <c r="AB8" s="259"/>
      <c r="AC8" s="291"/>
    </row>
    <row r="9" spans="1:29" ht="16.5" thickTop="1" thickBot="1">
      <c r="A9" s="47"/>
      <c r="B9" s="47"/>
      <c r="C9" s="61"/>
      <c r="D9" s="61">
        <v>2400</v>
      </c>
      <c r="E9" s="61">
        <v>2000</v>
      </c>
      <c r="F9" t="s">
        <v>268</v>
      </c>
      <c r="G9" s="47"/>
      <c r="H9" s="47"/>
      <c r="I9" s="47"/>
      <c r="J9" s="258" t="s">
        <v>291</v>
      </c>
      <c r="K9" s="258"/>
      <c r="L9" s="290"/>
      <c r="O9">
        <f>-58.79</f>
        <v>-58.79</v>
      </c>
      <c r="P9">
        <f>-1610-152.99</f>
        <v>-1762.99</v>
      </c>
      <c r="R9">
        <f>-337.03-139.98-131.98</f>
        <v>-608.99</v>
      </c>
      <c r="V9">
        <v>-69.97</v>
      </c>
      <c r="W9">
        <v>-86.42</v>
      </c>
      <c r="Y9" s="118">
        <f t="shared" si="0"/>
        <v>-2587.16</v>
      </c>
      <c r="Z9" s="20">
        <f t="shared" si="1"/>
        <v>-517.43200000000002</v>
      </c>
      <c r="AA9" s="258" t="s">
        <v>291</v>
      </c>
      <c r="AB9" s="258"/>
      <c r="AC9" s="290"/>
    </row>
    <row r="10" spans="1:29" ht="16.5" thickTop="1" thickBot="1">
      <c r="A10" s="47"/>
      <c r="B10" s="47"/>
      <c r="C10" s="61">
        <v>2400</v>
      </c>
      <c r="D10" s="61">
        <v>4000</v>
      </c>
      <c r="E10" s="61">
        <v>2400</v>
      </c>
      <c r="F10" t="s">
        <v>6</v>
      </c>
      <c r="G10" s="47"/>
      <c r="H10" s="47"/>
      <c r="I10" s="125"/>
      <c r="J10" s="258" t="s">
        <v>269</v>
      </c>
      <c r="K10" s="258"/>
      <c r="L10" s="290"/>
      <c r="M10">
        <f>-164.97-724.74-276-123.96-161.51-179.05-612-544.58-437.46-418.98-130.97</f>
        <v>-3774.22</v>
      </c>
      <c r="N10">
        <f>-419.98-256.52-38.98-54.95-180.95-22.58-104.98-152.38-835.03</f>
        <v>-2066.3500000000004</v>
      </c>
      <c r="O10">
        <f>-518.51-444.42-34.98-188.93-39.98-377.93-272.63-109.99-106.51-517-299.2</f>
        <v>-2910.08</v>
      </c>
      <c r="P10">
        <f>-1177.58-43.47-445.49-491.97-1088.14-57.98-200.25-62.48-55.19-442.53</f>
        <v>-4065.0800000000008</v>
      </c>
      <c r="Q10">
        <f>-265.94-345.4-150.95-69.54-272.2</f>
        <v>-1104.03</v>
      </c>
      <c r="R10">
        <f>-1191.02-21.28-104.17-265.65-70.96-146.97-79.77-105.23-131.95-165.07-97-527.28-55.89-65.78</f>
        <v>-3028.0200000000004</v>
      </c>
      <c r="S10">
        <f>-287.88-174.84-293.21-42.56-819.9-73.23-190</f>
        <v>-1881.62</v>
      </c>
      <c r="T10">
        <f>-213.93-221.57-170.58-91.98</f>
        <v>-698.06000000000006</v>
      </c>
      <c r="U10">
        <f>-411.2-48.98-365.12-81.96-194.93-243.46</f>
        <v>-1345.65</v>
      </c>
      <c r="V10">
        <f>-75.57-216.4-226.44-220.12</f>
        <v>-738.53000000000009</v>
      </c>
      <c r="W10">
        <v>-508.39</v>
      </c>
      <c r="X10">
        <v>-416.06</v>
      </c>
      <c r="Y10" s="118">
        <f t="shared" si="0"/>
        <v>-22536.09</v>
      </c>
      <c r="Z10" s="20">
        <f t="shared" si="1"/>
        <v>-1878.0074999999999</v>
      </c>
      <c r="AA10" s="258" t="s">
        <v>269</v>
      </c>
      <c r="AB10" s="258"/>
      <c r="AC10" s="290"/>
    </row>
    <row r="11" spans="1:29" ht="16.5" thickTop="1" thickBot="1">
      <c r="A11" s="47"/>
      <c r="B11" s="47"/>
      <c r="C11" s="71">
        <v>5450</v>
      </c>
      <c r="D11" s="135">
        <v>3000</v>
      </c>
      <c r="E11" s="135">
        <v>5700</v>
      </c>
      <c r="F11" s="47" t="s">
        <v>8</v>
      </c>
      <c r="G11" s="47"/>
      <c r="H11" s="47"/>
      <c r="I11" s="126"/>
      <c r="J11" s="258" t="s">
        <v>301</v>
      </c>
      <c r="K11" s="258"/>
      <c r="L11" s="290"/>
      <c r="M11">
        <f>-846.02-566.69</f>
        <v>-1412.71</v>
      </c>
      <c r="N11">
        <f>-618.15-442</f>
        <v>-1060.1500000000001</v>
      </c>
      <c r="O11">
        <f>-806.38-521.8-170.7-1054.59</f>
        <v>-2553.4699999999998</v>
      </c>
      <c r="P11">
        <f>-1162.95-166.62</f>
        <v>-1329.5700000000002</v>
      </c>
      <c r="Q11">
        <v>-617.28</v>
      </c>
      <c r="R11">
        <v>-350.82</v>
      </c>
      <c r="S11">
        <f>-692.07-148.12-110.96-1752.4-35.97</f>
        <v>-2739.52</v>
      </c>
      <c r="U11">
        <v>-840.95</v>
      </c>
      <c r="V11">
        <v>-276.31</v>
      </c>
      <c r="W11">
        <f>-587.5-885.25</f>
        <v>-1472.75</v>
      </c>
      <c r="X11">
        <f>-1413.38-421.9</f>
        <v>-1835.2800000000002</v>
      </c>
      <c r="Y11" s="118">
        <f t="shared" si="0"/>
        <v>-14488.81</v>
      </c>
      <c r="Z11" s="20">
        <f t="shared" si="1"/>
        <v>-1317.1645454545453</v>
      </c>
      <c r="AA11" s="258" t="s">
        <v>301</v>
      </c>
      <c r="AB11" s="258"/>
      <c r="AC11" s="290"/>
    </row>
    <row r="12" spans="1:29" ht="16.5" thickTop="1" thickBot="1">
      <c r="A12" s="47"/>
      <c r="B12" s="47" t="s">
        <v>7</v>
      </c>
      <c r="C12" s="71">
        <v>800</v>
      </c>
      <c r="D12" s="135">
        <f>(8*180) +(4*225)</f>
        <v>2340</v>
      </c>
      <c r="E12" s="135"/>
      <c r="F12" t="s">
        <v>413</v>
      </c>
      <c r="G12" s="47"/>
      <c r="H12" s="47"/>
      <c r="I12" s="47"/>
      <c r="J12" s="259" t="s">
        <v>95</v>
      </c>
      <c r="K12" s="259"/>
      <c r="L12" s="259"/>
      <c r="O12">
        <f>-240.1-170-42.8-90-219.65-57.97</f>
        <v>-820.5200000000001</v>
      </c>
      <c r="S12">
        <v>-1755</v>
      </c>
      <c r="Y12" s="118">
        <f t="shared" si="0"/>
        <v>-2575.52</v>
      </c>
      <c r="Z12" s="20">
        <f t="shared" si="1"/>
        <v>-1287.76</v>
      </c>
      <c r="AA12" s="259" t="s">
        <v>95</v>
      </c>
      <c r="AB12" s="259"/>
      <c r="AC12" s="259"/>
    </row>
    <row r="13" spans="1:29" ht="16.5" thickTop="1" thickBot="1">
      <c r="A13" s="47" t="s">
        <v>9</v>
      </c>
      <c r="B13" s="47"/>
      <c r="C13" s="71">
        <v>210</v>
      </c>
      <c r="D13" s="71"/>
      <c r="E13" s="71">
        <v>210</v>
      </c>
      <c r="F13" s="47" t="s">
        <v>10</v>
      </c>
      <c r="G13" s="47"/>
      <c r="H13" s="47"/>
      <c r="I13" s="47"/>
      <c r="J13" s="258" t="s">
        <v>444</v>
      </c>
      <c r="K13" s="259"/>
      <c r="L13" s="259"/>
      <c r="N13">
        <f>-228</f>
        <v>-228</v>
      </c>
      <c r="O13">
        <f>-1564.22-38</f>
        <v>-1602.22</v>
      </c>
      <c r="P13">
        <f>-260-300</f>
        <v>-560</v>
      </c>
      <c r="Q13">
        <v>-114.8</v>
      </c>
      <c r="R13">
        <v>-2047.5</v>
      </c>
      <c r="S13">
        <v>-316</v>
      </c>
      <c r="T13">
        <v>-170</v>
      </c>
      <c r="U13">
        <f>-150-89-10-10-26-224.48-224.48</f>
        <v>-733.96</v>
      </c>
      <c r="V13">
        <f>-5-36-5-18-5-35-98.81-20-10-79-10-99</f>
        <v>-420.81</v>
      </c>
      <c r="Y13" s="118">
        <f t="shared" si="0"/>
        <v>-6193.2900000000009</v>
      </c>
      <c r="Z13" s="20">
        <f t="shared" si="1"/>
        <v>-688.14333333333343</v>
      </c>
      <c r="AA13" s="259" t="s">
        <v>67</v>
      </c>
      <c r="AB13" s="259"/>
      <c r="AC13" s="259"/>
    </row>
    <row r="14" spans="1:29" ht="16.5" thickTop="1" thickBot="1">
      <c r="A14" s="47"/>
      <c r="B14" s="47"/>
      <c r="C14" s="61">
        <v>4000</v>
      </c>
      <c r="D14" s="61">
        <v>3500</v>
      </c>
      <c r="E14" s="61">
        <v>4000</v>
      </c>
      <c r="F14" s="47" t="s">
        <v>11</v>
      </c>
      <c r="G14" s="47"/>
      <c r="H14" s="47"/>
      <c r="I14" s="47"/>
      <c r="J14" s="258" t="s">
        <v>299</v>
      </c>
      <c r="K14" s="258"/>
      <c r="L14" s="258"/>
      <c r="M14">
        <f>-350-52.99</f>
        <v>-402.99</v>
      </c>
      <c r="N14">
        <v>-87.9</v>
      </c>
      <c r="O14">
        <f>-58</f>
        <v>-58</v>
      </c>
      <c r="P14">
        <f>-110-150-2200-130</f>
        <v>-2590</v>
      </c>
      <c r="Q14">
        <f>-450-89.99</f>
        <v>-539.99</v>
      </c>
      <c r="R14" s="16">
        <f>-399.95-200-60</f>
        <v>-659.95</v>
      </c>
      <c r="S14" s="114">
        <f>-599.8-998.94</f>
        <v>-1598.74</v>
      </c>
      <c r="T14">
        <f>-1168.2-746</f>
        <v>-1914.2</v>
      </c>
      <c r="Y14" s="118">
        <f t="shared" si="0"/>
        <v>-7851.7699999999995</v>
      </c>
      <c r="Z14" s="20">
        <f t="shared" si="1"/>
        <v>-981.47124999999994</v>
      </c>
      <c r="AA14" s="258" t="s">
        <v>299</v>
      </c>
      <c r="AB14" s="258"/>
      <c r="AC14" s="258"/>
    </row>
    <row r="15" spans="1:29" ht="16.5" thickTop="1" thickBot="1">
      <c r="A15" s="47"/>
      <c r="B15" s="47"/>
      <c r="C15" s="61">
        <v>500</v>
      </c>
      <c r="D15" s="61">
        <f>597+155+155</f>
        <v>907</v>
      </c>
      <c r="E15" s="61">
        <v>500</v>
      </c>
      <c r="F15" s="47" t="s">
        <v>144</v>
      </c>
      <c r="G15" s="47"/>
      <c r="H15" s="47"/>
      <c r="I15" s="47"/>
      <c r="J15" s="258" t="s">
        <v>264</v>
      </c>
      <c r="K15" s="258"/>
      <c r="L15" s="290"/>
      <c r="M15">
        <f>-139</f>
        <v>-139</v>
      </c>
      <c r="N15">
        <f>-169.58</f>
        <v>-169.58</v>
      </c>
      <c r="O15">
        <f>-19.99-19.99-60-120-50.28-83.8</f>
        <v>-354.06</v>
      </c>
      <c r="P15">
        <f>-40-120-120</f>
        <v>-280</v>
      </c>
      <c r="Q15">
        <f>-169.97-135</f>
        <v>-304.97000000000003</v>
      </c>
      <c r="R15">
        <v>-274.89999999999998</v>
      </c>
      <c r="S15" s="161">
        <f>-2000-254.98-107.6-1800-110.25</f>
        <v>-4272.83</v>
      </c>
      <c r="U15">
        <v>-390.59</v>
      </c>
      <c r="V15" s="188">
        <f>-132.4-224.86-3.52-525-1027.5-205-134</f>
        <v>-2252.2799999999997</v>
      </c>
      <c r="W15">
        <v>-900</v>
      </c>
      <c r="X15">
        <v>-234.99</v>
      </c>
      <c r="Y15" s="118">
        <f t="shared" si="0"/>
        <v>-9573.1999999999989</v>
      </c>
      <c r="Z15" s="20">
        <f t="shared" si="1"/>
        <v>-870.29090909090894</v>
      </c>
      <c r="AA15" s="258" t="s">
        <v>264</v>
      </c>
      <c r="AB15" s="258"/>
      <c r="AC15" s="290"/>
    </row>
    <row r="16" spans="1:29" ht="16.5" thickTop="1" thickBot="1">
      <c r="A16" s="47"/>
      <c r="B16" s="47"/>
      <c r="C16" s="61">
        <v>130</v>
      </c>
      <c r="D16" s="61">
        <v>130</v>
      </c>
      <c r="E16" s="61">
        <v>130</v>
      </c>
      <c r="F16" s="47" t="s">
        <v>13</v>
      </c>
      <c r="G16" s="47"/>
      <c r="H16" s="47"/>
      <c r="I16" s="47"/>
      <c r="J16" s="258" t="s">
        <v>387</v>
      </c>
      <c r="K16" s="259"/>
      <c r="L16" s="291"/>
      <c r="N16">
        <f>-144.94-49.98-74.9</f>
        <v>-269.82</v>
      </c>
      <c r="Q16">
        <v>-250</v>
      </c>
      <c r="R16">
        <v>-669.96</v>
      </c>
      <c r="T16">
        <v>-1101.3</v>
      </c>
      <c r="V16" s="134">
        <v>-25350</v>
      </c>
      <c r="W16">
        <f>-142.93-136.25</f>
        <v>-279.18</v>
      </c>
      <c r="Y16" s="118">
        <f t="shared" si="0"/>
        <v>-27920.260000000002</v>
      </c>
      <c r="Z16" s="20">
        <f t="shared" si="1"/>
        <v>-4653.376666666667</v>
      </c>
      <c r="AA16" s="259" t="s">
        <v>58</v>
      </c>
      <c r="AB16" s="259"/>
      <c r="AC16" s="291"/>
    </row>
    <row r="17" spans="1:29" ht="16.5" thickTop="1" thickBot="1">
      <c r="A17" s="47"/>
      <c r="B17" s="47"/>
      <c r="C17" s="61">
        <v>140</v>
      </c>
      <c r="D17" s="61">
        <v>140</v>
      </c>
      <c r="E17" s="61">
        <v>140</v>
      </c>
      <c r="F17" t="s">
        <v>248</v>
      </c>
      <c r="G17" s="47"/>
      <c r="H17" s="47"/>
      <c r="I17" s="47"/>
      <c r="J17" s="258" t="s">
        <v>250</v>
      </c>
      <c r="K17" s="258"/>
      <c r="L17" s="290"/>
      <c r="M17">
        <f>-445-445-1416.49-86-75-69.99-588.25</f>
        <v>-3125.7299999999996</v>
      </c>
      <c r="N17">
        <f>-80.27</f>
        <v>-80.27</v>
      </c>
      <c r="O17">
        <f>-236.35-1483.8</f>
        <v>-1720.1499999999999</v>
      </c>
      <c r="P17">
        <f>-155.79-711.2</f>
        <v>-866.99</v>
      </c>
      <c r="Q17">
        <f>-1082.26-1005.7-597.15</f>
        <v>-2685.11</v>
      </c>
      <c r="R17">
        <f>-236.62-550.7-219.85-89.95</f>
        <v>-1097.1200000000001</v>
      </c>
      <c r="S17">
        <f>-49.95-108.14-183.85</f>
        <v>-341.94</v>
      </c>
      <c r="T17">
        <f>-124.9-599.66-292.9-126.9</f>
        <v>-1144.3599999999999</v>
      </c>
      <c r="U17" s="42">
        <f>-1013.9-2210-395-201.2-138.9-114.86</f>
        <v>-4073.86</v>
      </c>
      <c r="V17">
        <f>-462.6-1500.28-494.05</f>
        <v>-2456.9300000000003</v>
      </c>
      <c r="W17">
        <f>-347.32</f>
        <v>-347.32</v>
      </c>
      <c r="X17">
        <f>-2550-850-279.61</f>
        <v>-3679.61</v>
      </c>
      <c r="Y17" s="118">
        <f t="shared" si="0"/>
        <v>-21619.390000000003</v>
      </c>
      <c r="Z17" s="20">
        <f t="shared" si="1"/>
        <v>-1801.6158333333335</v>
      </c>
      <c r="AA17" s="258" t="s">
        <v>250</v>
      </c>
      <c r="AB17" s="258"/>
      <c r="AC17" s="290"/>
    </row>
    <row r="18" spans="1:29" ht="16.5" thickTop="1" thickBot="1">
      <c r="A18" s="47"/>
      <c r="B18" s="47"/>
      <c r="C18" s="71">
        <v>289</v>
      </c>
      <c r="D18" s="71">
        <v>289</v>
      </c>
      <c r="E18" s="71">
        <v>289</v>
      </c>
      <c r="F18" s="47" t="s">
        <v>88</v>
      </c>
      <c r="G18" s="47"/>
      <c r="H18" s="47"/>
      <c r="I18" s="47"/>
      <c r="J18" s="258" t="s">
        <v>268</v>
      </c>
      <c r="K18" s="258"/>
      <c r="L18" s="290"/>
      <c r="Q18">
        <f>-200-200-200-200-200-200-200-200</f>
        <v>-1600</v>
      </c>
      <c r="R18">
        <f>-200-200-217-500-200-200</f>
        <v>-1517</v>
      </c>
      <c r="S18">
        <f>-500-550-200-565-200-200-565</f>
        <v>-2780</v>
      </c>
      <c r="T18">
        <f>-500-565-565-100</f>
        <v>-1730</v>
      </c>
      <c r="U18">
        <f>-565-565-200-565-565</f>
        <v>-2460</v>
      </c>
      <c r="V18">
        <f>-565-200-100-565-656</f>
        <v>-2086</v>
      </c>
      <c r="W18">
        <f>-48-22-565-100</f>
        <v>-735</v>
      </c>
      <c r="X18">
        <f>-200-46-565-200-200-200-58-46-565-100</f>
        <v>-2180</v>
      </c>
      <c r="Y18" s="118">
        <f t="shared" si="0"/>
        <v>-15088</v>
      </c>
      <c r="Z18" s="20">
        <f t="shared" si="1"/>
        <v>-1886</v>
      </c>
      <c r="AA18" s="258" t="s">
        <v>268</v>
      </c>
      <c r="AB18" s="258"/>
      <c r="AC18" s="290"/>
    </row>
    <row r="19" spans="1:29" ht="16.5" thickTop="1" thickBot="1">
      <c r="A19" s="47"/>
      <c r="B19" s="47"/>
      <c r="C19" s="71">
        <f>50+128+128+50</f>
        <v>356</v>
      </c>
      <c r="D19" s="71">
        <f>50+137+137+50+50+125</f>
        <v>549</v>
      </c>
      <c r="E19" s="71">
        <f>50+128</f>
        <v>178</v>
      </c>
      <c r="F19" t="s">
        <v>445</v>
      </c>
      <c r="G19" s="47"/>
      <c r="I19" s="47"/>
      <c r="J19" s="265" t="s">
        <v>6</v>
      </c>
      <c r="K19" s="265"/>
      <c r="L19" s="301"/>
      <c r="M19">
        <f>-821.85-653.85-740-787.15</f>
        <v>-3002.85</v>
      </c>
      <c r="N19">
        <f>-837.3-769.5</f>
        <v>-1606.8</v>
      </c>
      <c r="O19">
        <f>-832-882-886.48-707</f>
        <v>-3307.48</v>
      </c>
      <c r="P19">
        <f>-903.65-959.45</f>
        <v>-1863.1</v>
      </c>
      <c r="Q19">
        <f>-1004.45-931.6</f>
        <v>-1936.0500000000002</v>
      </c>
      <c r="R19">
        <v>-992.95</v>
      </c>
      <c r="S19">
        <f>-923.79-923</f>
        <v>-1846.79</v>
      </c>
      <c r="T19">
        <f>-966.3-833.45-932.5-988.45</f>
        <v>-3720.7</v>
      </c>
      <c r="U19">
        <v>-882.05</v>
      </c>
      <c r="V19">
        <f>-4.78-927.5-4.78-865.45-996.58-942.8</f>
        <v>-3741.8900000000003</v>
      </c>
      <c r="W19">
        <f>-69.99-850.18-766</f>
        <v>-1686.17</v>
      </c>
      <c r="X19">
        <f>-996.3-885.7-1008.9</f>
        <v>-2890.9</v>
      </c>
      <c r="Y19" s="118">
        <f t="shared" si="0"/>
        <v>-27477.730000000003</v>
      </c>
      <c r="Z19" s="20">
        <f t="shared" si="1"/>
        <v>-2289.8108333333334</v>
      </c>
      <c r="AA19" s="265" t="s">
        <v>6</v>
      </c>
      <c r="AB19" s="265"/>
      <c r="AC19" s="301"/>
    </row>
    <row r="20" spans="1:29" ht="16.5" thickTop="1" thickBot="1">
      <c r="A20" s="47"/>
      <c r="B20" s="47"/>
      <c r="C20" s="71">
        <v>2000</v>
      </c>
      <c r="D20" s="135">
        <v>2000</v>
      </c>
      <c r="E20" s="135">
        <v>2000</v>
      </c>
      <c r="F20" s="47" t="s">
        <v>17</v>
      </c>
      <c r="G20" s="47" t="s">
        <v>137</v>
      </c>
      <c r="J20" s="303" t="s">
        <v>60</v>
      </c>
      <c r="K20" s="303"/>
      <c r="L20" s="303"/>
      <c r="N20">
        <v>-2040</v>
      </c>
      <c r="O20">
        <f>-1625-500-500-228-37-62-37-62</f>
        <v>-3051</v>
      </c>
      <c r="P20">
        <f>-375-1230-500-228</f>
        <v>-2333</v>
      </c>
      <c r="Q20">
        <v>-2499.9699999999998</v>
      </c>
      <c r="R20">
        <v>-2014</v>
      </c>
      <c r="V20">
        <v>-2251</v>
      </c>
      <c r="Y20" s="118">
        <f>SUM(M20:X20)</f>
        <v>-14188.97</v>
      </c>
      <c r="Z20" s="20">
        <f t="shared" si="1"/>
        <v>-2364.8283333333334</v>
      </c>
      <c r="AA20" s="303" t="s">
        <v>60</v>
      </c>
      <c r="AB20" s="303"/>
      <c r="AC20" s="303"/>
    </row>
    <row r="21" spans="1:29" ht="16.5" thickTop="1" thickBot="1">
      <c r="A21" s="47"/>
      <c r="B21" s="47" t="s">
        <v>7</v>
      </c>
      <c r="C21" s="42">
        <f>2928+222</f>
        <v>3150</v>
      </c>
      <c r="D21" s="135">
        <v>2600</v>
      </c>
      <c r="E21" s="135">
        <v>3468</v>
      </c>
      <c r="F21" t="s">
        <v>414</v>
      </c>
      <c r="G21" s="179"/>
      <c r="H21" s="47"/>
      <c r="J21" s="324" t="s">
        <v>443</v>
      </c>
      <c r="K21" s="325"/>
      <c r="L21" s="326"/>
      <c r="U21">
        <f>-15-15-20-20</f>
        <v>-70</v>
      </c>
      <c r="V21">
        <f>-16-16-5.5</f>
        <v>-37.5</v>
      </c>
      <c r="Y21" s="118"/>
      <c r="Z21" s="20"/>
      <c r="AA21" s="187"/>
      <c r="AB21" s="187"/>
      <c r="AC21" s="187"/>
    </row>
    <row r="22" spans="1:29" ht="16.5" thickTop="1" thickBot="1">
      <c r="A22" s="47"/>
      <c r="B22" s="47"/>
      <c r="C22" s="71">
        <v>405</v>
      </c>
      <c r="D22" s="71">
        <f>590+330</f>
        <v>920</v>
      </c>
      <c r="E22" s="71">
        <f>405+430</f>
        <v>835</v>
      </c>
      <c r="F22" t="s">
        <v>416</v>
      </c>
      <c r="G22" s="47"/>
      <c r="H22" s="47"/>
      <c r="J22" s="297" t="s">
        <v>298</v>
      </c>
      <c r="K22" s="297"/>
      <c r="L22" s="297"/>
      <c r="P22">
        <v>-46.96</v>
      </c>
      <c r="Q22">
        <f>-595.52-180.39</f>
        <v>-775.91</v>
      </c>
      <c r="S22">
        <f>-563.88-176.62</f>
        <v>-740.5</v>
      </c>
      <c r="V22" s="16">
        <f>-23.48-40.67-21.74-19.13-46.96-350-150-43</f>
        <v>-694.98</v>
      </c>
      <c r="Y22" s="118">
        <f>SUM(M22:X22)</f>
        <v>-2258.35</v>
      </c>
      <c r="Z22" s="20">
        <f t="shared" si="1"/>
        <v>-564.58749999999998</v>
      </c>
      <c r="AA22" s="297" t="s">
        <v>298</v>
      </c>
      <c r="AB22" s="297"/>
      <c r="AC22" s="297"/>
    </row>
    <row r="23" spans="1:29" ht="16.5" thickTop="1" thickBot="1">
      <c r="A23" s="47"/>
      <c r="B23" s="47"/>
      <c r="C23" s="71"/>
      <c r="D23">
        <v>18643.75</v>
      </c>
      <c r="E23" s="71"/>
      <c r="F23" s="180" t="s">
        <v>412</v>
      </c>
      <c r="G23" s="47"/>
      <c r="H23" s="47"/>
      <c r="I23" s="47"/>
      <c r="J23" s="258" t="s">
        <v>297</v>
      </c>
      <c r="K23" s="258"/>
      <c r="L23" s="258"/>
      <c r="P23">
        <f>-390-430-260-250</f>
        <v>-1330</v>
      </c>
      <c r="Q23">
        <f>-350</f>
        <v>-350</v>
      </c>
      <c r="V23">
        <v>-590</v>
      </c>
      <c r="Y23" s="118">
        <f>SUM(M23:X23)</f>
        <v>-2270</v>
      </c>
      <c r="Z23" s="20">
        <f t="shared" si="1"/>
        <v>-756.66666666666663</v>
      </c>
      <c r="AA23" s="258" t="s">
        <v>297</v>
      </c>
      <c r="AB23" s="258"/>
      <c r="AC23" s="258"/>
    </row>
    <row r="24" spans="1:29" ht="16.5" thickTop="1" thickBot="1">
      <c r="A24" s="47"/>
      <c r="B24" s="47"/>
      <c r="C24" s="71"/>
      <c r="D24" s="71">
        <v>4400</v>
      </c>
      <c r="E24" s="71"/>
      <c r="F24" s="180" t="s">
        <v>401</v>
      </c>
      <c r="G24" s="47"/>
      <c r="H24" s="47"/>
      <c r="I24" s="47"/>
      <c r="J24" s="323" t="s">
        <v>300</v>
      </c>
      <c r="K24" s="323"/>
      <c r="L24" s="323"/>
      <c r="M24" s="115">
        <f t="shared" ref="M24:X24" si="2">SUM(M5:M23)</f>
        <v>-6629.1</v>
      </c>
      <c r="N24" s="115">
        <f t="shared" si="2"/>
        <v>-1764.9700000000007</v>
      </c>
      <c r="O24" s="115">
        <f t="shared" si="2"/>
        <v>-15782.69</v>
      </c>
      <c r="P24" s="115">
        <f t="shared" si="2"/>
        <v>-16872.59</v>
      </c>
      <c r="Q24" s="115">
        <f t="shared" si="2"/>
        <v>-6378.11</v>
      </c>
      <c r="R24" s="115">
        <f t="shared" si="2"/>
        <v>-10097.709999999999</v>
      </c>
      <c r="S24" s="115">
        <f t="shared" si="2"/>
        <v>13199.959999999995</v>
      </c>
      <c r="T24" s="115">
        <f t="shared" si="2"/>
        <v>-7242.17</v>
      </c>
      <c r="U24" s="115">
        <f t="shared" si="2"/>
        <v>-3238.2799999999988</v>
      </c>
      <c r="V24" s="115">
        <f t="shared" si="2"/>
        <v>-19818.580000000002</v>
      </c>
      <c r="W24" s="115">
        <f t="shared" si="2"/>
        <v>6845.9700000000012</v>
      </c>
      <c r="X24" s="115">
        <f t="shared" si="2"/>
        <v>17112.869999999995</v>
      </c>
      <c r="Y24" s="145">
        <f>SUM(Y4:Y23)+Y2-Y3</f>
        <v>30651.850000000035</v>
      </c>
      <c r="Z24" s="146">
        <f>SUM(Z4:Z23)+Z2-Z3</f>
        <v>-5316.735962121219</v>
      </c>
    </row>
    <row r="25" spans="1:29" ht="15.75" thickBot="1">
      <c r="A25" s="47"/>
      <c r="B25" s="47"/>
      <c r="C25" s="71">
        <v>500</v>
      </c>
      <c r="D25" s="135">
        <v>200</v>
      </c>
      <c r="E25" s="135">
        <v>500</v>
      </c>
      <c r="F25" t="s">
        <v>241</v>
      </c>
      <c r="G25" s="47"/>
      <c r="H25" s="47"/>
      <c r="I25" s="47"/>
      <c r="J25" s="260" t="s">
        <v>61</v>
      </c>
      <c r="K25" s="260"/>
      <c r="L25" s="261"/>
      <c r="M25" s="140">
        <f>M2+SUM(M4:M23)-M3</f>
        <v>-2109.0300000000047</v>
      </c>
      <c r="N25" s="141">
        <f>N2 + SUM(N4:N23)-N3</f>
        <v>9119.9399999999951</v>
      </c>
      <c r="O25" s="141">
        <f>O2 + SUM(O4:O23)-O3</f>
        <v>-36144.630000000005</v>
      </c>
      <c r="P25" s="141">
        <f>P2 +SUM(P4:P23)-P3</f>
        <v>-24313.66</v>
      </c>
      <c r="Q25" s="141">
        <f t="shared" ref="Q25:X25" si="3">Q2+SUM(Q4:Q23)-Q3</f>
        <v>5370.9199999999919</v>
      </c>
      <c r="R25" s="142">
        <f t="shared" si="3"/>
        <v>1556.9899999999968</v>
      </c>
      <c r="S25" s="142">
        <f t="shared" si="3"/>
        <v>24734.449999999997</v>
      </c>
      <c r="T25" s="141">
        <f t="shared" si="3"/>
        <v>4288.4999999999982</v>
      </c>
      <c r="U25" s="141">
        <f t="shared" si="3"/>
        <v>8396.2499999999927</v>
      </c>
      <c r="V25" s="141">
        <f t="shared" si="3"/>
        <v>-8289.9300000000094</v>
      </c>
      <c r="W25" s="141">
        <f t="shared" si="3"/>
        <v>18610.04</v>
      </c>
      <c r="X25" s="143">
        <f t="shared" si="3"/>
        <v>29324.509999999995</v>
      </c>
    </row>
    <row r="26" spans="1:29" ht="15.75" thickBot="1">
      <c r="A26" s="47"/>
      <c r="B26" s="47"/>
      <c r="C26" s="80"/>
      <c r="D26" s="88"/>
      <c r="E26" s="88">
        <v>1000</v>
      </c>
      <c r="F26" s="47" t="s">
        <v>19</v>
      </c>
      <c r="G26" s="47"/>
      <c r="H26" s="47"/>
      <c r="I26" s="47"/>
      <c r="J26" s="253" t="s">
        <v>62</v>
      </c>
      <c r="K26" s="253"/>
      <c r="L26" s="253"/>
      <c r="M26" s="61">
        <f>M25</f>
        <v>-2109.0300000000047</v>
      </c>
      <c r="N26" s="61">
        <f>SUM(M25:N25)</f>
        <v>7010.9099999999908</v>
      </c>
      <c r="O26" s="61">
        <f>SUM(M25:O25)</f>
        <v>-29133.720000000016</v>
      </c>
      <c r="P26" s="61">
        <f>SUM(M25:P25)</f>
        <v>-53447.380000000019</v>
      </c>
      <c r="Q26" s="61">
        <f>SUM(M25:Q25)</f>
        <v>-48076.460000000028</v>
      </c>
      <c r="R26" s="61">
        <f>SUM(M25:R25)</f>
        <v>-46519.47000000003</v>
      </c>
      <c r="S26" s="61">
        <f>SUM(M25:S25)</f>
        <v>-21785.020000000033</v>
      </c>
      <c r="T26" s="61">
        <f>SUM(M25:T25)</f>
        <v>-17496.520000000033</v>
      </c>
      <c r="U26" s="61">
        <f>SUM(M25:U25)</f>
        <v>-9100.2700000000405</v>
      </c>
      <c r="V26" s="61">
        <f>SUM(M25:V25)</f>
        <v>-17390.200000000048</v>
      </c>
      <c r="W26" s="61">
        <f>SUM(M25:W25)</f>
        <v>1219.8399999999529</v>
      </c>
      <c r="X26" s="61">
        <f>SUM(M25:X25)</f>
        <v>30544.349999999948</v>
      </c>
    </row>
    <row r="27" spans="1:29">
      <c r="A27" s="47"/>
      <c r="B27" s="81" t="s">
        <v>20</v>
      </c>
      <c r="C27" s="82"/>
      <c r="D27" s="49"/>
      <c r="E27" s="47"/>
      <c r="F27" s="47"/>
      <c r="G27" s="47"/>
      <c r="H27" s="47"/>
      <c r="I27" s="47"/>
      <c r="J27" s="47"/>
      <c r="K27" s="57"/>
      <c r="L27" s="57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</row>
    <row r="28" spans="1:29">
      <c r="A28" s="47"/>
      <c r="B28" s="67" t="s">
        <v>21</v>
      </c>
      <c r="C28" s="59">
        <v>1000</v>
      </c>
      <c r="D28" s="24"/>
      <c r="E28" s="24">
        <v>500</v>
      </c>
      <c r="F28" s="47"/>
      <c r="G28" s="47"/>
      <c r="H28" s="47"/>
      <c r="I28" s="47"/>
      <c r="J28" s="47"/>
      <c r="K28" s="47"/>
      <c r="L28" s="47"/>
      <c r="N28" t="s">
        <v>288</v>
      </c>
      <c r="P28" t="s">
        <v>292</v>
      </c>
      <c r="Q28" t="s">
        <v>294</v>
      </c>
      <c r="S28" s="24" t="s">
        <v>315</v>
      </c>
      <c r="U28" s="42" t="s">
        <v>417</v>
      </c>
      <c r="V28" s="188" t="s">
        <v>376</v>
      </c>
      <c r="W28" t="s">
        <v>468</v>
      </c>
    </row>
    <row r="29" spans="1:29">
      <c r="A29" s="47"/>
      <c r="B29" s="83" t="s">
        <v>22</v>
      </c>
      <c r="C29" s="85">
        <v>1000</v>
      </c>
      <c r="D29" s="24"/>
      <c r="E29" s="24">
        <v>1500</v>
      </c>
      <c r="F29" s="47"/>
      <c r="G29" s="47"/>
      <c r="H29" s="47"/>
      <c r="I29" s="47"/>
      <c r="J29" s="47"/>
      <c r="K29" s="47"/>
      <c r="L29" s="47"/>
      <c r="N29" t="s">
        <v>289</v>
      </c>
      <c r="P29" t="s">
        <v>293</v>
      </c>
      <c r="Q29" t="s">
        <v>295</v>
      </c>
      <c r="R29" s="16" t="s">
        <v>447</v>
      </c>
      <c r="V29" s="16" t="s">
        <v>446</v>
      </c>
      <c r="W29" t="s">
        <v>474</v>
      </c>
      <c r="X29" t="s">
        <v>472</v>
      </c>
    </row>
    <row r="30" spans="1:29">
      <c r="A30" s="47"/>
      <c r="B30" s="133" t="s">
        <v>284</v>
      </c>
      <c r="C30" s="85"/>
      <c r="D30" s="134">
        <f>150+128+50</f>
        <v>328</v>
      </c>
      <c r="E30" s="134">
        <f>150+128+50</f>
        <v>328</v>
      </c>
      <c r="F30" t="s">
        <v>285</v>
      </c>
      <c r="G30" s="47"/>
      <c r="H30" s="47"/>
      <c r="I30" s="47"/>
      <c r="J30" s="47"/>
      <c r="K30" s="47"/>
      <c r="L30" s="47"/>
      <c r="O30" t="s">
        <v>290</v>
      </c>
      <c r="Q30" t="s">
        <v>296</v>
      </c>
      <c r="S30" s="24" t="s">
        <v>317</v>
      </c>
      <c r="V30" s="188" t="s">
        <v>448</v>
      </c>
      <c r="X30" t="s">
        <v>473</v>
      </c>
    </row>
    <row r="31" spans="1:29">
      <c r="A31" s="47"/>
      <c r="B31" s="57" t="s">
        <v>23</v>
      </c>
      <c r="C31" s="86">
        <f>SUM(C4,C5,C10,C14,C15,C16,C17)</f>
        <v>8069</v>
      </c>
      <c r="D31" s="86">
        <f>SUM(D4,D5,D10,D14,D15,D16,D17,D9)</f>
        <v>12176</v>
      </c>
      <c r="E31" s="86">
        <f>SUM(E4,E5,E10,E14,E15,E16,E17,E9)</f>
        <v>9269</v>
      </c>
      <c r="F31" s="47"/>
      <c r="G31" s="47"/>
      <c r="H31" s="47"/>
      <c r="I31" s="47"/>
      <c r="J31" s="47"/>
      <c r="K31" s="47"/>
      <c r="L31" s="47">
        <f>AVERAGE(N31:S31)</f>
        <v>-5515.0966666666673</v>
      </c>
      <c r="M31">
        <f t="shared" ref="M31:S31" si="4">M6+M10+M11</f>
        <v>-5186.93</v>
      </c>
      <c r="N31">
        <f t="shared" si="4"/>
        <v>-3255.5000000000005</v>
      </c>
      <c r="O31">
        <f t="shared" si="4"/>
        <v>-8910.44</v>
      </c>
      <c r="P31">
        <f t="shared" si="4"/>
        <v>-8066.85</v>
      </c>
      <c r="Q31">
        <f t="shared" si="4"/>
        <v>-1721.31</v>
      </c>
      <c r="R31">
        <f t="shared" si="4"/>
        <v>-5407.9400000000005</v>
      </c>
      <c r="S31">
        <f t="shared" si="4"/>
        <v>-5728.54</v>
      </c>
      <c r="V31" s="134" t="s">
        <v>449</v>
      </c>
      <c r="Y31" s="47"/>
      <c r="Z31" s="47"/>
    </row>
    <row r="32" spans="1:29">
      <c r="A32" s="47"/>
      <c r="B32" s="137" t="s">
        <v>20</v>
      </c>
      <c r="C32" s="136"/>
      <c r="D32" s="136">
        <f>SUM(D25,D21,D20,D12,D11)</f>
        <v>10140</v>
      </c>
      <c r="E32" s="136">
        <f>SUM(E25,E21,E20,E12,E11)</f>
        <v>11668</v>
      </c>
      <c r="F32" s="47"/>
      <c r="G32" s="47"/>
      <c r="H32" s="47"/>
      <c r="I32" s="47"/>
      <c r="J32" s="47"/>
      <c r="K32" s="47"/>
      <c r="L32" s="47"/>
      <c r="Y32">
        <f>42465.77-61988.46</f>
        <v>-19522.690000000002</v>
      </c>
      <c r="Z32" s="47">
        <f>Y32*-1</f>
        <v>19522.690000000002</v>
      </c>
    </row>
    <row r="33" spans="1:26">
      <c r="A33" s="47"/>
      <c r="B33" s="89" t="s">
        <v>24</v>
      </c>
      <c r="C33" s="79">
        <f>SUM(C3,C6,C7,C8,C11,C12,C13,C18,C19,C20,C21,C22,C25)</f>
        <v>17126.36</v>
      </c>
      <c r="D33" s="79">
        <f>SUM(D2,D3,D6,D7,D8,D13,D18,D19,D22,D23,D24)</f>
        <v>30278.880000000001</v>
      </c>
      <c r="E33" s="79">
        <f>SUM(E2,E3,E6,E7,E8,E13,E18,E19,E22)</f>
        <v>6989.13</v>
      </c>
      <c r="F33" s="47"/>
      <c r="G33" s="47"/>
      <c r="H33" s="47"/>
      <c r="I33" s="47"/>
      <c r="J33" s="47"/>
      <c r="K33" s="47"/>
      <c r="L33" s="47"/>
      <c r="O33" t="s">
        <v>402</v>
      </c>
      <c r="U33" t="s">
        <v>442</v>
      </c>
      <c r="W33">
        <f>AVERAGE(Q18:U18)</f>
        <v>-2017.4</v>
      </c>
      <c r="Y33" s="47"/>
      <c r="Z33" s="47"/>
    </row>
    <row r="34" spans="1:26">
      <c r="A34" s="47"/>
      <c r="B34" s="57" t="s">
        <v>25</v>
      </c>
      <c r="C34" s="61">
        <v>0</v>
      </c>
      <c r="D34" s="47"/>
      <c r="E34" s="47"/>
      <c r="F34" s="47"/>
      <c r="G34" s="47"/>
      <c r="H34" s="47"/>
      <c r="I34" s="47"/>
      <c r="J34" s="87"/>
      <c r="K34" t="s">
        <v>401</v>
      </c>
      <c r="L34" s="47">
        <v>4387.8500000000004</v>
      </c>
      <c r="M34" s="47"/>
      <c r="N34" s="47"/>
      <c r="P34" s="47">
        <f>AVERAGE(Q18:X18)</f>
        <v>-1886</v>
      </c>
      <c r="V34" s="47"/>
      <c r="W34" s="47"/>
      <c r="X34" s="47"/>
      <c r="Y34" s="47"/>
      <c r="Z34" s="47"/>
    </row>
    <row r="35" spans="1:26" ht="15.75" thickBot="1">
      <c r="A35" s="47"/>
      <c r="B35" s="90" t="s">
        <v>26</v>
      </c>
      <c r="C35" s="90">
        <f>SUM(C28:C34)</f>
        <v>27195.360000000001</v>
      </c>
      <c r="D35" s="90">
        <f>SUM(D28:D34)</f>
        <v>52922.880000000005</v>
      </c>
      <c r="E35" s="90">
        <f>SUM(E28:E34)</f>
        <v>30254.13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V35" s="47"/>
      <c r="W35" s="47"/>
      <c r="X35" s="47"/>
      <c r="Y35" s="47"/>
      <c r="Z35" s="47"/>
    </row>
    <row r="36" spans="1:26" ht="15.75" thickBot="1">
      <c r="A36" s="47"/>
      <c r="B36" s="91" t="s">
        <v>27</v>
      </c>
      <c r="C36" s="92">
        <f>B2-C35</f>
        <v>4323.9700000000012</v>
      </c>
      <c r="D36" s="144">
        <f>B3-D35</f>
        <v>-1625.3900000000067</v>
      </c>
      <c r="E36" s="144">
        <f>B3-E35</f>
        <v>21043.359999999997</v>
      </c>
      <c r="F36" s="47"/>
      <c r="G36" s="47"/>
      <c r="H36" s="47"/>
      <c r="I36" s="24" t="s">
        <v>441</v>
      </c>
      <c r="J36" s="61" t="s">
        <v>31</v>
      </c>
      <c r="K36" s="61" t="s">
        <v>32</v>
      </c>
      <c r="L36" s="61" t="s">
        <v>33</v>
      </c>
      <c r="M36" s="61" t="s">
        <v>34</v>
      </c>
      <c r="N36" s="61" t="s">
        <v>35</v>
      </c>
      <c r="O36" s="61" t="s">
        <v>36</v>
      </c>
      <c r="P36" s="61" t="s">
        <v>37</v>
      </c>
      <c r="Q36" s="61" t="s">
        <v>38</v>
      </c>
      <c r="R36" s="61" t="s">
        <v>39</v>
      </c>
      <c r="S36" s="61" t="s">
        <v>40</v>
      </c>
      <c r="T36" s="61" t="s">
        <v>29</v>
      </c>
      <c r="U36" s="61" t="s">
        <v>30</v>
      </c>
      <c r="V36" s="47"/>
      <c r="W36" s="47"/>
      <c r="X36" s="47"/>
      <c r="Y36" s="47"/>
      <c r="Z36" s="47"/>
    </row>
    <row r="37" spans="1:26">
      <c r="A37" s="47"/>
      <c r="B37" s="47"/>
      <c r="C37" s="47"/>
      <c r="D37" s="47"/>
      <c r="E37" s="47"/>
      <c r="F37" s="47"/>
      <c r="G37" s="47"/>
      <c r="H37" s="47"/>
      <c r="I37" s="52" t="s">
        <v>41</v>
      </c>
      <c r="J37" s="93">
        <v>0</v>
      </c>
      <c r="K37" s="93">
        <v>2067</v>
      </c>
      <c r="L37" s="93">
        <v>1000</v>
      </c>
      <c r="M37" s="93">
        <v>1500</v>
      </c>
      <c r="N37" s="93">
        <v>1500</v>
      </c>
      <c r="O37" s="93">
        <v>2000</v>
      </c>
      <c r="P37" s="93">
        <v>2000</v>
      </c>
      <c r="Q37" s="93">
        <v>1500</v>
      </c>
      <c r="R37" s="93">
        <v>0</v>
      </c>
      <c r="S37" s="93"/>
      <c r="T37" s="93"/>
      <c r="U37" s="93"/>
      <c r="V37" s="47"/>
      <c r="W37" s="47"/>
      <c r="X37" s="47"/>
      <c r="Y37" s="47"/>
      <c r="Z37" s="47"/>
    </row>
    <row r="38" spans="1:26">
      <c r="A38" s="47"/>
      <c r="B38" s="47"/>
      <c r="C38" s="47"/>
      <c r="D38" s="47"/>
      <c r="E38" s="47"/>
      <c r="F38" s="47"/>
      <c r="G38" s="47"/>
      <c r="H38" s="47"/>
      <c r="I38" s="52" t="s">
        <v>42</v>
      </c>
      <c r="J38" s="94">
        <v>-22</v>
      </c>
      <c r="K38" s="94">
        <v>-22</v>
      </c>
      <c r="L38" s="94">
        <v>-22</v>
      </c>
      <c r="M38" s="94">
        <v>-22</v>
      </c>
      <c r="N38" s="94">
        <v>-22</v>
      </c>
      <c r="O38" s="94">
        <v>-22</v>
      </c>
      <c r="P38" s="94">
        <v>-22</v>
      </c>
      <c r="Q38" s="94">
        <v>-1522</v>
      </c>
      <c r="R38" s="94">
        <f>-22-1400</f>
        <v>-1422</v>
      </c>
      <c r="S38" s="94">
        <f>-22-300</f>
        <v>-322</v>
      </c>
      <c r="T38" s="94">
        <v>-22</v>
      </c>
      <c r="U38" s="94">
        <v>-22</v>
      </c>
      <c r="V38" s="47"/>
      <c r="W38" s="47"/>
      <c r="X38" s="47"/>
      <c r="Y38" s="47"/>
      <c r="Z38" s="47"/>
    </row>
    <row r="39" spans="1:26">
      <c r="A39" s="47"/>
      <c r="B39" s="70">
        <v>0.3</v>
      </c>
      <c r="C39" s="47">
        <f>B3*0.3</f>
        <v>15389.246999999999</v>
      </c>
      <c r="D39" s="47"/>
      <c r="E39" s="47"/>
      <c r="F39" s="47"/>
      <c r="G39" s="47"/>
      <c r="H39" s="47"/>
      <c r="I39" s="52" t="s">
        <v>43</v>
      </c>
      <c r="J39" s="95">
        <f>J37+J38</f>
        <v>-22</v>
      </c>
      <c r="K39" s="96">
        <f>J39+K37+K38</f>
        <v>2023</v>
      </c>
      <c r="L39" s="96">
        <f t="shared" ref="L39:S39" si="5">K39+L37+L38</f>
        <v>3001</v>
      </c>
      <c r="M39" s="96">
        <f t="shared" si="5"/>
        <v>4479</v>
      </c>
      <c r="N39" s="96">
        <f t="shared" si="5"/>
        <v>5957</v>
      </c>
      <c r="O39" s="96">
        <f t="shared" si="5"/>
        <v>7935</v>
      </c>
      <c r="P39" s="96">
        <f t="shared" si="5"/>
        <v>9913</v>
      </c>
      <c r="Q39" s="96">
        <f t="shared" si="5"/>
        <v>9891</v>
      </c>
      <c r="R39" s="96">
        <f t="shared" si="5"/>
        <v>8469</v>
      </c>
      <c r="S39" s="96">
        <f t="shared" si="5"/>
        <v>8147</v>
      </c>
      <c r="T39" s="96">
        <f>S39+T37+T38</f>
        <v>8125</v>
      </c>
      <c r="U39" s="96">
        <f>T39+U37+U38</f>
        <v>8103</v>
      </c>
      <c r="V39" s="47"/>
      <c r="W39" s="47"/>
      <c r="X39" s="47"/>
      <c r="Y39" s="47"/>
      <c r="Z39" s="47"/>
    </row>
    <row r="40" spans="1:26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U40" s="47"/>
      <c r="V40" s="47"/>
      <c r="W40" s="47"/>
      <c r="X40" s="47"/>
      <c r="Y40" s="47"/>
      <c r="Z40" s="47"/>
    </row>
    <row r="41" spans="1:26">
      <c r="A41" s="47"/>
      <c r="B41" s="47"/>
      <c r="C41" s="47"/>
      <c r="D41" s="47"/>
      <c r="E41" s="47"/>
      <c r="F41" s="47"/>
      <c r="G41" t="s">
        <v>240</v>
      </c>
      <c r="H41" s="47"/>
      <c r="I41" s="47"/>
      <c r="J41" s="47"/>
      <c r="K41" s="47"/>
      <c r="L41" s="47"/>
      <c r="M41" s="47"/>
      <c r="N41" s="47"/>
      <c r="O41" s="47"/>
      <c r="P41" s="310"/>
      <c r="Q41" s="310"/>
      <c r="U41" s="47"/>
      <c r="V41" s="47"/>
      <c r="W41" s="47"/>
      <c r="X41" s="47"/>
      <c r="Y41" s="47"/>
      <c r="Z41" s="47"/>
    </row>
    <row r="42" spans="1:26" ht="15.75" thickBot="1">
      <c r="A42" s="47"/>
      <c r="B42" s="47"/>
      <c r="C42" s="47"/>
      <c r="D42" s="47"/>
      <c r="E42" s="47"/>
      <c r="F42" s="47"/>
      <c r="G42" s="62">
        <v>34000</v>
      </c>
      <c r="H42" s="47"/>
      <c r="I42" s="47"/>
      <c r="J42" s="47"/>
      <c r="K42" s="47"/>
      <c r="L42" s="47"/>
      <c r="M42" s="47"/>
      <c r="N42" s="47"/>
      <c r="O42" s="47"/>
      <c r="U42" s="47"/>
      <c r="V42" s="47"/>
      <c r="W42" s="47"/>
      <c r="X42" s="47"/>
      <c r="Y42" s="47"/>
      <c r="Z42" s="47"/>
    </row>
    <row r="43" spans="1:26" ht="18.75">
      <c r="A43" s="47"/>
      <c r="B43" s="47"/>
      <c r="C43" s="47"/>
      <c r="D43" s="47"/>
      <c r="E43" s="47"/>
      <c r="F43" s="47"/>
      <c r="G43" s="47"/>
      <c r="H43" s="47"/>
      <c r="I43" s="88" t="s">
        <v>139</v>
      </c>
      <c r="J43" s="61" t="s">
        <v>31</v>
      </c>
      <c r="K43" s="61" t="s">
        <v>32</v>
      </c>
      <c r="L43" s="61" t="s">
        <v>33</v>
      </c>
      <c r="M43" s="61" t="s">
        <v>34</v>
      </c>
      <c r="N43" s="61" t="s">
        <v>35</v>
      </c>
      <c r="O43" s="61" t="s">
        <v>36</v>
      </c>
      <c r="P43" s="61" t="s">
        <v>37</v>
      </c>
      <c r="Q43" s="61" t="s">
        <v>38</v>
      </c>
      <c r="R43" s="61" t="s">
        <v>39</v>
      </c>
      <c r="S43" s="61" t="s">
        <v>40</v>
      </c>
      <c r="T43" s="61" t="s">
        <v>29</v>
      </c>
      <c r="U43" s="61" t="s">
        <v>30</v>
      </c>
      <c r="V43" s="47"/>
      <c r="W43" s="98" t="s">
        <v>159</v>
      </c>
      <c r="X43" s="47"/>
      <c r="Y43" s="47"/>
      <c r="Z43" s="47"/>
    </row>
    <row r="44" spans="1:26">
      <c r="A44" s="47"/>
      <c r="B44" s="47"/>
      <c r="C44" s="70"/>
      <c r="D44" s="70"/>
      <c r="E44" s="47"/>
      <c r="F44" s="47"/>
      <c r="G44" s="47"/>
      <c r="H44" s="47"/>
      <c r="I44" s="52" t="s">
        <v>140</v>
      </c>
      <c r="J44" s="93">
        <v>2000</v>
      </c>
      <c r="K44" s="93">
        <v>2000</v>
      </c>
      <c r="L44" s="93">
        <v>2000</v>
      </c>
      <c r="M44" s="93">
        <v>2000</v>
      </c>
      <c r="N44" s="93">
        <v>2000</v>
      </c>
      <c r="O44" s="93">
        <v>2000</v>
      </c>
      <c r="P44" s="93">
        <v>2000</v>
      </c>
      <c r="Q44" s="93">
        <v>2000</v>
      </c>
      <c r="R44" s="93">
        <v>2000</v>
      </c>
      <c r="S44" s="93">
        <v>2000</v>
      </c>
      <c r="T44" s="93">
        <v>2000</v>
      </c>
      <c r="U44" s="93">
        <v>2000</v>
      </c>
      <c r="V44" s="47"/>
      <c r="W44" s="100">
        <v>120000</v>
      </c>
      <c r="X44" s="47"/>
      <c r="Y44" s="47"/>
      <c r="Z44" s="47"/>
    </row>
    <row r="45" spans="1:26" ht="15.75" thickBot="1">
      <c r="A45" s="47"/>
      <c r="B45" s="47"/>
      <c r="C45" s="70"/>
      <c r="D45" s="70"/>
      <c r="E45" s="47"/>
      <c r="F45" s="47"/>
      <c r="G45" s="47"/>
      <c r="H45" s="47"/>
      <c r="I45" s="52" t="s">
        <v>42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101">
        <v>0</v>
      </c>
      <c r="V45" s="47"/>
      <c r="W45" s="62">
        <f>U46</f>
        <v>58000</v>
      </c>
      <c r="X45" s="47"/>
      <c r="Y45" s="47"/>
      <c r="Z45" s="47"/>
    </row>
    <row r="46" spans="1:26" ht="15.75" thickBot="1">
      <c r="A46" s="47"/>
      <c r="B46" s="47"/>
      <c r="C46" s="47"/>
      <c r="D46" s="47"/>
      <c r="E46" s="47"/>
      <c r="F46" s="47"/>
      <c r="G46" s="47"/>
      <c r="H46" s="47"/>
      <c r="I46" s="52" t="s">
        <v>43</v>
      </c>
      <c r="J46" s="95">
        <f>J44+G42</f>
        <v>36000</v>
      </c>
      <c r="K46" s="96">
        <f>J46+K44+K45</f>
        <v>38000</v>
      </c>
      <c r="L46" s="96">
        <f t="shared" ref="L46:U46" si="6">K46+L44+L45</f>
        <v>40000</v>
      </c>
      <c r="M46" s="96">
        <f t="shared" si="6"/>
        <v>42000</v>
      </c>
      <c r="N46" s="96">
        <f t="shared" si="6"/>
        <v>44000</v>
      </c>
      <c r="O46" s="96">
        <f t="shared" si="6"/>
        <v>46000</v>
      </c>
      <c r="P46" s="96">
        <f t="shared" si="6"/>
        <v>48000</v>
      </c>
      <c r="Q46" s="96">
        <f t="shared" si="6"/>
        <v>50000</v>
      </c>
      <c r="R46" s="96">
        <f t="shared" si="6"/>
        <v>52000</v>
      </c>
      <c r="S46" s="96">
        <f t="shared" si="6"/>
        <v>54000</v>
      </c>
      <c r="T46" s="96">
        <f t="shared" si="6"/>
        <v>56000</v>
      </c>
      <c r="U46" s="102">
        <f t="shared" si="6"/>
        <v>58000</v>
      </c>
      <c r="V46" s="47"/>
      <c r="W46" s="103">
        <f>W44-U46</f>
        <v>62000</v>
      </c>
      <c r="X46" s="47"/>
    </row>
    <row r="47" spans="1:26">
      <c r="B47" s="47"/>
      <c r="C47" s="47"/>
      <c r="D47" s="47"/>
      <c r="E47" s="47"/>
      <c r="F47" s="47"/>
      <c r="G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6">
      <c r="B48" s="47"/>
      <c r="C48" s="47"/>
      <c r="D48" s="47"/>
      <c r="I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V48" s="47"/>
      <c r="W48" s="47"/>
      <c r="X48" s="47"/>
    </row>
  </sheetData>
  <mergeCells count="47">
    <mergeCell ref="J21:L21"/>
    <mergeCell ref="J13:L13"/>
    <mergeCell ref="J8:L8"/>
    <mergeCell ref="J9:L9"/>
    <mergeCell ref="J10:L10"/>
    <mergeCell ref="J11:L11"/>
    <mergeCell ref="J12:L12"/>
    <mergeCell ref="J17:L17"/>
    <mergeCell ref="J18:L18"/>
    <mergeCell ref="J19:L19"/>
    <mergeCell ref="J20:L20"/>
    <mergeCell ref="J14:L14"/>
    <mergeCell ref="J15:L15"/>
    <mergeCell ref="J16:L16"/>
    <mergeCell ref="J22:L22"/>
    <mergeCell ref="P41:Q41"/>
    <mergeCell ref="J23:L23"/>
    <mergeCell ref="J24:L24"/>
    <mergeCell ref="J25:L25"/>
    <mergeCell ref="J26:L26"/>
    <mergeCell ref="A1:B1"/>
    <mergeCell ref="J5:L5"/>
    <mergeCell ref="J6:L6"/>
    <mergeCell ref="J7:L7"/>
    <mergeCell ref="J4:L4"/>
    <mergeCell ref="J3:L3"/>
    <mergeCell ref="J1:L1"/>
    <mergeCell ref="AA3:AC3"/>
    <mergeCell ref="AA4:AC4"/>
    <mergeCell ref="AA5:AC5"/>
    <mergeCell ref="AA6:AC6"/>
    <mergeCell ref="AA7:AC7"/>
    <mergeCell ref="AA8:AC8"/>
    <mergeCell ref="AA9:AC9"/>
    <mergeCell ref="AA10:AC10"/>
    <mergeCell ref="AA11:AC11"/>
    <mergeCell ref="AA12:AC12"/>
    <mergeCell ref="AA13:AC13"/>
    <mergeCell ref="AA14:AC14"/>
    <mergeCell ref="AA15:AC15"/>
    <mergeCell ref="AA16:AC16"/>
    <mergeCell ref="AA17:AC17"/>
    <mergeCell ref="AA18:AC18"/>
    <mergeCell ref="AA19:AC19"/>
    <mergeCell ref="AA20:AC20"/>
    <mergeCell ref="AA22:AC22"/>
    <mergeCell ref="AA23:AC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workbookViewId="0">
      <selection activeCell="A2" sqref="A2:B2"/>
    </sheetView>
  </sheetViews>
  <sheetFormatPr defaultRowHeight="15"/>
  <cols>
    <col min="1" max="1" width="8.85546875" style="47"/>
    <col min="2" max="2" width="18.85546875" style="47" bestFit="1" customWidth="1"/>
    <col min="3" max="5" width="8.85546875" style="47"/>
    <col min="6" max="6" width="12.85546875" style="47" customWidth="1"/>
    <col min="7" max="7" width="8.85546875" style="47"/>
    <col min="8" max="8" width="11.42578125" style="47" customWidth="1"/>
    <col min="9" max="9" width="34.5703125" style="47" bestFit="1" customWidth="1"/>
    <col min="10" max="10" width="14.5703125" style="47" bestFit="1" customWidth="1"/>
    <col min="11" max="11" width="10.140625" style="47" customWidth="1"/>
    <col min="12" max="12" width="21" style="47" customWidth="1"/>
    <col min="13" max="13" width="14.140625" style="47" customWidth="1"/>
    <col min="14" max="14" width="8" style="47" customWidth="1"/>
    <col min="15" max="15" width="14.28515625" style="47" customWidth="1"/>
    <col min="16" max="16" width="8.7109375" style="47" customWidth="1"/>
    <col min="17" max="17" width="19.5703125" style="47" bestFit="1" customWidth="1"/>
    <col min="18" max="18" width="8.7109375" style="47" bestFit="1" customWidth="1"/>
    <col min="19" max="19" width="22.140625" style="47" bestFit="1" customWidth="1"/>
    <col min="20" max="20" width="6" style="47" bestFit="1" customWidth="1"/>
    <col min="21" max="21" width="25.85546875" style="47" bestFit="1" customWidth="1"/>
    <col min="22" max="22" width="9.7109375" style="47" bestFit="1" customWidth="1"/>
    <col min="23" max="23" width="21.140625" style="47" bestFit="1" customWidth="1"/>
    <col min="24" max="24" width="24.140625" style="47" bestFit="1" customWidth="1"/>
    <col min="25" max="25" width="15.85546875" style="47" bestFit="1" customWidth="1"/>
    <col min="26" max="26" width="9.7109375" style="47" bestFit="1" customWidth="1"/>
    <col min="27" max="27" width="9.7109375" bestFit="1" customWidth="1"/>
  </cols>
  <sheetData>
    <row r="1" spans="1:29" ht="15.75" thickBot="1">
      <c r="A1" s="268" t="s">
        <v>237</v>
      </c>
      <c r="B1" s="269"/>
      <c r="C1" s="340" t="s">
        <v>1</v>
      </c>
      <c r="D1" s="275"/>
      <c r="E1" s="269"/>
      <c r="M1" s="50" t="s">
        <v>44</v>
      </c>
      <c r="N1" s="119"/>
      <c r="O1" s="51" t="s">
        <v>45</v>
      </c>
      <c r="P1" s="51"/>
      <c r="Q1" s="52" t="s">
        <v>33</v>
      </c>
      <c r="R1" s="52"/>
      <c r="S1" s="53" t="s">
        <v>110</v>
      </c>
      <c r="T1" s="53"/>
      <c r="U1" s="27" t="s">
        <v>35</v>
      </c>
      <c r="V1" s="21" t="s">
        <v>48</v>
      </c>
      <c r="W1" s="53" t="s">
        <v>49</v>
      </c>
      <c r="X1" s="27" t="s">
        <v>111</v>
      </c>
      <c r="Y1" s="113" t="s">
        <v>112</v>
      </c>
      <c r="Z1" s="53" t="s">
        <v>113</v>
      </c>
      <c r="AA1" s="27" t="s">
        <v>114</v>
      </c>
      <c r="AB1" s="21" t="s">
        <v>115</v>
      </c>
    </row>
    <row r="2" spans="1:29" ht="15.75" thickTop="1">
      <c r="A2" s="341">
        <v>36617.354166666672</v>
      </c>
      <c r="B2" s="341"/>
      <c r="C2" s="132">
        <v>2500</v>
      </c>
      <c r="D2" s="42">
        <v>1510.77</v>
      </c>
      <c r="E2" t="s">
        <v>278</v>
      </c>
      <c r="F2" s="47" t="s">
        <v>80</v>
      </c>
      <c r="I2" s="49"/>
      <c r="J2" s="49"/>
      <c r="K2" s="24" t="s">
        <v>236</v>
      </c>
      <c r="L2" s="24"/>
      <c r="M2" s="24">
        <v>36537.57</v>
      </c>
      <c r="N2" s="24"/>
      <c r="O2" s="24">
        <v>34953.72</v>
      </c>
      <c r="P2" s="24"/>
      <c r="Q2" s="24">
        <v>32097.61</v>
      </c>
      <c r="R2" s="24"/>
      <c r="S2" s="24">
        <v>37857.61</v>
      </c>
      <c r="T2" s="24"/>
      <c r="U2" s="24">
        <v>32449.61</v>
      </c>
      <c r="V2" s="131">
        <v>39873.61</v>
      </c>
      <c r="W2" s="46">
        <v>41020.94</v>
      </c>
      <c r="X2" s="24">
        <v>34575.15</v>
      </c>
      <c r="Y2" s="24">
        <v>42248.76</v>
      </c>
      <c r="Z2" s="24">
        <v>35910.879999999997</v>
      </c>
      <c r="AA2" s="24">
        <v>34690.9</v>
      </c>
      <c r="AB2" s="24">
        <v>37191.89</v>
      </c>
      <c r="AC2">
        <f>AVERAGE(M2:AB2)</f>
        <v>36617.354166666672</v>
      </c>
    </row>
    <row r="3" spans="1:29">
      <c r="A3" s="49"/>
      <c r="B3" s="49"/>
      <c r="C3" s="5">
        <v>1450</v>
      </c>
      <c r="D3" s="42">
        <v>2657.36</v>
      </c>
      <c r="E3" s="47" t="s">
        <v>2</v>
      </c>
      <c r="J3"/>
      <c r="K3" s="342" t="s">
        <v>63</v>
      </c>
      <c r="L3" s="343"/>
      <c r="M3" s="56">
        <v>365.5</v>
      </c>
      <c r="N3" s="27"/>
      <c r="O3" s="56">
        <v>469.95</v>
      </c>
      <c r="P3" s="56"/>
      <c r="Q3" s="56">
        <v>455.8</v>
      </c>
      <c r="R3" s="56"/>
      <c r="S3" s="56">
        <v>528.38</v>
      </c>
      <c r="T3" s="56"/>
      <c r="U3" s="56">
        <v>515.15</v>
      </c>
      <c r="V3" s="56">
        <v>663.08</v>
      </c>
      <c r="W3" s="56">
        <v>768.17</v>
      </c>
      <c r="X3" s="56">
        <v>759.84</v>
      </c>
      <c r="Y3" s="56">
        <v>676.33</v>
      </c>
      <c r="Z3" s="56">
        <v>643.89</v>
      </c>
      <c r="AA3" s="56">
        <v>498.87</v>
      </c>
      <c r="AB3" s="56">
        <v>538.94000000000005</v>
      </c>
      <c r="AC3" t="s">
        <v>281</v>
      </c>
    </row>
    <row r="4" spans="1:29">
      <c r="C4" s="54">
        <v>1000</v>
      </c>
      <c r="D4" s="61">
        <v>800</v>
      </c>
      <c r="E4" s="47" t="s">
        <v>201</v>
      </c>
      <c r="J4"/>
      <c r="K4" s="344" t="s">
        <v>239</v>
      </c>
      <c r="L4" s="345"/>
      <c r="M4" s="58">
        <f>C30*-1</f>
        <v>-24909</v>
      </c>
      <c r="N4" s="27"/>
      <c r="O4" s="58">
        <f>C30*-1</f>
        <v>-24909</v>
      </c>
      <c r="P4" s="58"/>
      <c r="Q4" s="58">
        <f>D30*-1</f>
        <v>-26706.13</v>
      </c>
      <c r="R4" s="58"/>
      <c r="S4" s="58">
        <f>D30*-1</f>
        <v>-26706.13</v>
      </c>
      <c r="T4" s="58"/>
      <c r="U4" s="58">
        <f>D30*-1</f>
        <v>-26706.13</v>
      </c>
      <c r="V4" s="58">
        <f>D30*-1</f>
        <v>-26706.13</v>
      </c>
      <c r="W4" s="58">
        <f>D30*-1</f>
        <v>-26706.13</v>
      </c>
      <c r="X4" s="58">
        <f>D30*-1</f>
        <v>-26706.13</v>
      </c>
      <c r="Y4" s="58">
        <f>D30*-1</f>
        <v>-26706.13</v>
      </c>
      <c r="Z4" s="58">
        <f>D30*-1</f>
        <v>-26706.13</v>
      </c>
      <c r="AA4" s="58">
        <f>D30*-1</f>
        <v>-26706.13</v>
      </c>
      <c r="AB4" s="58">
        <f>D30*-1</f>
        <v>-26706.13</v>
      </c>
      <c r="AC4" s="45" t="s">
        <v>282</v>
      </c>
    </row>
    <row r="5" spans="1:29" ht="15.75" thickBot="1">
      <c r="C5" s="54">
        <v>99</v>
      </c>
      <c r="D5" s="61">
        <v>99</v>
      </c>
      <c r="E5" t="s">
        <v>249</v>
      </c>
      <c r="J5" s="49"/>
      <c r="K5" s="327" t="s">
        <v>149</v>
      </c>
      <c r="L5" s="328"/>
      <c r="M5" s="59"/>
      <c r="N5" s="1"/>
      <c r="O5" s="60"/>
      <c r="P5" s="60"/>
      <c r="Q5" s="59"/>
      <c r="R5" s="59"/>
      <c r="S5" s="59"/>
      <c r="T5" s="59"/>
      <c r="U5" s="59"/>
      <c r="V5" s="59"/>
      <c r="W5" s="59"/>
      <c r="X5" s="59"/>
      <c r="Y5" s="59">
        <v>180</v>
      </c>
      <c r="Z5" s="59">
        <v>13011.93</v>
      </c>
      <c r="AA5" s="60"/>
      <c r="AB5" s="59"/>
    </row>
    <row r="6" spans="1:29" ht="16.5" thickTop="1" thickBot="1">
      <c r="C6" s="5">
        <v>150</v>
      </c>
      <c r="D6" s="42">
        <v>200</v>
      </c>
      <c r="E6" s="47" t="s">
        <v>66</v>
      </c>
      <c r="J6" s="49"/>
      <c r="K6" s="332" t="s">
        <v>276</v>
      </c>
      <c r="L6" s="328"/>
      <c r="M6" s="118">
        <v>-350</v>
      </c>
      <c r="N6" s="24"/>
      <c r="V6" s="47">
        <f>-2282.3-253.27</f>
        <v>-2535.5700000000002</v>
      </c>
      <c r="X6" s="47">
        <f>-404-1636.2-2596.87</f>
        <v>-4637.07</v>
      </c>
      <c r="Y6" s="47">
        <v>-849.6</v>
      </c>
      <c r="AA6" s="47"/>
      <c r="AB6" s="69"/>
    </row>
    <row r="7" spans="1:29" ht="15.75" thickTop="1">
      <c r="C7" s="62">
        <v>690</v>
      </c>
      <c r="D7" s="71">
        <v>239</v>
      </c>
      <c r="E7" s="47" t="s">
        <v>4</v>
      </c>
      <c r="G7" s="47">
        <v>240</v>
      </c>
      <c r="J7" s="67" t="s">
        <v>52</v>
      </c>
      <c r="K7" s="327" t="s">
        <v>65</v>
      </c>
      <c r="L7" s="328"/>
      <c r="M7" s="68"/>
      <c r="N7" s="24"/>
      <c r="Q7" s="42">
        <v>-2169</v>
      </c>
      <c r="R7" s="47">
        <v>-2169</v>
      </c>
      <c r="V7">
        <f>-328-385</f>
        <v>-713</v>
      </c>
      <c r="W7"/>
      <c r="X7">
        <f>-120</f>
        <v>-120</v>
      </c>
      <c r="Y7">
        <v>-638</v>
      </c>
      <c r="Z7"/>
      <c r="AB7" s="69">
        <v>-999</v>
      </c>
    </row>
    <row r="8" spans="1:29">
      <c r="C8" s="62">
        <v>850</v>
      </c>
      <c r="D8" s="71">
        <v>870</v>
      </c>
      <c r="E8" s="47" t="s">
        <v>138</v>
      </c>
      <c r="G8" s="47">
        <v>865</v>
      </c>
      <c r="K8" s="327" t="s">
        <v>105</v>
      </c>
      <c r="L8" s="333"/>
      <c r="M8" s="117">
        <f>-747.09-234.95-158.46-140-378.95-43.98-37.98-123.47</f>
        <v>-1864.88</v>
      </c>
      <c r="N8" s="42">
        <f>C13+M8</f>
        <v>1135.1199999999999</v>
      </c>
      <c r="O8" s="47">
        <f>-883.3-350-135-406.97-129.96-628.55-177.45</f>
        <v>-2711.2299999999996</v>
      </c>
      <c r="P8" s="42">
        <f>C13+O8</f>
        <v>288.77000000000044</v>
      </c>
      <c r="Q8" s="47">
        <f>-600-402-355</f>
        <v>-1357</v>
      </c>
      <c r="R8" s="47">
        <v>-1357</v>
      </c>
      <c r="S8" s="47">
        <f>-168.5</f>
        <v>-168.5</v>
      </c>
      <c r="U8" s="47">
        <f>-400-79-660-222-620</f>
        <v>-1981</v>
      </c>
      <c r="V8">
        <f>-72.9-80-305-415-270-216.98</f>
        <v>-1359.88</v>
      </c>
      <c r="W8">
        <f>-190-220-74.4-175-50-60-120.4-129.8-420-112.9</f>
        <v>-1552.5</v>
      </c>
      <c r="X8" s="24">
        <f>-3240.18-132-200.7-57.8-132-80</f>
        <v>-3842.68</v>
      </c>
      <c r="Y8">
        <f>-440-120-120-120-169.7</f>
        <v>-969.7</v>
      </c>
      <c r="Z8"/>
      <c r="AB8" s="69">
        <f>-340-210-280-158-66-191.4-209-508-291.6-90-80-25-70-54-96-325-55-71.89-144.7-610-260-274-148-200-500</f>
        <v>-5257.59</v>
      </c>
    </row>
    <row r="9" spans="1:29">
      <c r="C9" s="54">
        <v>2400</v>
      </c>
      <c r="D9" s="61">
        <v>2400</v>
      </c>
      <c r="E9" s="47" t="s">
        <v>6</v>
      </c>
      <c r="K9" s="332" t="s">
        <v>263</v>
      </c>
      <c r="L9" s="333"/>
      <c r="M9" s="117"/>
      <c r="N9" s="42"/>
      <c r="P9" s="42"/>
      <c r="S9" s="47">
        <f>-129.7-165.93</f>
        <v>-295.63</v>
      </c>
      <c r="V9">
        <f>-164.69-224.27</f>
        <v>-388.96000000000004</v>
      </c>
      <c r="W9">
        <f>-370.49</f>
        <v>-370.49</v>
      </c>
      <c r="X9">
        <f>-616.88</f>
        <v>-616.88</v>
      </c>
      <c r="Y9"/>
      <c r="Z9">
        <v>-600</v>
      </c>
      <c r="AB9" s="69">
        <f>-128.55</f>
        <v>-128.55000000000001</v>
      </c>
    </row>
    <row r="10" spans="1:29">
      <c r="C10" s="62">
        <v>5200</v>
      </c>
      <c r="D10" s="71">
        <v>5450</v>
      </c>
      <c r="E10" s="47" t="s">
        <v>8</v>
      </c>
      <c r="G10" s="47">
        <v>5450</v>
      </c>
      <c r="H10" s="125" t="s">
        <v>256</v>
      </c>
      <c r="I10"/>
      <c r="K10" s="332" t="s">
        <v>269</v>
      </c>
      <c r="L10" s="333"/>
      <c r="M10" s="117"/>
      <c r="N10" s="42"/>
      <c r="P10" s="42"/>
      <c r="Q10" s="47">
        <f>-1012.85-604.61-408.1-1585.98</f>
        <v>-3611.54</v>
      </c>
      <c r="R10" s="47">
        <f>D13+Q10</f>
        <v>388.46000000000004</v>
      </c>
      <c r="S10" s="47">
        <f>-37.84-56.19-50.22-724.36-459.8-25.54-475.83-259.02-74.05-90.46</f>
        <v>-2253.3100000000004</v>
      </c>
      <c r="U10" s="47">
        <f>-204.98-201.98-525.14-198.96-263.67</f>
        <v>-1394.73</v>
      </c>
      <c r="V10">
        <f>-405.32-461.95-348.92-319.03</f>
        <v>-1535.22</v>
      </c>
      <c r="W10">
        <f>-626.44-111.93-367.53</f>
        <v>-1105.9000000000001</v>
      </c>
      <c r="X10">
        <f>-808.76-395.56-378.94-186.23</f>
        <v>-1769.49</v>
      </c>
      <c r="Y10">
        <f>-642.24-448.5-312.42-346.97</f>
        <v>-1750.13</v>
      </c>
      <c r="Z10"/>
      <c r="AB10" s="69">
        <f>-135.96-179.99-300-1282.3-367.75-1466.05-180.41-982.42-75.53-85.51-247.62-99.97</f>
        <v>-5403.51</v>
      </c>
    </row>
    <row r="11" spans="1:29">
      <c r="B11" s="47" t="s">
        <v>7</v>
      </c>
      <c r="C11" s="62">
        <v>720</v>
      </c>
      <c r="D11" s="71">
        <v>800</v>
      </c>
      <c r="E11" s="47" t="s">
        <v>85</v>
      </c>
      <c r="G11" s="47" t="s">
        <v>143</v>
      </c>
      <c r="H11" s="126" t="s">
        <v>262</v>
      </c>
      <c r="K11" s="335" t="s">
        <v>247</v>
      </c>
      <c r="L11" s="336"/>
      <c r="M11" s="68">
        <f>-388.51-194.57</f>
        <v>-583.07999999999993</v>
      </c>
      <c r="N11" s="24">
        <f>N8+M11</f>
        <v>552.04</v>
      </c>
      <c r="O11" s="47">
        <v>-434.66</v>
      </c>
      <c r="P11" s="24">
        <f>P8+O11</f>
        <v>-145.88999999999959</v>
      </c>
      <c r="Q11" s="47">
        <v>-284.89</v>
      </c>
      <c r="R11" s="47">
        <v>-284.89</v>
      </c>
      <c r="U11" s="47">
        <f>-575.64-760.57</f>
        <v>-1336.21</v>
      </c>
      <c r="V11"/>
      <c r="W11"/>
      <c r="X11"/>
      <c r="Y11"/>
      <c r="Z11"/>
      <c r="AB11" s="69"/>
    </row>
    <row r="12" spans="1:29" ht="15.75" thickBot="1">
      <c r="A12" s="47" t="s">
        <v>9</v>
      </c>
      <c r="C12" s="62">
        <v>199</v>
      </c>
      <c r="D12" s="71">
        <v>210</v>
      </c>
      <c r="E12" s="47" t="s">
        <v>10</v>
      </c>
      <c r="K12" s="327" t="s">
        <v>95</v>
      </c>
      <c r="L12" s="328"/>
      <c r="M12" s="68">
        <f>-275-1496</f>
        <v>-1771</v>
      </c>
      <c r="N12" s="24"/>
      <c r="O12" s="72">
        <f>-1900-125-415</f>
        <v>-2440</v>
      </c>
      <c r="P12" s="72">
        <v>-205</v>
      </c>
      <c r="U12" s="47">
        <v>-680</v>
      </c>
      <c r="V12"/>
      <c r="W12"/>
      <c r="X12"/>
      <c r="Y12"/>
      <c r="Z12"/>
      <c r="AB12" s="69">
        <f>-550-835</f>
        <v>-1385</v>
      </c>
    </row>
    <row r="13" spans="1:29" ht="16.5" thickTop="1" thickBot="1">
      <c r="C13" s="54">
        <v>3000</v>
      </c>
      <c r="D13" s="61">
        <v>4000</v>
      </c>
      <c r="E13" s="47" t="s">
        <v>11</v>
      </c>
      <c r="K13" s="327" t="s">
        <v>67</v>
      </c>
      <c r="L13" s="328"/>
      <c r="M13" s="68"/>
      <c r="N13" s="24"/>
      <c r="O13" s="24">
        <f>-400-149.8-330-200</f>
        <v>-1079.8</v>
      </c>
      <c r="P13" s="24">
        <v>-1079.8</v>
      </c>
      <c r="Q13" s="47">
        <f>-150-300</f>
        <v>-450</v>
      </c>
      <c r="R13" s="47">
        <f>-150-300</f>
        <v>-450</v>
      </c>
      <c r="S13" s="47">
        <f>-150-180-140-102</f>
        <v>-572</v>
      </c>
      <c r="U13" s="47">
        <f>-230</f>
        <v>-230</v>
      </c>
      <c r="V13">
        <f>-200</f>
        <v>-200</v>
      </c>
      <c r="W13"/>
      <c r="X13" s="118">
        <f>-240-200</f>
        <v>-440</v>
      </c>
      <c r="Y13" s="16">
        <f>-208</f>
        <v>-208</v>
      </c>
      <c r="Z13"/>
      <c r="AB13" s="69">
        <f>-160</f>
        <v>-160</v>
      </c>
    </row>
    <row r="14" spans="1:29" ht="15.75" thickTop="1">
      <c r="C14" s="54">
        <f>498</f>
        <v>498</v>
      </c>
      <c r="D14" s="61">
        <v>500</v>
      </c>
      <c r="E14" s="47" t="s">
        <v>144</v>
      </c>
      <c r="K14" s="327" t="s">
        <v>91</v>
      </c>
      <c r="L14" s="328"/>
      <c r="M14" s="68"/>
      <c r="N14" s="24"/>
      <c r="Q14" s="47">
        <f>-330-659.95</f>
        <v>-989.95</v>
      </c>
      <c r="R14">
        <v>-989.95</v>
      </c>
      <c r="S14" s="47">
        <f>-99.87</f>
        <v>-99.87</v>
      </c>
      <c r="V14"/>
      <c r="W14" s="114">
        <f>-309.95-175.98-330</f>
        <v>-815.93</v>
      </c>
      <c r="X14">
        <f>-64.9</f>
        <v>-64.900000000000006</v>
      </c>
      <c r="Y14"/>
      <c r="Z14"/>
      <c r="AB14" s="69">
        <f>-500-1175.31-237.95-499-380</f>
        <v>-2792.26</v>
      </c>
    </row>
    <row r="15" spans="1:29" ht="15.75" thickBot="1">
      <c r="C15" s="54">
        <v>110</v>
      </c>
      <c r="D15" s="61">
        <v>130</v>
      </c>
      <c r="E15" s="47" t="s">
        <v>13</v>
      </c>
      <c r="K15" s="332" t="s">
        <v>264</v>
      </c>
      <c r="L15" s="333"/>
      <c r="M15" s="116">
        <v>-210</v>
      </c>
      <c r="N15" s="24"/>
      <c r="Q15">
        <f>-353.5-66.5-100</f>
        <v>-520</v>
      </c>
      <c r="R15">
        <v>-520</v>
      </c>
      <c r="S15" s="47">
        <f>-195</f>
        <v>-195</v>
      </c>
      <c r="V15" s="47">
        <f>-69-33</f>
        <v>-102</v>
      </c>
      <c r="W15" s="74">
        <f>-116-102</f>
        <v>-218</v>
      </c>
      <c r="X15" s="47">
        <f>-80-64.9-3000-80</f>
        <v>-3224.9</v>
      </c>
      <c r="AA15" s="47"/>
      <c r="AB15" s="69">
        <f>-115.98-439</f>
        <v>-554.98</v>
      </c>
    </row>
    <row r="16" spans="1:29" ht="15.75" thickTop="1">
      <c r="C16" s="54">
        <v>140</v>
      </c>
      <c r="D16" s="61">
        <v>140</v>
      </c>
      <c r="E16" t="s">
        <v>248</v>
      </c>
      <c r="K16" s="327" t="s">
        <v>58</v>
      </c>
      <c r="L16" s="333"/>
      <c r="M16" s="120">
        <v>-612.29999999999995</v>
      </c>
      <c r="N16" s="24"/>
      <c r="O16" s="47">
        <v>-159.62</v>
      </c>
      <c r="P16" s="47">
        <f>O16</f>
        <v>-159.62</v>
      </c>
      <c r="AA16" s="47"/>
      <c r="AB16" s="69"/>
    </row>
    <row r="17" spans="2:29">
      <c r="C17" s="62">
        <v>275</v>
      </c>
      <c r="D17" s="71">
        <v>289</v>
      </c>
      <c r="E17" s="47" t="s">
        <v>88</v>
      </c>
      <c r="K17" s="334" t="s">
        <v>250</v>
      </c>
      <c r="L17" s="291"/>
      <c r="M17" s="121">
        <f>-534.85-164.85</f>
        <v>-699.7</v>
      </c>
      <c r="N17" s="24"/>
      <c r="O17" s="123">
        <f>-1085-291.25-178.06-1638.79</f>
        <v>-3193.1</v>
      </c>
      <c r="P17" s="123">
        <f>O17</f>
        <v>-3193.1</v>
      </c>
      <c r="Q17" s="47">
        <f>-187.94-175.8-214.66-450.75</f>
        <v>-1029.1500000000001</v>
      </c>
      <c r="R17">
        <v>-1029.1500000000001</v>
      </c>
      <c r="S17" s="47">
        <f>-613-257.06-522.2-306.22</f>
        <v>-1698.48</v>
      </c>
      <c r="U17" s="47">
        <f>-497.7-909.5-989.39</f>
        <v>-2396.59</v>
      </c>
      <c r="V17" s="47">
        <f>-115-385.46-342.8-407.4</f>
        <v>-1250.6599999999999</v>
      </c>
      <c r="X17" s="47">
        <f>-396.2</f>
        <v>-396.2</v>
      </c>
      <c r="Y17" s="16">
        <f>-609.58-267.85-676.33-546.25</f>
        <v>-2100.0100000000002</v>
      </c>
      <c r="Z17" s="47">
        <v>-1600</v>
      </c>
      <c r="AA17" s="47"/>
      <c r="AB17" s="69">
        <f>-400.51-247.8-646.4</f>
        <v>-1294.71</v>
      </c>
    </row>
    <row r="18" spans="2:29">
      <c r="C18" s="62">
        <v>300</v>
      </c>
      <c r="D18" s="71">
        <f>50+128+128+50</f>
        <v>356</v>
      </c>
      <c r="E18" t="s">
        <v>265</v>
      </c>
      <c r="G18" t="s">
        <v>259</v>
      </c>
      <c r="K18" s="332" t="s">
        <v>268</v>
      </c>
      <c r="L18" s="339"/>
      <c r="O18" s="122">
        <f>-1500</f>
        <v>-1500</v>
      </c>
      <c r="P18" s="122">
        <f>O18</f>
        <v>-1500</v>
      </c>
      <c r="S18" s="47">
        <f>-200</f>
        <v>-200</v>
      </c>
      <c r="U18" s="47">
        <f>-200-200-126-100</f>
        <v>-626</v>
      </c>
      <c r="V18" s="47">
        <f>-152-200-200</f>
        <v>-552</v>
      </c>
      <c r="W18" s="47">
        <f>-190-200</f>
        <v>-390</v>
      </c>
      <c r="X18" s="47">
        <f>-200-190</f>
        <v>-390</v>
      </c>
      <c r="Y18" s="47">
        <f>-200-200-200-200-200</f>
        <v>-1000</v>
      </c>
      <c r="AA18" s="47"/>
      <c r="AB18" s="69"/>
    </row>
    <row r="19" spans="2:29">
      <c r="C19" s="62">
        <v>2000</v>
      </c>
      <c r="D19" s="71">
        <v>2000</v>
      </c>
      <c r="E19" s="47" t="s">
        <v>17</v>
      </c>
      <c r="G19" s="47" t="s">
        <v>137</v>
      </c>
      <c r="K19" s="337" t="s">
        <v>6</v>
      </c>
      <c r="L19" s="338"/>
      <c r="M19" s="68">
        <f>-803-812.8</f>
        <v>-1615.8</v>
      </c>
      <c r="N19" s="24">
        <f>C9+M19</f>
        <v>784.2</v>
      </c>
      <c r="O19" s="47">
        <f>-834.6-815.65</f>
        <v>-1650.25</v>
      </c>
      <c r="P19" s="47">
        <f>C9+O19</f>
        <v>749.75</v>
      </c>
      <c r="Q19" s="47">
        <f>-810.9-826.31</f>
        <v>-1637.21</v>
      </c>
      <c r="R19" s="47">
        <f>D9+Q19</f>
        <v>762.79</v>
      </c>
      <c r="S19" s="47">
        <f>-796.45-802.45</f>
        <v>-1598.9</v>
      </c>
      <c r="U19" s="47">
        <f>-872.6-575.15</f>
        <v>-1447.75</v>
      </c>
      <c r="V19" s="47">
        <f>-890-130.8</f>
        <v>-1020.8</v>
      </c>
      <c r="W19" s="47">
        <f>-875.42-939.3-940.09</f>
        <v>-2754.81</v>
      </c>
      <c r="X19" s="47">
        <f>-956.2-968.5-934.55</f>
        <v>-2859.25</v>
      </c>
      <c r="Y19" s="47">
        <f>-951.44</f>
        <v>-951.44</v>
      </c>
      <c r="AA19" s="47"/>
      <c r="AB19" s="69">
        <f>-882.25-731.05-780.55-877.9-821.85</f>
        <v>-4093.6</v>
      </c>
    </row>
    <row r="20" spans="2:29" ht="15.75" thickBot="1">
      <c r="B20" s="47" t="s">
        <v>7</v>
      </c>
      <c r="C20" s="62">
        <v>2928</v>
      </c>
      <c r="D20" s="42">
        <f>2928+222</f>
        <v>3150</v>
      </c>
      <c r="E20" s="47" t="s">
        <v>142</v>
      </c>
      <c r="F20" s="24" t="s">
        <v>267</v>
      </c>
      <c r="H20" t="s">
        <v>279</v>
      </c>
      <c r="K20" s="327" t="s">
        <v>60</v>
      </c>
      <c r="L20" s="328"/>
      <c r="M20" s="68">
        <v>-285</v>
      </c>
      <c r="N20" s="24"/>
      <c r="Q20" s="24">
        <f>-690-1200</f>
        <v>-1890</v>
      </c>
      <c r="S20" s="24">
        <v>1388</v>
      </c>
      <c r="T20" s="24"/>
      <c r="U20" s="24">
        <f>-3901.4-610-350</f>
        <v>-4861.3999999999996</v>
      </c>
      <c r="V20" s="47">
        <v>-600</v>
      </c>
      <c r="W20" s="24">
        <f>-1760-65.8-59-36-88-59-36-88-40</f>
        <v>-2231.8000000000002</v>
      </c>
      <c r="X20" s="24">
        <f>-575-125</f>
        <v>-700</v>
      </c>
      <c r="AA20" s="47"/>
      <c r="AB20" s="69">
        <f>-2520-19-54.5-63.5-38-47</f>
        <v>-2742</v>
      </c>
      <c r="AC20">
        <f>SUM(M20:V20)</f>
        <v>-6248.4</v>
      </c>
    </row>
    <row r="21" spans="2:29" ht="15.75" thickBot="1">
      <c r="C21" s="62">
        <v>400</v>
      </c>
      <c r="D21" s="71">
        <v>405</v>
      </c>
      <c r="E21" s="47" t="s">
        <v>18</v>
      </c>
      <c r="K21" s="329" t="s">
        <v>61</v>
      </c>
      <c r="L21" s="330"/>
      <c r="M21" s="127">
        <f>M2+SUM(M4:M20)-M3</f>
        <v>3271.3100000000049</v>
      </c>
      <c r="O21" s="128">
        <f>O2 + SUM(O4:O20)-O3</f>
        <v>-3593.8899999999949</v>
      </c>
      <c r="Q21" s="128">
        <f>Q2 + SUM(Q4:Q20)-Q3</f>
        <v>-9003.059999999994</v>
      </c>
      <c r="S21" s="128">
        <f>S2 +SUM(S4:S20)-S3</f>
        <v>4929.4100000000008</v>
      </c>
      <c r="T21" s="128"/>
      <c r="U21" s="128">
        <f t="shared" ref="U21:AB21" si="0">U2+SUM(U4:U20)-U3</f>
        <v>-9725.350000000004</v>
      </c>
      <c r="V21" s="130">
        <f t="shared" si="0"/>
        <v>2246.3099999999995</v>
      </c>
      <c r="W21" s="130">
        <f t="shared" si="0"/>
        <v>4107.2099999999973</v>
      </c>
      <c r="X21" s="128">
        <f t="shared" si="0"/>
        <v>-11952.189999999991</v>
      </c>
      <c r="Y21" s="128">
        <f>Y2+SUM(Y4:Y20)-Y3</f>
        <v>6579.42</v>
      </c>
      <c r="Z21" s="128">
        <f>Z2+SUM(Z4:Z20)-Z3</f>
        <v>19372.789999999997</v>
      </c>
      <c r="AA21" s="128">
        <f t="shared" si="0"/>
        <v>7485.9000000000005</v>
      </c>
      <c r="AB21" s="129">
        <f t="shared" si="0"/>
        <v>-14864.38000000001</v>
      </c>
    </row>
    <row r="22" spans="2:29">
      <c r="C22" s="62">
        <v>500</v>
      </c>
      <c r="D22" s="71">
        <v>500</v>
      </c>
      <c r="E22" t="s">
        <v>241</v>
      </c>
      <c r="K22" s="331" t="s">
        <v>62</v>
      </c>
      <c r="L22" s="331"/>
      <c r="M22" s="61">
        <f>M21</f>
        <v>3271.3100000000049</v>
      </c>
      <c r="N22" s="124">
        <f>SUM(N11:N20)</f>
        <v>1336.24</v>
      </c>
      <c r="O22" s="61">
        <f>SUM(M21:O21)</f>
        <v>-322.57999999998992</v>
      </c>
      <c r="P22" s="24">
        <f>SUM(P11:P20)</f>
        <v>-5533.66</v>
      </c>
      <c r="Q22" s="61">
        <f>SUM(M21:Q21)</f>
        <v>-9325.6399999999849</v>
      </c>
      <c r="R22" s="61">
        <f>SUM(R3:R20)</f>
        <v>-5648.7400000000007</v>
      </c>
      <c r="S22" s="61">
        <f>SUM(M21:S21)</f>
        <v>-4396.2299999999841</v>
      </c>
      <c r="T22" s="61"/>
      <c r="U22" s="61">
        <f>SUM(M21:U21)</f>
        <v>-14121.579999999987</v>
      </c>
      <c r="V22" s="61">
        <f>SUM(M21:V21)</f>
        <v>-11875.269999999988</v>
      </c>
      <c r="W22" s="61">
        <f>SUM(M21:W21)</f>
        <v>-7768.0599999999904</v>
      </c>
      <c r="X22" s="61">
        <f>SUM(M21:X21)</f>
        <v>-19720.249999999982</v>
      </c>
      <c r="Y22" s="61">
        <f>SUM(M21:Y21)</f>
        <v>-13140.829999999982</v>
      </c>
      <c r="Z22" s="61">
        <f>SUM(M21:Z21)</f>
        <v>6231.9600000000155</v>
      </c>
      <c r="AA22" s="61">
        <f>SUM(M21:AA21)</f>
        <v>13717.860000000015</v>
      </c>
      <c r="AB22" s="61">
        <f>SUM(M21:AB21)</f>
        <v>-1146.519999999995</v>
      </c>
    </row>
    <row r="23" spans="2:29" ht="15.75" thickBot="1">
      <c r="C23" s="80"/>
      <c r="D23" s="88"/>
      <c r="E23" s="47" t="s">
        <v>19</v>
      </c>
      <c r="K23" s="57"/>
      <c r="L23" s="57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</row>
    <row r="24" spans="2:29" ht="16.5" thickTop="1" thickBot="1">
      <c r="B24" s="81" t="s">
        <v>20</v>
      </c>
      <c r="C24" s="82"/>
      <c r="D24" s="49"/>
      <c r="M24" s="118" t="s">
        <v>242</v>
      </c>
      <c r="Q24" s="24" t="s">
        <v>260</v>
      </c>
      <c r="X24" s="24" t="s">
        <v>272</v>
      </c>
      <c r="Y24" s="16" t="s">
        <v>275</v>
      </c>
      <c r="AB24" t="s">
        <v>286</v>
      </c>
    </row>
    <row r="25" spans="2:29" ht="15.75" thickTop="1">
      <c r="B25" s="67" t="s">
        <v>21</v>
      </c>
      <c r="C25" s="59">
        <v>1000</v>
      </c>
      <c r="D25" s="24">
        <v>0</v>
      </c>
      <c r="F25" s="47" t="s">
        <v>160</v>
      </c>
      <c r="M25" s="16" t="s">
        <v>243</v>
      </c>
      <c r="O25" s="123" t="s">
        <v>252</v>
      </c>
      <c r="Q25" s="42" t="s">
        <v>257</v>
      </c>
      <c r="R25"/>
      <c r="S25"/>
      <c r="T25"/>
      <c r="U25"/>
      <c r="X25" t="s">
        <v>273</v>
      </c>
      <c r="Z25" s="24" t="s">
        <v>280</v>
      </c>
      <c r="AB25" t="s">
        <v>287</v>
      </c>
    </row>
    <row r="26" spans="2:29" ht="15.75" thickBot="1">
      <c r="B26" s="83" t="s">
        <v>22</v>
      </c>
      <c r="C26" s="85">
        <v>1000</v>
      </c>
      <c r="D26" s="24"/>
      <c r="F26" s="47" t="s">
        <v>161</v>
      </c>
      <c r="M26" s="116" t="s">
        <v>244</v>
      </c>
      <c r="O26" s="24" t="s">
        <v>253</v>
      </c>
      <c r="Q26" t="s">
        <v>258</v>
      </c>
      <c r="R26"/>
      <c r="S26" s="24" t="s">
        <v>266</v>
      </c>
      <c r="T26"/>
      <c r="U26" s="24" t="s">
        <v>271</v>
      </c>
      <c r="W26" s="24" t="s">
        <v>270</v>
      </c>
      <c r="Y26" s="16" t="s">
        <v>277</v>
      </c>
      <c r="Z26" t="s">
        <v>77</v>
      </c>
    </row>
    <row r="27" spans="2:29" ht="15.75" thickTop="1">
      <c r="B27" s="57" t="s">
        <v>23</v>
      </c>
      <c r="C27" s="86">
        <f>SUM(C4,C5,C9,C13,C14,C15,C16)</f>
        <v>7247</v>
      </c>
      <c r="D27" s="86">
        <f>SUM(D4,D5,D9,D13,D14,D15,D16)</f>
        <v>8069</v>
      </c>
      <c r="M27" s="115" t="s">
        <v>245</v>
      </c>
      <c r="O27" t="s">
        <v>254</v>
      </c>
      <c r="Q27" s="24" t="s">
        <v>261</v>
      </c>
      <c r="R27"/>
      <c r="S27"/>
      <c r="T27"/>
      <c r="U27"/>
      <c r="X27" s="24" t="s">
        <v>274</v>
      </c>
    </row>
    <row r="28" spans="2:29">
      <c r="B28" s="89" t="s">
        <v>24</v>
      </c>
      <c r="C28" s="79">
        <f>SUM(C3,C6,C7,C8,C10,C11,C12,C17,C18,C19,C20,C21,C22)</f>
        <v>15662</v>
      </c>
      <c r="D28" s="79">
        <f>SUM(D2,D3,D6,D7,D8,D10,D11,D12,D17,D18,D19,D20,D21,D22)</f>
        <v>18637.13</v>
      </c>
      <c r="M28" s="20" t="s">
        <v>246</v>
      </c>
      <c r="O28" t="s">
        <v>255</v>
      </c>
      <c r="Q28"/>
      <c r="R28"/>
      <c r="S28"/>
      <c r="T28"/>
      <c r="U28"/>
      <c r="V28"/>
    </row>
    <row r="29" spans="2:29">
      <c r="B29" s="57" t="s">
        <v>25</v>
      </c>
      <c r="C29" s="61">
        <v>0</v>
      </c>
      <c r="J29" s="87"/>
      <c r="O29"/>
      <c r="Q29"/>
      <c r="R29"/>
      <c r="S29"/>
      <c r="T29"/>
      <c r="U29"/>
    </row>
    <row r="30" spans="2:29" ht="15.75" thickBot="1">
      <c r="B30" s="90" t="s">
        <v>26</v>
      </c>
      <c r="C30" s="90">
        <f>SUM(C25:C29)</f>
        <v>24909</v>
      </c>
      <c r="D30" s="90">
        <f>SUM(D25:D29)</f>
        <v>26706.13</v>
      </c>
      <c r="Q30"/>
      <c r="R30"/>
      <c r="S30"/>
      <c r="T30"/>
      <c r="U30"/>
    </row>
    <row r="31" spans="2:29" ht="15.75" thickBot="1">
      <c r="B31" s="91" t="s">
        <v>27</v>
      </c>
      <c r="C31" s="92">
        <f>A2-C30</f>
        <v>11708.354166666672</v>
      </c>
      <c r="D31" s="92">
        <f>A2-D30</f>
        <v>9911.2241666666705</v>
      </c>
      <c r="I31" s="88" t="s">
        <v>28</v>
      </c>
      <c r="J31" s="61" t="s">
        <v>31</v>
      </c>
      <c r="K31" s="61" t="s">
        <v>32</v>
      </c>
      <c r="L31" s="61" t="s">
        <v>33</v>
      </c>
      <c r="M31" s="61" t="s">
        <v>34</v>
      </c>
      <c r="N31" s="61" t="s">
        <v>35</v>
      </c>
      <c r="O31" s="61" t="s">
        <v>36</v>
      </c>
      <c r="P31" s="61" t="s">
        <v>37</v>
      </c>
      <c r="Q31" s="61" t="s">
        <v>38</v>
      </c>
      <c r="R31" s="61" t="s">
        <v>39</v>
      </c>
      <c r="S31" s="61" t="s">
        <v>40</v>
      </c>
      <c r="T31" s="61" t="s">
        <v>29</v>
      </c>
      <c r="U31" s="61" t="s">
        <v>30</v>
      </c>
    </row>
    <row r="32" spans="2:29">
      <c r="I32" s="52" t="s">
        <v>41</v>
      </c>
      <c r="J32" s="93">
        <v>0</v>
      </c>
      <c r="K32" s="93"/>
      <c r="L32" s="93"/>
      <c r="M32" s="93">
        <v>1260</v>
      </c>
      <c r="N32" s="93">
        <v>1000</v>
      </c>
      <c r="O32" s="93"/>
      <c r="P32" s="93"/>
      <c r="Q32" s="93"/>
      <c r="R32" s="93"/>
      <c r="S32" s="93"/>
      <c r="T32" s="93"/>
      <c r="U32" s="93"/>
    </row>
    <row r="33" spans="3:23">
      <c r="I33" s="52" t="s">
        <v>42</v>
      </c>
      <c r="J33" s="94">
        <v>-22</v>
      </c>
      <c r="K33" s="94">
        <v>-22</v>
      </c>
      <c r="L33" s="94">
        <v>-22</v>
      </c>
      <c r="M33" s="94">
        <v>-22</v>
      </c>
      <c r="N33" s="94">
        <v>-22</v>
      </c>
      <c r="O33" s="94">
        <v>-22</v>
      </c>
      <c r="P33" s="94">
        <v>-22</v>
      </c>
      <c r="Q33" s="94">
        <v>-22</v>
      </c>
      <c r="R33" s="94">
        <v>-22</v>
      </c>
      <c r="S33" s="94">
        <v>-22</v>
      </c>
      <c r="T33" s="94">
        <v>-22</v>
      </c>
      <c r="U33" s="94">
        <v>-22</v>
      </c>
    </row>
    <row r="34" spans="3:23">
      <c r="I34" s="52" t="s">
        <v>43</v>
      </c>
      <c r="J34" s="95">
        <f>J32+J33</f>
        <v>-22</v>
      </c>
      <c r="K34" s="96">
        <f>J34+K32+K33</f>
        <v>-44</v>
      </c>
      <c r="L34" s="96">
        <f t="shared" ref="L34:T34" si="1">K34+L32+L33</f>
        <v>-66</v>
      </c>
      <c r="M34" s="96">
        <f t="shared" si="1"/>
        <v>1172</v>
      </c>
      <c r="N34" s="96">
        <f t="shared" si="1"/>
        <v>2150</v>
      </c>
      <c r="O34" s="96">
        <f t="shared" si="1"/>
        <v>2128</v>
      </c>
      <c r="P34" s="96">
        <f t="shared" si="1"/>
        <v>2106</v>
      </c>
      <c r="Q34" s="96">
        <f t="shared" si="1"/>
        <v>2084</v>
      </c>
      <c r="R34" s="96">
        <f t="shared" si="1"/>
        <v>2062</v>
      </c>
      <c r="S34" s="96">
        <f t="shared" si="1"/>
        <v>2040</v>
      </c>
      <c r="T34" s="96">
        <f t="shared" si="1"/>
        <v>2018</v>
      </c>
      <c r="U34" s="96">
        <f>T37</f>
        <v>0</v>
      </c>
    </row>
    <row r="35" spans="3:23">
      <c r="P35"/>
      <c r="Q35"/>
      <c r="R35"/>
      <c r="S35"/>
      <c r="T35"/>
    </row>
    <row r="36" spans="3:23">
      <c r="P36" s="310"/>
      <c r="Q36" s="310"/>
      <c r="R36"/>
      <c r="S36"/>
      <c r="T36"/>
    </row>
    <row r="37" spans="3:23" ht="15.75" thickBot="1">
      <c r="G37" t="s">
        <v>240</v>
      </c>
      <c r="P37"/>
      <c r="Q37"/>
      <c r="R37"/>
      <c r="S37"/>
      <c r="T37"/>
    </row>
    <row r="38" spans="3:23" ht="18.75">
      <c r="G38" s="62">
        <v>7240</v>
      </c>
      <c r="I38" s="88" t="s">
        <v>139</v>
      </c>
      <c r="J38" s="61" t="s">
        <v>31</v>
      </c>
      <c r="K38" s="61" t="s">
        <v>32</v>
      </c>
      <c r="L38" s="61" t="s">
        <v>33</v>
      </c>
      <c r="M38" s="61" t="s">
        <v>34</v>
      </c>
      <c r="N38" s="61" t="s">
        <v>35</v>
      </c>
      <c r="O38" s="61" t="s">
        <v>36</v>
      </c>
      <c r="P38" s="61" t="s">
        <v>37</v>
      </c>
      <c r="Q38" s="61" t="s">
        <v>38</v>
      </c>
      <c r="R38" s="61" t="s">
        <v>39</v>
      </c>
      <c r="S38" s="61" t="s">
        <v>40</v>
      </c>
      <c r="T38" s="61" t="s">
        <v>29</v>
      </c>
      <c r="U38" s="61" t="s">
        <v>30</v>
      </c>
      <c r="W38" s="98" t="s">
        <v>159</v>
      </c>
    </row>
    <row r="39" spans="3:23">
      <c r="C39" s="70"/>
      <c r="D39" s="70"/>
      <c r="I39" s="52" t="s">
        <v>140</v>
      </c>
      <c r="J39" s="93">
        <v>3760</v>
      </c>
      <c r="K39" s="93">
        <v>2000</v>
      </c>
      <c r="L39" s="93">
        <v>2000</v>
      </c>
      <c r="M39" s="93">
        <v>2000</v>
      </c>
      <c r="N39" s="93">
        <v>2000</v>
      </c>
      <c r="O39" s="93">
        <v>2000</v>
      </c>
      <c r="P39" s="93">
        <v>2000</v>
      </c>
      <c r="Q39" s="93">
        <v>2000</v>
      </c>
      <c r="R39" s="93">
        <v>2000</v>
      </c>
      <c r="S39" s="93">
        <v>2000</v>
      </c>
      <c r="T39" s="93">
        <v>2000</v>
      </c>
      <c r="U39" s="93">
        <v>3000</v>
      </c>
      <c r="W39" s="100">
        <v>120000</v>
      </c>
    </row>
    <row r="40" spans="3:23" ht="15.75" thickBot="1">
      <c r="C40" s="70"/>
      <c r="D40" s="70"/>
      <c r="I40" s="52" t="s">
        <v>42</v>
      </c>
      <c r="J40" s="94">
        <v>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  <c r="R40" s="94">
        <v>0</v>
      </c>
      <c r="S40" s="94">
        <v>0</v>
      </c>
      <c r="T40" s="94">
        <v>0</v>
      </c>
      <c r="U40" s="101">
        <v>0</v>
      </c>
      <c r="W40" s="62">
        <f>U41</f>
        <v>34000</v>
      </c>
    </row>
    <row r="41" spans="3:23" ht="15.75" thickBot="1">
      <c r="I41" s="52" t="s">
        <v>43</v>
      </c>
      <c r="J41" s="95">
        <f>J39+G38</f>
        <v>11000</v>
      </c>
      <c r="K41" s="96">
        <f>J41+K39+K40</f>
        <v>13000</v>
      </c>
      <c r="L41" s="96">
        <f t="shared" ref="L41:U41" si="2">K41+L39+L40</f>
        <v>15000</v>
      </c>
      <c r="M41" s="96">
        <f t="shared" si="2"/>
        <v>17000</v>
      </c>
      <c r="N41" s="96">
        <f t="shared" si="2"/>
        <v>19000</v>
      </c>
      <c r="O41" s="96">
        <f t="shared" si="2"/>
        <v>21000</v>
      </c>
      <c r="P41" s="96">
        <f t="shared" si="2"/>
        <v>23000</v>
      </c>
      <c r="Q41" s="96">
        <f t="shared" si="2"/>
        <v>25000</v>
      </c>
      <c r="R41" s="96">
        <f t="shared" si="2"/>
        <v>27000</v>
      </c>
      <c r="S41" s="96">
        <f t="shared" si="2"/>
        <v>29000</v>
      </c>
      <c r="T41" s="96">
        <f t="shared" si="2"/>
        <v>31000</v>
      </c>
      <c r="U41" s="102">
        <f t="shared" si="2"/>
        <v>34000</v>
      </c>
      <c r="W41" s="103">
        <f>W39-U41</f>
        <v>86000</v>
      </c>
    </row>
    <row r="43" spans="3:23">
      <c r="J43" t="s">
        <v>251</v>
      </c>
      <c r="U43" t="s">
        <v>283</v>
      </c>
    </row>
  </sheetData>
  <mergeCells count="24">
    <mergeCell ref="K5:L5"/>
    <mergeCell ref="A1:B1"/>
    <mergeCell ref="C1:E1"/>
    <mergeCell ref="A2:B2"/>
    <mergeCell ref="K3:L3"/>
    <mergeCell ref="K4:L4"/>
    <mergeCell ref="K11:L11"/>
    <mergeCell ref="K19:L19"/>
    <mergeCell ref="K18:L18"/>
    <mergeCell ref="K6:L6"/>
    <mergeCell ref="K7:L7"/>
    <mergeCell ref="K8:L8"/>
    <mergeCell ref="K12:L12"/>
    <mergeCell ref="K10:L10"/>
    <mergeCell ref="K9:L9"/>
    <mergeCell ref="K20:L20"/>
    <mergeCell ref="K21:L21"/>
    <mergeCell ref="K22:L22"/>
    <mergeCell ref="P36:Q36"/>
    <mergeCell ref="K13:L13"/>
    <mergeCell ref="K14:L14"/>
    <mergeCell ref="K15:L15"/>
    <mergeCell ref="K16:L16"/>
    <mergeCell ref="K17:L1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7"/>
  <sheetViews>
    <sheetView workbookViewId="0">
      <selection activeCell="H25" sqref="B25:H25"/>
    </sheetView>
  </sheetViews>
  <sheetFormatPr defaultColWidth="8.85546875" defaultRowHeight="15"/>
  <cols>
    <col min="1" max="1" width="8.85546875" style="47"/>
    <col min="2" max="2" width="18.85546875" style="47" bestFit="1" customWidth="1"/>
    <col min="3" max="4" width="8.85546875" style="47"/>
    <col min="5" max="5" width="12.85546875" style="47" customWidth="1"/>
    <col min="6" max="6" width="8.85546875" style="47"/>
    <col min="7" max="7" width="11.42578125" style="47" customWidth="1"/>
    <col min="8" max="8" width="34.5703125" style="47" bestFit="1" customWidth="1"/>
    <col min="9" max="9" width="14.5703125" style="47" bestFit="1" customWidth="1"/>
    <col min="10" max="10" width="9" style="47" bestFit="1" customWidth="1"/>
    <col min="11" max="11" width="12.7109375" style="47" customWidth="1"/>
    <col min="12" max="12" width="9" style="47" bestFit="1" customWidth="1"/>
    <col min="13" max="13" width="9.7109375" style="47" customWidth="1"/>
    <col min="14" max="18" width="8.85546875" style="47"/>
    <col min="19" max="19" width="9.7109375" style="47" customWidth="1"/>
    <col min="20" max="20" width="10.7109375" style="47" customWidth="1"/>
    <col min="21" max="21" width="8.85546875" style="47" customWidth="1"/>
    <col min="22" max="22" width="10.5703125" style="47" customWidth="1"/>
    <col min="23" max="23" width="10" style="47" customWidth="1"/>
    <col min="24" max="24" width="8.85546875" style="47"/>
    <col min="25" max="25" width="22.28515625" style="47" bestFit="1" customWidth="1"/>
    <col min="26" max="16384" width="8.85546875" style="47"/>
  </cols>
  <sheetData>
    <row r="1" spans="1:28" ht="15.75" thickBot="1">
      <c r="A1" s="269" t="s">
        <v>0</v>
      </c>
      <c r="B1" s="269"/>
      <c r="C1" s="340" t="s">
        <v>1</v>
      </c>
      <c r="D1" s="269"/>
    </row>
    <row r="2" spans="1:28" ht="16.5" thickTop="1" thickBot="1">
      <c r="A2" s="341">
        <v>31519.33</v>
      </c>
      <c r="B2" s="341"/>
      <c r="C2" s="48">
        <v>3000</v>
      </c>
      <c r="D2" s="47" t="s">
        <v>2</v>
      </c>
      <c r="E2" s="47" t="s">
        <v>80</v>
      </c>
      <c r="H2" s="49"/>
      <c r="I2" s="49"/>
      <c r="L2" s="50" t="s">
        <v>44</v>
      </c>
      <c r="M2" s="51" t="s">
        <v>45</v>
      </c>
      <c r="N2" s="52" t="s">
        <v>33</v>
      </c>
      <c r="O2" s="53" t="s">
        <v>110</v>
      </c>
      <c r="P2" s="53" t="s">
        <v>35</v>
      </c>
      <c r="Q2" s="53" t="s">
        <v>48</v>
      </c>
      <c r="R2" s="53" t="s">
        <v>49</v>
      </c>
      <c r="S2" s="53" t="s">
        <v>111</v>
      </c>
      <c r="T2" s="50" t="s">
        <v>112</v>
      </c>
      <c r="U2" s="53" t="s">
        <v>113</v>
      </c>
      <c r="V2" s="53" t="s">
        <v>114</v>
      </c>
      <c r="W2" s="53" t="s">
        <v>115</v>
      </c>
    </row>
    <row r="3" spans="1:28" ht="16.5" thickTop="1" thickBot="1">
      <c r="C3" s="54">
        <v>1000</v>
      </c>
      <c r="D3" s="47" t="s">
        <v>201</v>
      </c>
      <c r="I3" s="55">
        <f>C9+C10+C11+C13</f>
        <v>6617</v>
      </c>
      <c r="J3" s="342" t="s">
        <v>63</v>
      </c>
      <c r="K3" s="343"/>
      <c r="L3" s="56">
        <v>301.55</v>
      </c>
      <c r="M3" s="56">
        <v>245.92</v>
      </c>
      <c r="N3" s="56">
        <v>379.79</v>
      </c>
      <c r="O3" s="56">
        <v>324.16000000000003</v>
      </c>
      <c r="P3" s="56">
        <v>303.3</v>
      </c>
      <c r="Q3" s="56">
        <v>438.9</v>
      </c>
      <c r="R3" s="56">
        <v>537.99</v>
      </c>
      <c r="S3" s="56">
        <v>862.33</v>
      </c>
      <c r="T3" s="56">
        <v>902.3</v>
      </c>
      <c r="U3" s="56">
        <v>927.37</v>
      </c>
      <c r="V3" s="56">
        <v>629.29</v>
      </c>
      <c r="W3" s="56">
        <v>408</v>
      </c>
    </row>
    <row r="4" spans="1:28" ht="15.75" thickTop="1">
      <c r="C4" s="54">
        <v>0</v>
      </c>
      <c r="D4" s="47" t="s">
        <v>141</v>
      </c>
      <c r="H4" s="47" t="s">
        <v>207</v>
      </c>
      <c r="I4" s="57">
        <f>C9+C11+C13</f>
        <v>5897</v>
      </c>
      <c r="J4" s="349" t="s">
        <v>51</v>
      </c>
      <c r="K4" s="345"/>
      <c r="L4" s="58">
        <f>D30</f>
        <v>4927.3300000000017</v>
      </c>
      <c r="M4" s="58">
        <f>D30</f>
        <v>4927.3300000000017</v>
      </c>
      <c r="N4" s="58">
        <f>D30</f>
        <v>4927.3300000000017</v>
      </c>
      <c r="O4" s="58">
        <f>D30</f>
        <v>4927.3300000000017</v>
      </c>
      <c r="P4" s="58">
        <f>D30</f>
        <v>4927.3300000000017</v>
      </c>
      <c r="Q4" s="58">
        <f>D30</f>
        <v>4927.3300000000017</v>
      </c>
      <c r="R4" s="58">
        <f>D30</f>
        <v>4927.3300000000017</v>
      </c>
      <c r="S4" s="58">
        <f>D30</f>
        <v>4927.3300000000017</v>
      </c>
      <c r="T4" s="58">
        <f>D30</f>
        <v>4927.3300000000017</v>
      </c>
      <c r="U4" s="58">
        <f>D30</f>
        <v>4927.3300000000017</v>
      </c>
      <c r="V4" s="58">
        <f>D30</f>
        <v>4927.3300000000017</v>
      </c>
      <c r="W4" s="58">
        <f>D30</f>
        <v>4927.3300000000017</v>
      </c>
    </row>
    <row r="5" spans="1:28" ht="15" customHeight="1">
      <c r="C5" s="54">
        <v>120</v>
      </c>
      <c r="D5" s="47" t="s">
        <v>66</v>
      </c>
      <c r="I5" s="49"/>
      <c r="J5" s="327" t="s">
        <v>149</v>
      </c>
      <c r="K5" s="328"/>
      <c r="L5" s="59">
        <v>0</v>
      </c>
      <c r="M5" s="60"/>
      <c r="N5" s="59"/>
      <c r="O5" s="59"/>
      <c r="P5" s="59"/>
      <c r="Q5" s="59">
        <v>20000</v>
      </c>
      <c r="R5" s="59" t="s">
        <v>187</v>
      </c>
      <c r="S5" s="59">
        <v>5900</v>
      </c>
      <c r="T5" s="59">
        <v>2800</v>
      </c>
      <c r="U5" s="59">
        <v>12000</v>
      </c>
      <c r="V5" s="60">
        <v>10000</v>
      </c>
      <c r="W5" s="1">
        <f>3080+10305.31</f>
        <v>13385.31</v>
      </c>
      <c r="Y5" s="61" t="s">
        <v>180</v>
      </c>
    </row>
    <row r="6" spans="1:28">
      <c r="C6" s="62">
        <v>229</v>
      </c>
      <c r="D6" s="47" t="s">
        <v>4</v>
      </c>
      <c r="I6" s="49"/>
      <c r="J6" s="350" t="s">
        <v>178</v>
      </c>
      <c r="K6" s="350"/>
      <c r="L6" s="63"/>
      <c r="M6" s="64"/>
      <c r="N6" s="63"/>
      <c r="O6" s="63"/>
      <c r="P6" s="63"/>
      <c r="Q6" s="63"/>
      <c r="R6" s="65">
        <f>(I3+R3-150)*0.6</f>
        <v>4202.9939999999997</v>
      </c>
      <c r="S6" s="63">
        <f>((I3+S3)*0.6)-175+55</f>
        <v>4367.598</v>
      </c>
      <c r="T6" s="63">
        <f>(I4+T3)*0.6+200+G10</f>
        <v>4495.58</v>
      </c>
      <c r="U6" s="63">
        <f>(I4+U3)*0.6+G10</f>
        <v>4310.6219999999994</v>
      </c>
      <c r="V6" s="63">
        <v>0</v>
      </c>
      <c r="W6" s="63"/>
      <c r="Y6" s="66">
        <f>SUM(Q6:V6)</f>
        <v>17376.794000000002</v>
      </c>
    </row>
    <row r="7" spans="1:28">
      <c r="C7" s="62">
        <v>750</v>
      </c>
      <c r="D7" s="47" t="s">
        <v>138</v>
      </c>
      <c r="I7" s="67" t="s">
        <v>52</v>
      </c>
      <c r="J7" s="327" t="s">
        <v>53</v>
      </c>
      <c r="K7" s="328"/>
      <c r="L7" s="68"/>
      <c r="R7" s="47">
        <v>-354.7</v>
      </c>
      <c r="S7" s="47">
        <v>-369.52</v>
      </c>
      <c r="W7" s="69"/>
    </row>
    <row r="8" spans="1:28">
      <c r="C8" s="54">
        <v>2400</v>
      </c>
      <c r="D8" s="47" t="s">
        <v>6</v>
      </c>
      <c r="J8" s="327" t="s">
        <v>65</v>
      </c>
      <c r="K8" s="328"/>
      <c r="L8" s="68"/>
      <c r="W8" s="69"/>
    </row>
    <row r="9" spans="1:28">
      <c r="B9" s="47" t="s">
        <v>7</v>
      </c>
      <c r="C9" s="62">
        <v>5200</v>
      </c>
      <c r="D9" s="47" t="s">
        <v>8</v>
      </c>
      <c r="G9" s="70">
        <v>0.3</v>
      </c>
      <c r="J9" s="327" t="s">
        <v>105</v>
      </c>
      <c r="K9" s="333"/>
      <c r="L9" s="68"/>
      <c r="O9" s="47">
        <f>-260-155-173-85.8</f>
        <v>-673.8</v>
      </c>
      <c r="P9" s="47">
        <f>-160-490-164.94-165-195</f>
        <v>-1174.94</v>
      </c>
      <c r="Q9" s="47">
        <f>-160-185-370</f>
        <v>-715</v>
      </c>
      <c r="R9" s="47">
        <f>-180-295-100</f>
        <v>-575</v>
      </c>
      <c r="S9" s="47">
        <f>-500-78.9-181-95.8</f>
        <v>-855.69999999999993</v>
      </c>
      <c r="T9" s="47">
        <f>-600-306-255-215</f>
        <v>-1376</v>
      </c>
      <c r="U9" s="47">
        <v>-425</v>
      </c>
      <c r="W9" s="44">
        <f>-285-270</f>
        <v>-555</v>
      </c>
    </row>
    <row r="10" spans="1:28">
      <c r="B10" s="47" t="s">
        <v>7</v>
      </c>
      <c r="C10" s="62">
        <v>720</v>
      </c>
      <c r="D10" s="47" t="s">
        <v>85</v>
      </c>
      <c r="F10" s="47" t="s">
        <v>143</v>
      </c>
      <c r="G10" s="47">
        <f>C10*0.3</f>
        <v>216</v>
      </c>
      <c r="H10" s="71" t="s">
        <v>164</v>
      </c>
      <c r="J10" s="327" t="s">
        <v>54</v>
      </c>
      <c r="K10" s="328"/>
      <c r="L10" s="68"/>
      <c r="N10" s="47">
        <f>-700-500</f>
        <v>-1200</v>
      </c>
      <c r="P10" s="47">
        <v>-160</v>
      </c>
      <c r="Q10" s="47">
        <v>-1450</v>
      </c>
      <c r="S10" s="47">
        <v>-1450</v>
      </c>
      <c r="W10" s="69"/>
    </row>
    <row r="11" spans="1:28">
      <c r="A11" s="47" t="s">
        <v>9</v>
      </c>
      <c r="C11" s="62">
        <v>199</v>
      </c>
      <c r="D11" s="47" t="s">
        <v>10</v>
      </c>
      <c r="F11" s="47" t="s">
        <v>152</v>
      </c>
      <c r="J11" s="327" t="s">
        <v>95</v>
      </c>
      <c r="K11" s="328"/>
      <c r="L11" s="68"/>
      <c r="M11" s="72"/>
      <c r="P11" s="47">
        <f>-270-270</f>
        <v>-540</v>
      </c>
      <c r="Q11" s="47">
        <f>-1300</f>
        <v>-1300</v>
      </c>
      <c r="R11" s="73">
        <f>-1*(715+2480+520+600+1150+1000+490)</f>
        <v>-6955</v>
      </c>
      <c r="U11" s="73">
        <v>-7185</v>
      </c>
      <c r="V11" s="47">
        <v>-800</v>
      </c>
      <c r="W11" s="69">
        <v>-300</v>
      </c>
    </row>
    <row r="12" spans="1:28">
      <c r="C12" s="54">
        <v>3000</v>
      </c>
      <c r="D12" s="47" t="s">
        <v>11</v>
      </c>
      <c r="J12" s="327" t="s">
        <v>67</v>
      </c>
      <c r="K12" s="328"/>
      <c r="L12" s="68"/>
      <c r="S12" s="47">
        <v>-245</v>
      </c>
      <c r="U12" s="47">
        <v>-440</v>
      </c>
      <c r="W12" s="69"/>
      <c r="Y12" s="61" t="s">
        <v>191</v>
      </c>
      <c r="Z12" s="47" t="s">
        <v>193</v>
      </c>
      <c r="AB12" s="47" t="s">
        <v>208</v>
      </c>
    </row>
    <row r="13" spans="1:28">
      <c r="C13" s="54">
        <f>498</f>
        <v>498</v>
      </c>
      <c r="D13" s="47" t="s">
        <v>144</v>
      </c>
      <c r="J13" s="327" t="s">
        <v>91</v>
      </c>
      <c r="K13" s="328"/>
      <c r="L13" s="68">
        <v>-881.49</v>
      </c>
      <c r="M13" s="47">
        <v>-399</v>
      </c>
      <c r="O13" s="47">
        <v>-500</v>
      </c>
      <c r="Q13" s="47">
        <f>-2800-500</f>
        <v>-3300</v>
      </c>
      <c r="R13" s="74" t="s">
        <v>184</v>
      </c>
      <c r="S13" s="47">
        <f>-1*2*299-1000</f>
        <v>-1598</v>
      </c>
      <c r="T13" s="47">
        <f>-1200-800-2400-495-765-1978</f>
        <v>-7638</v>
      </c>
      <c r="W13" s="69">
        <v>-1000</v>
      </c>
      <c r="X13" s="47" t="s">
        <v>159</v>
      </c>
      <c r="Y13" s="73">
        <f>715+3720+600+1150+1000</f>
        <v>7185</v>
      </c>
      <c r="Z13" s="47">
        <f>-Y13+R11</f>
        <v>-14140</v>
      </c>
      <c r="AB13" s="47">
        <v>-1215</v>
      </c>
    </row>
    <row r="14" spans="1:28">
      <c r="C14" s="54">
        <v>110</v>
      </c>
      <c r="D14" s="47" t="s">
        <v>13</v>
      </c>
      <c r="J14" s="327" t="s">
        <v>57</v>
      </c>
      <c r="K14" s="328"/>
      <c r="L14" s="68"/>
      <c r="O14" s="47">
        <f>-615.58-139.8</f>
        <v>-755.38000000000011</v>
      </c>
      <c r="P14" s="47">
        <v>-263.67</v>
      </c>
      <c r="Q14" s="47">
        <f>-350-646.48</f>
        <v>-996.48</v>
      </c>
      <c r="R14" s="74" t="s">
        <v>182</v>
      </c>
      <c r="S14" s="47">
        <f>-500-615</f>
        <v>-1115</v>
      </c>
      <c r="T14" s="47">
        <f>-670-900-1850-267.6</f>
        <v>-3687.6</v>
      </c>
      <c r="W14" s="69"/>
    </row>
    <row r="15" spans="1:28">
      <c r="C15" s="54"/>
      <c r="D15" s="47" t="s">
        <v>14</v>
      </c>
      <c r="F15" s="47" t="s">
        <v>148</v>
      </c>
      <c r="J15" s="327" t="s">
        <v>58</v>
      </c>
      <c r="K15" s="328"/>
      <c r="L15" s="68"/>
      <c r="P15" s="47">
        <v>-379.99</v>
      </c>
      <c r="R15" s="47">
        <v>-4500</v>
      </c>
      <c r="W15" s="69"/>
    </row>
    <row r="16" spans="1:28">
      <c r="C16" s="62">
        <v>238</v>
      </c>
      <c r="D16" s="47" t="s">
        <v>88</v>
      </c>
      <c r="J16" s="327" t="s">
        <v>59</v>
      </c>
      <c r="K16" s="328"/>
      <c r="L16" s="68"/>
      <c r="Q16" s="47">
        <v>-400</v>
      </c>
      <c r="W16" s="69"/>
    </row>
    <row r="17" spans="2:25">
      <c r="C17" s="62">
        <v>300</v>
      </c>
      <c r="D17" s="47" t="s">
        <v>16</v>
      </c>
      <c r="J17" s="327" t="s">
        <v>215</v>
      </c>
      <c r="K17" s="333"/>
      <c r="L17" s="68"/>
      <c r="O17" s="47">
        <v>-5000</v>
      </c>
      <c r="Q17" s="47">
        <v>-4000</v>
      </c>
      <c r="R17" s="47">
        <v>-4000</v>
      </c>
      <c r="S17" s="47">
        <v>-6000</v>
      </c>
      <c r="T17" s="47">
        <v>-4000</v>
      </c>
      <c r="U17" s="47">
        <v>-9000</v>
      </c>
      <c r="W17" s="69"/>
    </row>
    <row r="18" spans="2:25" ht="15.75" thickBot="1">
      <c r="C18" s="62">
        <v>0</v>
      </c>
      <c r="D18" s="47" t="s">
        <v>17</v>
      </c>
      <c r="F18" s="47" t="s">
        <v>137</v>
      </c>
      <c r="J18" s="327" t="s">
        <v>60</v>
      </c>
      <c r="K18" s="328"/>
      <c r="L18" s="75"/>
      <c r="M18" s="76"/>
      <c r="N18" s="76">
        <f>-1250-228</f>
        <v>-1478</v>
      </c>
      <c r="O18" s="76">
        <v>-450</v>
      </c>
      <c r="P18" s="76">
        <v>-2840</v>
      </c>
      <c r="Q18" s="76"/>
      <c r="R18" s="77"/>
      <c r="S18" s="78">
        <v>-3500</v>
      </c>
      <c r="T18" s="76"/>
      <c r="U18" s="76"/>
      <c r="V18" s="76"/>
      <c r="W18" s="44">
        <f>-690-4032.7</f>
        <v>-4722.7</v>
      </c>
    </row>
    <row r="19" spans="2:25">
      <c r="B19" s="47" t="s">
        <v>7</v>
      </c>
      <c r="C19" s="62">
        <v>2928</v>
      </c>
      <c r="D19" s="47" t="s">
        <v>142</v>
      </c>
      <c r="J19" s="329" t="s">
        <v>61</v>
      </c>
      <c r="K19" s="329"/>
      <c r="L19" s="79">
        <f>SUM(L4:L18)-13000-L3</f>
        <v>-9255.7099999999973</v>
      </c>
      <c r="M19" s="79">
        <f t="shared" ref="M19:W19" si="0">SUM(M4:M18)-M3</f>
        <v>4282.4100000000017</v>
      </c>
      <c r="N19" s="79">
        <f t="shared" si="0"/>
        <v>1869.5400000000018</v>
      </c>
      <c r="O19" s="79">
        <f t="shared" si="0"/>
        <v>-2776.0099999999984</v>
      </c>
      <c r="P19" s="79">
        <f t="shared" si="0"/>
        <v>-734.56999999999857</v>
      </c>
      <c r="Q19" s="79">
        <f t="shared" si="0"/>
        <v>12326.950000000003</v>
      </c>
      <c r="R19" s="79">
        <f t="shared" si="0"/>
        <v>-7792.366</v>
      </c>
      <c r="S19" s="79">
        <f t="shared" si="0"/>
        <v>-800.6219999999995</v>
      </c>
      <c r="T19" s="79">
        <f t="shared" si="0"/>
        <v>-5380.9899999999989</v>
      </c>
      <c r="U19" s="79">
        <f t="shared" si="0"/>
        <v>3260.5820000000012</v>
      </c>
      <c r="V19" s="79">
        <f t="shared" si="0"/>
        <v>13498.04</v>
      </c>
      <c r="W19" s="79">
        <f t="shared" si="0"/>
        <v>11326.939999999999</v>
      </c>
      <c r="Y19" s="47" t="s">
        <v>203</v>
      </c>
    </row>
    <row r="20" spans="2:25">
      <c r="C20" s="62">
        <v>400</v>
      </c>
      <c r="D20" s="47" t="s">
        <v>18</v>
      </c>
      <c r="J20" s="331" t="s">
        <v>62</v>
      </c>
      <c r="K20" s="331"/>
      <c r="L20" s="61">
        <f>L19</f>
        <v>-9255.7099999999973</v>
      </c>
      <c r="M20" s="61">
        <f>SUM(L19:M19)</f>
        <v>-4973.2999999999956</v>
      </c>
      <c r="N20" s="61">
        <f>SUM(L19:N19)</f>
        <v>-3103.7599999999939</v>
      </c>
      <c r="O20" s="61">
        <f>SUM(L19:O19)</f>
        <v>-5879.7699999999923</v>
      </c>
      <c r="P20" s="61">
        <f>SUM(L19:P19)</f>
        <v>-6614.3399999999911</v>
      </c>
      <c r="Q20" s="61">
        <f>SUM(L19:Q19)</f>
        <v>5712.6100000000115</v>
      </c>
      <c r="R20" s="61">
        <f>SUM(L19:R19)</f>
        <v>-2079.7559999999885</v>
      </c>
      <c r="S20" s="61">
        <f>SUM(L19:S19)</f>
        <v>-2880.3779999999879</v>
      </c>
      <c r="T20" s="61">
        <f>SUM(L19:T19)</f>
        <v>-8261.3679999999877</v>
      </c>
      <c r="U20" s="61">
        <f>SUM(L19:U19)</f>
        <v>-5000.7859999999864</v>
      </c>
      <c r="V20" s="61">
        <f>SUM(L19:V19)</f>
        <v>8497.2540000000154</v>
      </c>
      <c r="W20" s="61">
        <f>SUM(L19:W19)</f>
        <v>19824.194000000014</v>
      </c>
      <c r="Y20" s="47" t="s">
        <v>204</v>
      </c>
    </row>
    <row r="21" spans="2:25">
      <c r="C21" s="62"/>
      <c r="D21" s="47" t="s">
        <v>86</v>
      </c>
      <c r="J21" s="57"/>
      <c r="K21" s="57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Y21" s="47" t="s">
        <v>205</v>
      </c>
    </row>
    <row r="22" spans="2:25" ht="15.75" thickBot="1">
      <c r="C22" s="80">
        <v>5000</v>
      </c>
      <c r="D22" s="47" t="s">
        <v>19</v>
      </c>
      <c r="L22" s="47" t="s">
        <v>145</v>
      </c>
      <c r="N22" s="47" t="s">
        <v>153</v>
      </c>
      <c r="P22" s="47" t="s">
        <v>176</v>
      </c>
      <c r="R22" s="47" t="s">
        <v>181</v>
      </c>
      <c r="S22" s="47" t="s">
        <v>195</v>
      </c>
      <c r="T22" s="47" t="s">
        <v>198</v>
      </c>
      <c r="W22" t="s">
        <v>217</v>
      </c>
      <c r="Y22" s="47" t="s">
        <v>206</v>
      </c>
    </row>
    <row r="23" spans="2:25">
      <c r="B23" s="81" t="s">
        <v>20</v>
      </c>
      <c r="C23" s="82"/>
      <c r="M23" s="47" t="s">
        <v>150</v>
      </c>
      <c r="O23" s="47" t="s">
        <v>163</v>
      </c>
      <c r="P23" s="47" t="s">
        <v>171</v>
      </c>
      <c r="Q23" s="47" t="s">
        <v>172</v>
      </c>
      <c r="R23" s="47" t="s">
        <v>183</v>
      </c>
      <c r="S23" s="47" t="s">
        <v>190</v>
      </c>
      <c r="T23" s="47" t="s">
        <v>199</v>
      </c>
      <c r="U23" s="47" t="s">
        <v>209</v>
      </c>
      <c r="W23" t="s">
        <v>218</v>
      </c>
    </row>
    <row r="24" spans="2:25">
      <c r="B24" s="67" t="s">
        <v>21</v>
      </c>
      <c r="C24" s="67"/>
      <c r="D24" s="59">
        <v>2000</v>
      </c>
      <c r="E24" s="47" t="s">
        <v>160</v>
      </c>
      <c r="N24" s="47" t="s">
        <v>154</v>
      </c>
      <c r="P24" s="47" t="s">
        <v>167</v>
      </c>
      <c r="Q24" s="47" t="s">
        <v>186</v>
      </c>
      <c r="R24" s="47" t="s">
        <v>197</v>
      </c>
      <c r="S24" s="47" t="s">
        <v>196</v>
      </c>
      <c r="T24" s="47" t="s">
        <v>212</v>
      </c>
      <c r="W24" t="s">
        <v>225</v>
      </c>
    </row>
    <row r="25" spans="2:25">
      <c r="B25" s="83" t="s">
        <v>22</v>
      </c>
      <c r="C25" s="84"/>
      <c r="D25" s="85">
        <v>5000</v>
      </c>
      <c r="E25" s="47" t="s">
        <v>161</v>
      </c>
      <c r="N25" s="47" t="s">
        <v>155</v>
      </c>
      <c r="Q25" s="47" t="s">
        <v>177</v>
      </c>
      <c r="S25" s="47" t="s">
        <v>189</v>
      </c>
      <c r="T25" s="47" t="s">
        <v>210</v>
      </c>
      <c r="V25" t="s">
        <v>238</v>
      </c>
      <c r="W25" t="s">
        <v>226</v>
      </c>
    </row>
    <row r="26" spans="2:25">
      <c r="B26" s="57" t="s">
        <v>23</v>
      </c>
      <c r="C26" s="57"/>
      <c r="D26" s="86">
        <f>SUM(C3,C4,C5,C8,C12,C13,C14,C15)</f>
        <v>7128</v>
      </c>
      <c r="I26" s="87"/>
      <c r="N26" s="47" t="s">
        <v>156</v>
      </c>
      <c r="Q26" s="47" t="s">
        <v>173</v>
      </c>
      <c r="R26" s="87" t="s">
        <v>188</v>
      </c>
      <c r="S26" s="88" t="s">
        <v>194</v>
      </c>
      <c r="T26" s="47" t="s">
        <v>202</v>
      </c>
      <c r="U26" t="s">
        <v>216</v>
      </c>
    </row>
    <row r="27" spans="2:25">
      <c r="B27" s="89" t="s">
        <v>24</v>
      </c>
      <c r="C27" s="89"/>
      <c r="D27" s="79">
        <f>SUM(C6,C7,C9,C10,C11,C16,C17,C18,C19,C20,C21)</f>
        <v>10964</v>
      </c>
      <c r="O27" s="47" t="s">
        <v>165</v>
      </c>
      <c r="Q27" s="71" t="s">
        <v>174</v>
      </c>
      <c r="R27" s="47" t="s">
        <v>214</v>
      </c>
      <c r="S27" s="71" t="s">
        <v>175</v>
      </c>
      <c r="T27" s="47" t="s">
        <v>211</v>
      </c>
      <c r="W27" t="s">
        <v>235</v>
      </c>
    </row>
    <row r="28" spans="2:25">
      <c r="B28" s="57" t="s">
        <v>25</v>
      </c>
      <c r="C28" s="57"/>
      <c r="D28" s="61">
        <v>1500</v>
      </c>
      <c r="H28" s="47" t="s">
        <v>158</v>
      </c>
      <c r="O28" s="47" t="s">
        <v>166</v>
      </c>
      <c r="Q28" s="47" t="s">
        <v>179</v>
      </c>
      <c r="R28" s="47" t="s">
        <v>185</v>
      </c>
      <c r="S28" s="47" t="s">
        <v>213</v>
      </c>
      <c r="T28" s="47" t="s">
        <v>200</v>
      </c>
    </row>
    <row r="29" spans="2:25" ht="15.75" thickBot="1">
      <c r="C29" s="90" t="s">
        <v>26</v>
      </c>
      <c r="D29" s="90">
        <f>SUM(D24:D28)</f>
        <v>26592</v>
      </c>
      <c r="H29" s="88" t="s">
        <v>28</v>
      </c>
      <c r="I29" s="61" t="s">
        <v>31</v>
      </c>
      <c r="J29" s="61" t="s">
        <v>32</v>
      </c>
      <c r="K29" s="61" t="s">
        <v>33</v>
      </c>
      <c r="L29" s="61" t="s">
        <v>34</v>
      </c>
      <c r="M29" s="61" t="s">
        <v>35</v>
      </c>
      <c r="N29" s="61" t="s">
        <v>36</v>
      </c>
      <c r="O29" s="61" t="s">
        <v>37</v>
      </c>
      <c r="P29" s="61" t="s">
        <v>38</v>
      </c>
      <c r="Q29" s="61" t="s">
        <v>39</v>
      </c>
      <c r="R29" s="61" t="s">
        <v>40</v>
      </c>
      <c r="S29" s="61" t="s">
        <v>29</v>
      </c>
      <c r="T29" s="61" t="s">
        <v>30</v>
      </c>
    </row>
    <row r="30" spans="2:25" ht="15.75" thickBot="1">
      <c r="C30" s="91" t="s">
        <v>27</v>
      </c>
      <c r="D30" s="92">
        <f>A2-D29</f>
        <v>4927.3300000000017</v>
      </c>
      <c r="H30" s="52" t="s">
        <v>41</v>
      </c>
      <c r="I30" s="93">
        <v>0</v>
      </c>
      <c r="J30" s="93">
        <v>0</v>
      </c>
      <c r="K30" s="93">
        <v>0</v>
      </c>
      <c r="L30" s="93">
        <v>10000</v>
      </c>
      <c r="M30" s="93">
        <v>5000</v>
      </c>
      <c r="N30" s="93">
        <v>9000</v>
      </c>
      <c r="O30" s="93">
        <v>9000</v>
      </c>
      <c r="P30" s="93">
        <v>11000</v>
      </c>
      <c r="Q30" s="93">
        <v>9000</v>
      </c>
      <c r="R30" s="93">
        <v>0</v>
      </c>
      <c r="S30" s="93">
        <v>0</v>
      </c>
      <c r="T30" s="93">
        <v>0</v>
      </c>
    </row>
    <row r="31" spans="2:25">
      <c r="E31" s="47">
        <v>7000</v>
      </c>
      <c r="H31" s="52" t="s">
        <v>42</v>
      </c>
      <c r="I31" s="94">
        <v>-30</v>
      </c>
      <c r="J31" s="94">
        <v>-4530</v>
      </c>
      <c r="K31" s="94">
        <v>-41.9</v>
      </c>
      <c r="L31" s="94">
        <v>-30</v>
      </c>
      <c r="M31" s="94">
        <v>-30</v>
      </c>
      <c r="N31" s="94">
        <v>-30</v>
      </c>
      <c r="O31" s="94">
        <v>-30</v>
      </c>
      <c r="P31" s="94">
        <v>-30</v>
      </c>
      <c r="Q31" s="94">
        <v>-30</v>
      </c>
      <c r="R31" s="94">
        <v>-30</v>
      </c>
      <c r="S31" s="94">
        <v>-30</v>
      </c>
      <c r="T31" s="94">
        <v>-30</v>
      </c>
    </row>
    <row r="32" spans="2:25" ht="15.75" thickBot="1">
      <c r="E32" s="47">
        <v>11000</v>
      </c>
      <c r="H32" s="52" t="s">
        <v>43</v>
      </c>
      <c r="I32" s="95">
        <v>4724.13</v>
      </c>
      <c r="J32" s="96">
        <f>I32+J30+J31</f>
        <v>194.13000000000011</v>
      </c>
      <c r="K32" s="96">
        <f t="shared" ref="K32:P32" si="1">J32+K30+K31</f>
        <v>152.2300000000001</v>
      </c>
      <c r="L32" s="96">
        <f>K32+L30+L31</f>
        <v>10122.23</v>
      </c>
      <c r="M32" s="96">
        <f>L32+M30+M31</f>
        <v>15092.23</v>
      </c>
      <c r="N32" s="96">
        <f t="shared" si="1"/>
        <v>24062.23</v>
      </c>
      <c r="O32" s="96">
        <f t="shared" si="1"/>
        <v>33032.229999999996</v>
      </c>
      <c r="P32" s="96">
        <f t="shared" si="1"/>
        <v>44002.229999999996</v>
      </c>
      <c r="Q32" s="96">
        <f>P32+Q30+Q31</f>
        <v>52972.229999999996</v>
      </c>
      <c r="R32" s="96">
        <f>Q32+R30+R31</f>
        <v>52942.229999999996</v>
      </c>
      <c r="S32" s="96">
        <f>R32+S30+S31</f>
        <v>52912.229999999996</v>
      </c>
      <c r="T32" s="96">
        <f>S35</f>
        <v>5092.2299999999959</v>
      </c>
    </row>
    <row r="33" spans="3:22" ht="16.5" thickTop="1" thickBot="1">
      <c r="Q33" s="55" t="s">
        <v>169</v>
      </c>
      <c r="R33" s="55" t="s">
        <v>168</v>
      </c>
      <c r="S33" s="61" t="s">
        <v>192</v>
      </c>
    </row>
    <row r="34" spans="3:22" ht="15.75" thickTop="1">
      <c r="E34" s="47">
        <v>18000</v>
      </c>
      <c r="O34" s="346" t="s">
        <v>170</v>
      </c>
      <c r="P34" s="346"/>
      <c r="Q34" s="88">
        <v>24300</v>
      </c>
      <c r="R34" s="42">
        <f>23580</f>
        <v>23580</v>
      </c>
      <c r="S34" s="97"/>
    </row>
    <row r="35" spans="3:22" ht="15.75" thickBot="1">
      <c r="Q35" s="47">
        <f>Q32-Q34</f>
        <v>28672.229999999996</v>
      </c>
      <c r="R35" s="47">
        <f>Q35-R34+R30</f>
        <v>5092.2299999999959</v>
      </c>
      <c r="S35" s="47">
        <f>R35+S30-S34</f>
        <v>5092.2299999999959</v>
      </c>
    </row>
    <row r="36" spans="3:22" ht="18.75">
      <c r="H36" s="88" t="s">
        <v>139</v>
      </c>
      <c r="I36" s="61" t="s">
        <v>31</v>
      </c>
      <c r="J36" s="61" t="s">
        <v>32</v>
      </c>
      <c r="K36" s="61" t="s">
        <v>33</v>
      </c>
      <c r="L36" s="61" t="s">
        <v>34</v>
      </c>
      <c r="M36" s="61" t="s">
        <v>35</v>
      </c>
      <c r="N36" s="61" t="s">
        <v>36</v>
      </c>
      <c r="O36" s="61" t="s">
        <v>37</v>
      </c>
      <c r="P36" s="61" t="s">
        <v>38</v>
      </c>
      <c r="Q36" s="61" t="s">
        <v>39</v>
      </c>
      <c r="R36" s="61" t="s">
        <v>40</v>
      </c>
      <c r="S36" s="61" t="s">
        <v>29</v>
      </c>
      <c r="T36" s="61" t="s">
        <v>30</v>
      </c>
      <c r="V36" s="98" t="s">
        <v>159</v>
      </c>
    </row>
    <row r="37" spans="3:22">
      <c r="H37" s="52" t="s">
        <v>140</v>
      </c>
      <c r="I37" s="93">
        <v>3000</v>
      </c>
      <c r="J37" s="93">
        <v>1000</v>
      </c>
      <c r="K37" s="93">
        <v>3240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3">
        <v>0</v>
      </c>
      <c r="S37" s="93">
        <v>0</v>
      </c>
      <c r="T37" s="99">
        <v>0</v>
      </c>
      <c r="V37" s="100">
        <v>120000</v>
      </c>
    </row>
    <row r="38" spans="3:22" ht="15.75" thickBot="1">
      <c r="C38" s="70"/>
      <c r="H38" s="52" t="s">
        <v>42</v>
      </c>
      <c r="I38" s="94">
        <v>0</v>
      </c>
      <c r="J38" s="94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  <c r="R38" s="94">
        <v>0</v>
      </c>
      <c r="S38" s="94">
        <v>0</v>
      </c>
      <c r="T38" s="101">
        <v>0</v>
      </c>
      <c r="V38" s="62">
        <f>T39</f>
        <v>7240</v>
      </c>
    </row>
    <row r="39" spans="3:22" ht="15.75" thickBot="1">
      <c r="C39" s="70"/>
      <c r="H39" s="52" t="s">
        <v>43</v>
      </c>
      <c r="I39" s="95">
        <v>3000</v>
      </c>
      <c r="J39" s="96">
        <f t="shared" ref="J39:T39" si="2">I39+J37+J38</f>
        <v>4000</v>
      </c>
      <c r="K39" s="96">
        <f t="shared" si="2"/>
        <v>7240</v>
      </c>
      <c r="L39" s="96">
        <f t="shared" si="2"/>
        <v>7240</v>
      </c>
      <c r="M39" s="96">
        <f t="shared" si="2"/>
        <v>7240</v>
      </c>
      <c r="N39" s="96">
        <f t="shared" si="2"/>
        <v>7240</v>
      </c>
      <c r="O39" s="96">
        <f t="shared" si="2"/>
        <v>7240</v>
      </c>
      <c r="P39" s="96">
        <f t="shared" si="2"/>
        <v>7240</v>
      </c>
      <c r="Q39" s="96">
        <f t="shared" si="2"/>
        <v>7240</v>
      </c>
      <c r="R39" s="96">
        <f t="shared" si="2"/>
        <v>7240</v>
      </c>
      <c r="S39" s="96">
        <f t="shared" si="2"/>
        <v>7240</v>
      </c>
      <c r="T39" s="102">
        <f t="shared" si="2"/>
        <v>7240</v>
      </c>
      <c r="V39" s="103">
        <f>V37-T39</f>
        <v>112760</v>
      </c>
    </row>
    <row r="40" spans="3:22">
      <c r="J40" s="47" t="s">
        <v>151</v>
      </c>
    </row>
    <row r="41" spans="3:22">
      <c r="K41" s="47" t="s">
        <v>157</v>
      </c>
    </row>
    <row r="48" spans="3:22" ht="15.75" thickBot="1">
      <c r="H48" t="s">
        <v>233</v>
      </c>
      <c r="I48"/>
    </row>
    <row r="49" spans="8:9" ht="16.5" thickTop="1" thickBot="1">
      <c r="H49" s="109" t="s">
        <v>232</v>
      </c>
      <c r="I49" s="110">
        <v>-860</v>
      </c>
    </row>
    <row r="50" spans="8:9" ht="16.5" thickTop="1" thickBot="1">
      <c r="H50" s="109" t="s">
        <v>234</v>
      </c>
      <c r="I50" s="110">
        <v>-300</v>
      </c>
    </row>
    <row r="51" spans="8:9" ht="16.5" thickTop="1" thickBot="1">
      <c r="H51" s="109" t="s">
        <v>219</v>
      </c>
      <c r="I51" s="110">
        <v>-739.14</v>
      </c>
    </row>
    <row r="52" spans="8:9" ht="16.5" thickTop="1" thickBot="1">
      <c r="H52" s="109" t="s">
        <v>220</v>
      </c>
      <c r="I52" s="110">
        <v>-4.3899999999999997</v>
      </c>
    </row>
    <row r="53" spans="8:9" ht="16.5" thickTop="1" thickBot="1">
      <c r="H53" s="109" t="s">
        <v>221</v>
      </c>
      <c r="I53" s="110">
        <v>-18</v>
      </c>
    </row>
    <row r="54" spans="8:9" ht="16.5" thickTop="1" thickBot="1">
      <c r="H54" s="109" t="s">
        <v>222</v>
      </c>
      <c r="I54" s="110">
        <v>-59.5</v>
      </c>
    </row>
    <row r="55" spans="8:9" ht="16.5" thickTop="1" thickBot="1">
      <c r="H55" s="109" t="s">
        <v>223</v>
      </c>
      <c r="I55" s="110">
        <v>-51.5</v>
      </c>
    </row>
    <row r="56" spans="8:9" ht="16.5" thickTop="1" thickBot="1">
      <c r="H56" s="109" t="s">
        <v>224</v>
      </c>
      <c r="I56" s="110">
        <v>-465.03</v>
      </c>
    </row>
    <row r="57" spans="8:9" ht="16.5" thickTop="1" thickBot="1">
      <c r="H57" s="109" t="s">
        <v>220</v>
      </c>
      <c r="I57" s="110">
        <v>-4.3899999999999997</v>
      </c>
    </row>
    <row r="58" spans="8:9" ht="16.5" thickTop="1" thickBot="1">
      <c r="H58" s="109" t="s">
        <v>227</v>
      </c>
      <c r="I58" s="110">
        <v>-595.49</v>
      </c>
    </row>
    <row r="59" spans="8:9" ht="16.5" thickTop="1" thickBot="1">
      <c r="H59" s="109" t="s">
        <v>220</v>
      </c>
      <c r="I59" s="110">
        <v>-4.3899999999999997</v>
      </c>
    </row>
    <row r="60" spans="8:9" ht="16.5" thickTop="1" thickBot="1">
      <c r="H60" s="109" t="s">
        <v>228</v>
      </c>
      <c r="I60" s="110">
        <v>-859.99</v>
      </c>
    </row>
    <row r="61" spans="8:9" ht="16.5" thickTop="1" thickBot="1">
      <c r="H61" s="109" t="s">
        <v>220</v>
      </c>
      <c r="I61" s="110">
        <v>-4.3899999999999997</v>
      </c>
    </row>
    <row r="62" spans="8:9" ht="16.5" thickTop="1" thickBot="1">
      <c r="H62" s="109" t="s">
        <v>229</v>
      </c>
      <c r="I62" s="110">
        <v>-720.1</v>
      </c>
    </row>
    <row r="63" spans="8:9" ht="16.5" thickTop="1" thickBot="1">
      <c r="H63" s="109" t="s">
        <v>220</v>
      </c>
      <c r="I63" s="110">
        <v>-4.3899999999999997</v>
      </c>
    </row>
    <row r="64" spans="8:9" ht="27" thickTop="1" thickBot="1">
      <c r="H64" s="109" t="s">
        <v>230</v>
      </c>
      <c r="I64" s="110">
        <v>-265</v>
      </c>
    </row>
    <row r="65" spans="8:9" ht="15.75" thickTop="1">
      <c r="H65" s="111"/>
      <c r="I65" s="347">
        <v>-35.5</v>
      </c>
    </row>
    <row r="66" spans="8:9" ht="15.75" thickBot="1">
      <c r="H66" s="112" t="s">
        <v>231</v>
      </c>
      <c r="I66" s="348"/>
    </row>
    <row r="67" spans="8:9" ht="15.75" thickTop="1">
      <c r="H67"/>
      <c r="I67">
        <f>SUM(I49:I66)</f>
        <v>-4991.2</v>
      </c>
    </row>
  </sheetData>
  <mergeCells count="23">
    <mergeCell ref="I65:I66"/>
    <mergeCell ref="J12:K12"/>
    <mergeCell ref="A1:B1"/>
    <mergeCell ref="C1:D1"/>
    <mergeCell ref="A2:B2"/>
    <mergeCell ref="J3:K3"/>
    <mergeCell ref="J4:K4"/>
    <mergeCell ref="J5:K5"/>
    <mergeCell ref="J7:K7"/>
    <mergeCell ref="J8:K8"/>
    <mergeCell ref="J9:K9"/>
    <mergeCell ref="J10:K10"/>
    <mergeCell ref="J11:K11"/>
    <mergeCell ref="J6:K6"/>
    <mergeCell ref="O34:P34"/>
    <mergeCell ref="J20:K20"/>
    <mergeCell ref="J13:K13"/>
    <mergeCell ref="J14:K14"/>
    <mergeCell ref="J15:K15"/>
    <mergeCell ref="J16:K16"/>
    <mergeCell ref="J18:K18"/>
    <mergeCell ref="J19:K19"/>
    <mergeCell ref="J17:K1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9"/>
  <sheetViews>
    <sheetView workbookViewId="0">
      <selection activeCell="D31" sqref="D31"/>
    </sheetView>
  </sheetViews>
  <sheetFormatPr defaultColWidth="8.85546875" defaultRowHeight="15"/>
  <cols>
    <col min="5" max="5" width="12.85546875" customWidth="1"/>
    <col min="7" max="7" width="11.42578125" customWidth="1"/>
    <col min="8" max="8" width="34.5703125" bestFit="1" customWidth="1"/>
    <col min="9" max="9" width="14.5703125" bestFit="1" customWidth="1"/>
    <col min="10" max="10" width="9" bestFit="1" customWidth="1"/>
    <col min="11" max="11" width="12.7109375" customWidth="1"/>
    <col min="12" max="12" width="9" bestFit="1" customWidth="1"/>
    <col min="13" max="13" width="9.7109375" customWidth="1"/>
    <col min="19" max="19" width="9.7109375" customWidth="1"/>
    <col min="20" max="20" width="10.7109375" customWidth="1"/>
    <col min="21" max="21" width="8.85546875" customWidth="1"/>
    <col min="22" max="22" width="10.5703125" customWidth="1"/>
    <col min="23" max="23" width="10" customWidth="1"/>
  </cols>
  <sheetData>
    <row r="1" spans="1:23">
      <c r="A1" s="351" t="s">
        <v>162</v>
      </c>
      <c r="B1" s="351"/>
      <c r="C1" s="351"/>
      <c r="D1" s="351"/>
      <c r="E1" s="351"/>
      <c r="F1" s="351"/>
      <c r="G1" s="351"/>
    </row>
    <row r="2" spans="1:23" ht="15.75" thickBot="1">
      <c r="A2" s="268" t="s">
        <v>0</v>
      </c>
      <c r="B2" s="268"/>
      <c r="C2" s="353" t="s">
        <v>1</v>
      </c>
      <c r="D2" s="268"/>
    </row>
    <row r="3" spans="1:23" ht="15.75" thickTop="1">
      <c r="A3" s="354">
        <v>31519.33</v>
      </c>
      <c r="B3" s="354"/>
      <c r="C3" s="6">
        <v>3600</v>
      </c>
      <c r="D3" t="s">
        <v>2</v>
      </c>
      <c r="E3" t="s">
        <v>80</v>
      </c>
      <c r="H3" s="26"/>
      <c r="I3" s="26"/>
      <c r="L3" s="30" t="s">
        <v>44</v>
      </c>
      <c r="M3" s="27" t="s">
        <v>45</v>
      </c>
      <c r="N3" s="21" t="s">
        <v>33</v>
      </c>
      <c r="O3" s="25" t="s">
        <v>110</v>
      </c>
      <c r="P3" s="25" t="s">
        <v>35</v>
      </c>
      <c r="Q3" s="25" t="s">
        <v>48</v>
      </c>
      <c r="R3" s="25" t="s">
        <v>49</v>
      </c>
      <c r="S3" s="25" t="s">
        <v>111</v>
      </c>
      <c r="T3" s="30" t="s">
        <v>112</v>
      </c>
      <c r="U3" s="25" t="s">
        <v>113</v>
      </c>
      <c r="V3" s="25" t="s">
        <v>114</v>
      </c>
      <c r="W3" s="25" t="s">
        <v>115</v>
      </c>
    </row>
    <row r="4" spans="1:23">
      <c r="C4" s="3">
        <v>0</v>
      </c>
      <c r="D4" t="s">
        <v>3</v>
      </c>
      <c r="I4" s="26"/>
      <c r="J4" s="355" t="s">
        <v>63</v>
      </c>
      <c r="K4" s="304"/>
      <c r="L4" s="28">
        <v>301.55</v>
      </c>
      <c r="M4" s="28" t="s">
        <v>147</v>
      </c>
      <c r="N4" s="28">
        <v>379.79</v>
      </c>
      <c r="O4" s="28"/>
      <c r="P4" s="28"/>
      <c r="Q4" s="28"/>
      <c r="R4" s="28"/>
      <c r="S4" s="28"/>
      <c r="T4" s="28"/>
      <c r="U4" s="28"/>
      <c r="V4" s="28"/>
      <c r="W4" s="28"/>
    </row>
    <row r="5" spans="1:23">
      <c r="C5" s="3">
        <v>2500</v>
      </c>
      <c r="D5" t="s">
        <v>141</v>
      </c>
      <c r="I5" s="26"/>
      <c r="J5" s="344" t="s">
        <v>51</v>
      </c>
      <c r="K5" s="356"/>
      <c r="L5" s="29">
        <f>D31</f>
        <v>1681.3300000000017</v>
      </c>
      <c r="M5" s="29">
        <f>D31</f>
        <v>1681.3300000000017</v>
      </c>
      <c r="N5" s="29">
        <f>D31</f>
        <v>1681.3300000000017</v>
      </c>
      <c r="O5" s="29">
        <f>D31</f>
        <v>1681.3300000000017</v>
      </c>
      <c r="P5" s="29">
        <f>D31</f>
        <v>1681.3300000000017</v>
      </c>
      <c r="Q5" s="29">
        <f>D31</f>
        <v>1681.3300000000017</v>
      </c>
      <c r="R5" s="29">
        <f>D31</f>
        <v>1681.3300000000017</v>
      </c>
      <c r="S5" s="29">
        <f>D31</f>
        <v>1681.3300000000017</v>
      </c>
      <c r="T5" s="29">
        <f>D31</f>
        <v>1681.3300000000017</v>
      </c>
      <c r="U5" s="29">
        <f>D31</f>
        <v>1681.3300000000017</v>
      </c>
      <c r="V5" s="29">
        <f>D31</f>
        <v>1681.3300000000017</v>
      </c>
      <c r="W5" s="29">
        <f>D31</f>
        <v>1681.3300000000017</v>
      </c>
    </row>
    <row r="6" spans="1:23" ht="15" customHeight="1" thickBot="1">
      <c r="C6" s="3">
        <v>120</v>
      </c>
      <c r="D6" t="s">
        <v>66</v>
      </c>
      <c r="I6" s="26"/>
      <c r="J6" s="332" t="s">
        <v>149</v>
      </c>
      <c r="K6" s="352"/>
      <c r="L6" s="1">
        <v>0</v>
      </c>
      <c r="M6" s="32"/>
      <c r="N6" s="1"/>
      <c r="O6" s="1"/>
      <c r="P6" s="1"/>
      <c r="Q6" s="1"/>
      <c r="R6" s="1"/>
      <c r="S6" s="1"/>
      <c r="T6" s="1"/>
      <c r="U6" s="1"/>
      <c r="V6" s="32"/>
      <c r="W6" s="1"/>
    </row>
    <row r="7" spans="1:23">
      <c r="C7" s="5">
        <v>229</v>
      </c>
      <c r="D7" t="s">
        <v>4</v>
      </c>
      <c r="I7" s="11" t="s">
        <v>52</v>
      </c>
      <c r="J7" s="332" t="s">
        <v>53</v>
      </c>
      <c r="K7" s="352"/>
      <c r="L7" s="33"/>
      <c r="M7" s="34"/>
      <c r="N7" s="34"/>
      <c r="O7" s="34"/>
      <c r="P7" s="34"/>
      <c r="Q7" s="34"/>
      <c r="R7" s="34"/>
      <c r="S7" s="34"/>
      <c r="T7" s="34"/>
      <c r="U7" s="34"/>
      <c r="V7" s="34"/>
      <c r="W7" s="35"/>
    </row>
    <row r="8" spans="1:23">
      <c r="C8" s="5">
        <v>750</v>
      </c>
      <c r="D8" t="s">
        <v>138</v>
      </c>
      <c r="J8" s="332" t="s">
        <v>65</v>
      </c>
      <c r="K8" s="352"/>
      <c r="L8" s="36"/>
      <c r="W8" s="37"/>
    </row>
    <row r="9" spans="1:23">
      <c r="C9" s="3">
        <v>1200</v>
      </c>
      <c r="D9" t="s">
        <v>6</v>
      </c>
      <c r="J9" s="332" t="s">
        <v>105</v>
      </c>
      <c r="K9" s="339"/>
      <c r="L9" s="36"/>
      <c r="W9" s="37"/>
    </row>
    <row r="10" spans="1:23">
      <c r="B10" t="s">
        <v>7</v>
      </c>
      <c r="C10" s="5">
        <v>5200</v>
      </c>
      <c r="D10" t="s">
        <v>8</v>
      </c>
      <c r="J10" s="332" t="s">
        <v>54</v>
      </c>
      <c r="K10" s="352"/>
      <c r="L10" s="36"/>
      <c r="N10">
        <f>-700-500</f>
        <v>-1200</v>
      </c>
      <c r="W10" s="37"/>
    </row>
    <row r="11" spans="1:23">
      <c r="C11" s="5">
        <v>720</v>
      </c>
      <c r="D11" t="s">
        <v>85</v>
      </c>
      <c r="F11" t="s">
        <v>143</v>
      </c>
      <c r="J11" s="332" t="s">
        <v>95</v>
      </c>
      <c r="K11" s="352"/>
      <c r="L11" s="36"/>
      <c r="M11" s="41"/>
      <c r="W11" s="37"/>
    </row>
    <row r="12" spans="1:23">
      <c r="A12" t="s">
        <v>9</v>
      </c>
      <c r="C12" s="5">
        <v>400</v>
      </c>
      <c r="D12" t="s">
        <v>10</v>
      </c>
      <c r="F12" t="s">
        <v>152</v>
      </c>
      <c r="J12" s="332" t="s">
        <v>67</v>
      </c>
      <c r="K12" s="352"/>
      <c r="L12" s="36"/>
      <c r="W12" s="37"/>
    </row>
    <row r="13" spans="1:23">
      <c r="B13" t="s">
        <v>7</v>
      </c>
      <c r="C13" s="3">
        <v>1500</v>
      </c>
      <c r="D13" t="s">
        <v>11</v>
      </c>
      <c r="J13" s="332" t="s">
        <v>91</v>
      </c>
      <c r="K13" s="352"/>
      <c r="L13" s="36">
        <v>-881.49</v>
      </c>
      <c r="M13">
        <v>-399</v>
      </c>
      <c r="W13" s="37"/>
    </row>
    <row r="14" spans="1:23">
      <c r="B14" t="s">
        <v>7</v>
      </c>
      <c r="C14" s="3">
        <v>49</v>
      </c>
      <c r="D14" t="s">
        <v>144</v>
      </c>
      <c r="J14" s="332" t="s">
        <v>57</v>
      </c>
      <c r="K14" s="352"/>
      <c r="L14" s="36"/>
      <c r="W14" s="37"/>
    </row>
    <row r="15" spans="1:23">
      <c r="C15" s="3">
        <v>110</v>
      </c>
      <c r="D15" t="s">
        <v>13</v>
      </c>
      <c r="J15" s="332" t="s">
        <v>58</v>
      </c>
      <c r="K15" s="352"/>
      <c r="L15" s="36"/>
      <c r="W15" s="37"/>
    </row>
    <row r="16" spans="1:23">
      <c r="C16" s="3"/>
      <c r="D16" t="s">
        <v>14</v>
      </c>
      <c r="F16" t="s">
        <v>148</v>
      </c>
      <c r="J16" s="332" t="s">
        <v>59</v>
      </c>
      <c r="K16" s="352"/>
      <c r="L16" s="36"/>
      <c r="W16" s="37"/>
    </row>
    <row r="17" spans="2:23" ht="15.75" thickBot="1">
      <c r="C17" s="5">
        <v>238</v>
      </c>
      <c r="D17" t="s">
        <v>88</v>
      </c>
      <c r="J17" s="332" t="s">
        <v>60</v>
      </c>
      <c r="K17" s="352"/>
      <c r="L17" s="38"/>
      <c r="M17" s="39"/>
      <c r="N17" s="39">
        <f>-1250-228</f>
        <v>-1478</v>
      </c>
      <c r="O17" s="39"/>
      <c r="P17" s="39"/>
      <c r="Q17" s="39"/>
      <c r="R17" s="43"/>
      <c r="S17" s="39"/>
      <c r="T17" s="39"/>
      <c r="U17" s="39"/>
      <c r="V17" s="39"/>
      <c r="W17" s="40"/>
    </row>
    <row r="18" spans="2:23">
      <c r="C18" s="5">
        <v>300</v>
      </c>
      <c r="D18" t="s">
        <v>16</v>
      </c>
      <c r="J18" s="358" t="s">
        <v>61</v>
      </c>
      <c r="K18" s="358"/>
      <c r="L18" s="4">
        <f>SUM(L4:L17)-13000</f>
        <v>-11898.609999999999</v>
      </c>
      <c r="M18" s="4">
        <f>SUM(M4:M17)</f>
        <v>1282.3300000000017</v>
      </c>
      <c r="N18" s="4">
        <f t="shared" ref="N18:W18" si="0">SUM(N4:N17)</f>
        <v>-616.87999999999829</v>
      </c>
      <c r="O18" s="4">
        <f t="shared" si="0"/>
        <v>1681.3300000000017</v>
      </c>
      <c r="P18" s="4">
        <f t="shared" si="0"/>
        <v>1681.3300000000017</v>
      </c>
      <c r="Q18" s="4">
        <f t="shared" si="0"/>
        <v>1681.3300000000017</v>
      </c>
      <c r="R18" s="4">
        <f t="shared" si="0"/>
        <v>1681.3300000000017</v>
      </c>
      <c r="S18" s="4">
        <f t="shared" si="0"/>
        <v>1681.3300000000017</v>
      </c>
      <c r="T18" s="4">
        <f t="shared" si="0"/>
        <v>1681.3300000000017</v>
      </c>
      <c r="U18" s="4">
        <f t="shared" si="0"/>
        <v>1681.3300000000017</v>
      </c>
      <c r="V18" s="4">
        <f t="shared" si="0"/>
        <v>1681.3300000000017</v>
      </c>
      <c r="W18" s="4">
        <f t="shared" si="0"/>
        <v>1681.3300000000017</v>
      </c>
    </row>
    <row r="19" spans="2:23">
      <c r="C19" s="5">
        <v>2000</v>
      </c>
      <c r="D19" t="s">
        <v>17</v>
      </c>
      <c r="F19" t="s">
        <v>137</v>
      </c>
      <c r="J19" s="357" t="s">
        <v>62</v>
      </c>
      <c r="K19" s="357"/>
      <c r="L19" s="16">
        <f>L18</f>
        <v>-11898.609999999999</v>
      </c>
      <c r="M19" s="16">
        <f>SUM(L18:M18)</f>
        <v>-10616.279999999997</v>
      </c>
      <c r="N19" s="16">
        <f>SUM(L18:N18)</f>
        <v>-11233.159999999996</v>
      </c>
      <c r="O19" s="16">
        <f>SUM(L18:O18)</f>
        <v>-9551.8299999999945</v>
      </c>
      <c r="P19" s="16">
        <f>SUM(L18:P18)</f>
        <v>-7870.4999999999927</v>
      </c>
      <c r="Q19" s="16">
        <f>SUM(L18:Q18)</f>
        <v>-6189.169999999991</v>
      </c>
      <c r="R19" s="16">
        <f>SUM(L18:R18)</f>
        <v>-4507.8399999999892</v>
      </c>
      <c r="S19" s="16">
        <f>SUM(L18:S18)</f>
        <v>-2826.5099999999875</v>
      </c>
      <c r="T19" s="16">
        <f>SUM(L18:T18)</f>
        <v>-1145.1799999999857</v>
      </c>
      <c r="U19" s="16">
        <f>SUM(L18:U18)</f>
        <v>536.15000000001601</v>
      </c>
      <c r="V19" s="16">
        <f>SUM(L18:V18)</f>
        <v>2217.4800000000178</v>
      </c>
      <c r="W19" s="16">
        <f>SUM(L18:W18)</f>
        <v>3898.8100000000195</v>
      </c>
    </row>
    <row r="20" spans="2:23">
      <c r="C20" s="5">
        <v>2928</v>
      </c>
      <c r="D20" t="s">
        <v>142</v>
      </c>
      <c r="J20" s="10"/>
      <c r="K20" s="10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2:23">
      <c r="C21" s="5">
        <v>369</v>
      </c>
      <c r="D21" t="s">
        <v>18</v>
      </c>
      <c r="L21" t="s">
        <v>145</v>
      </c>
      <c r="N21" t="s">
        <v>153</v>
      </c>
    </row>
    <row r="22" spans="2:23">
      <c r="C22" s="5">
        <v>2625</v>
      </c>
      <c r="D22" t="s">
        <v>86</v>
      </c>
      <c r="M22" t="s">
        <v>150</v>
      </c>
    </row>
    <row r="23" spans="2:23" ht="15.75" thickBot="1">
      <c r="C23" s="15">
        <v>2500</v>
      </c>
      <c r="D23" t="s">
        <v>19</v>
      </c>
      <c r="N23" t="s">
        <v>154</v>
      </c>
    </row>
    <row r="24" spans="2:23">
      <c r="B24" s="13" t="s">
        <v>20</v>
      </c>
      <c r="C24" s="14"/>
      <c r="N24" t="s">
        <v>155</v>
      </c>
    </row>
    <row r="25" spans="2:23">
      <c r="B25" s="11" t="s">
        <v>21</v>
      </c>
      <c r="C25" s="11"/>
      <c r="D25" s="1">
        <f>C3</f>
        <v>3600</v>
      </c>
      <c r="I25" s="45"/>
      <c r="N25" t="s">
        <v>156</v>
      </c>
    </row>
    <row r="26" spans="2:23">
      <c r="B26" s="8" t="s">
        <v>22</v>
      </c>
      <c r="C26" s="9"/>
      <c r="D26" s="7">
        <v>2500</v>
      </c>
    </row>
    <row r="27" spans="2:23">
      <c r="B27" s="10" t="s">
        <v>23</v>
      </c>
      <c r="C27" s="10"/>
      <c r="D27" s="2">
        <f>SUM(C5,C6,C9,C13,C14,C15,C16)</f>
        <v>5479</v>
      </c>
      <c r="H27" t="s">
        <v>136</v>
      </c>
    </row>
    <row r="28" spans="2:23">
      <c r="B28" s="12" t="s">
        <v>24</v>
      </c>
      <c r="C28" s="12"/>
      <c r="D28" s="4">
        <f>SUM(C7,C8,C10,C11,C12,C17,C18,C19,C20,C21,C22)</f>
        <v>15759</v>
      </c>
      <c r="H28" s="24" t="s">
        <v>28</v>
      </c>
      <c r="I28" s="16" t="s">
        <v>31</v>
      </c>
      <c r="J28" s="16" t="s">
        <v>32</v>
      </c>
      <c r="K28" s="16" t="s">
        <v>33</v>
      </c>
      <c r="L28" s="16" t="s">
        <v>34</v>
      </c>
      <c r="M28" s="16" t="s">
        <v>35</v>
      </c>
      <c r="N28" s="16" t="s">
        <v>36</v>
      </c>
      <c r="O28" s="16" t="s">
        <v>37</v>
      </c>
      <c r="P28" s="16" t="s">
        <v>38</v>
      </c>
      <c r="Q28" s="16" t="s">
        <v>39</v>
      </c>
      <c r="R28" s="16" t="s">
        <v>40</v>
      </c>
      <c r="S28" s="16" t="s">
        <v>29</v>
      </c>
      <c r="T28" s="16" t="s">
        <v>30</v>
      </c>
    </row>
    <row r="29" spans="2:23">
      <c r="B29" s="10" t="s">
        <v>25</v>
      </c>
      <c r="C29" s="10"/>
      <c r="D29" s="16">
        <v>2500</v>
      </c>
      <c r="H29" s="21" t="s">
        <v>41</v>
      </c>
      <c r="I29" s="23">
        <v>0</v>
      </c>
      <c r="J29" s="23">
        <v>0</v>
      </c>
      <c r="K29" s="23">
        <v>2500</v>
      </c>
      <c r="L29" s="23">
        <v>2500</v>
      </c>
      <c r="M29" s="23">
        <v>2500</v>
      </c>
      <c r="N29" s="23">
        <v>2500</v>
      </c>
      <c r="O29" s="23">
        <v>2500</v>
      </c>
      <c r="P29" s="23">
        <v>2500</v>
      </c>
      <c r="Q29" s="23">
        <v>2500</v>
      </c>
      <c r="R29" s="23">
        <v>2500</v>
      </c>
      <c r="S29" s="23">
        <v>2500</v>
      </c>
      <c r="T29" s="23">
        <v>2500</v>
      </c>
    </row>
    <row r="30" spans="2:23" ht="15.75" thickBot="1">
      <c r="C30" s="17" t="s">
        <v>26</v>
      </c>
      <c r="D30" s="17">
        <f>SUM(D25:D29)</f>
        <v>29838</v>
      </c>
      <c r="H30" s="21" t="s">
        <v>42</v>
      </c>
      <c r="I30" s="22">
        <v>-30</v>
      </c>
      <c r="J30" s="22">
        <v>-4530</v>
      </c>
      <c r="K30" s="22">
        <v>-30</v>
      </c>
      <c r="L30" s="22">
        <v>-30</v>
      </c>
      <c r="M30" s="22">
        <v>-30</v>
      </c>
      <c r="N30" s="22">
        <v>-30</v>
      </c>
      <c r="O30" s="22">
        <v>-30</v>
      </c>
      <c r="P30" s="22">
        <v>-30</v>
      </c>
      <c r="Q30" s="22">
        <v>-30</v>
      </c>
      <c r="R30" s="22">
        <v>-30</v>
      </c>
      <c r="S30" s="22">
        <v>-30</v>
      </c>
      <c r="T30" s="22">
        <v>-30</v>
      </c>
    </row>
    <row r="31" spans="2:23" ht="15.75" thickBot="1">
      <c r="C31" s="18" t="s">
        <v>27</v>
      </c>
      <c r="D31" s="19">
        <f>A3-D30</f>
        <v>1681.3300000000017</v>
      </c>
      <c r="H31" s="21" t="s">
        <v>43</v>
      </c>
      <c r="I31" s="31">
        <v>4724.13</v>
      </c>
      <c r="J31" s="20">
        <f>I31+J29+J30</f>
        <v>194.13000000000011</v>
      </c>
      <c r="K31" s="20">
        <f t="shared" ref="K31:P31" si="1">J31+K29+K30</f>
        <v>2664.13</v>
      </c>
      <c r="L31" s="20">
        <f>K31+L29+L30</f>
        <v>5134.13</v>
      </c>
      <c r="M31" s="20">
        <f>L31+M29+M30</f>
        <v>7604.13</v>
      </c>
      <c r="N31" s="20">
        <f t="shared" si="1"/>
        <v>10074.130000000001</v>
      </c>
      <c r="O31" s="20">
        <f t="shared" si="1"/>
        <v>12544.130000000001</v>
      </c>
      <c r="P31" s="20">
        <f t="shared" si="1"/>
        <v>15014.130000000001</v>
      </c>
      <c r="Q31" s="20">
        <f>P31+Q29+Q30</f>
        <v>17484.13</v>
      </c>
      <c r="R31" s="20">
        <f>Q31+R29+R30</f>
        <v>19954.13</v>
      </c>
      <c r="S31" s="20">
        <f>R31+S29+S30+92</f>
        <v>22516.13</v>
      </c>
      <c r="T31" s="20">
        <f>S31+T29+T30+5</f>
        <v>24991.13</v>
      </c>
    </row>
    <row r="32" spans="2:23">
      <c r="Q32" s="310"/>
      <c r="R32" s="310"/>
      <c r="S32" s="310"/>
    </row>
    <row r="34" spans="8:20">
      <c r="H34" s="24" t="s">
        <v>139</v>
      </c>
      <c r="I34" s="16" t="s">
        <v>31</v>
      </c>
      <c r="J34" s="16" t="s">
        <v>32</v>
      </c>
      <c r="K34" s="16" t="s">
        <v>33</v>
      </c>
      <c r="L34" s="16" t="s">
        <v>34</v>
      </c>
      <c r="M34" s="16" t="s">
        <v>35</v>
      </c>
      <c r="N34" s="16" t="s">
        <v>36</v>
      </c>
      <c r="O34" s="16" t="s">
        <v>37</v>
      </c>
      <c r="P34" s="16" t="s">
        <v>38</v>
      </c>
      <c r="Q34" s="16" t="s">
        <v>39</v>
      </c>
      <c r="R34" s="16" t="s">
        <v>40</v>
      </c>
      <c r="S34" s="16" t="s">
        <v>29</v>
      </c>
      <c r="T34" s="16" t="s">
        <v>30</v>
      </c>
    </row>
    <row r="35" spans="8:20">
      <c r="H35" s="21" t="s">
        <v>140</v>
      </c>
      <c r="I35" s="23">
        <v>3000</v>
      </c>
      <c r="J35" s="23">
        <v>0</v>
      </c>
      <c r="K35" s="23">
        <v>3240</v>
      </c>
      <c r="L35" s="23">
        <v>2000</v>
      </c>
      <c r="M35" s="23">
        <v>2000</v>
      </c>
      <c r="N35" s="23">
        <v>2000</v>
      </c>
      <c r="O35" s="23">
        <v>2000</v>
      </c>
      <c r="P35" s="23">
        <v>2000</v>
      </c>
      <c r="Q35" s="23">
        <v>2000</v>
      </c>
      <c r="R35" s="23">
        <v>2000</v>
      </c>
      <c r="S35" s="23">
        <v>2000</v>
      </c>
      <c r="T35" s="23">
        <v>2000</v>
      </c>
    </row>
    <row r="36" spans="8:20">
      <c r="H36" s="21" t="s">
        <v>42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</row>
    <row r="37" spans="8:20">
      <c r="H37" s="21" t="s">
        <v>43</v>
      </c>
      <c r="I37" s="31">
        <v>3000</v>
      </c>
      <c r="J37" s="20">
        <f t="shared" ref="J37:T37" si="2">I37+J35+J36</f>
        <v>3000</v>
      </c>
      <c r="K37" s="20">
        <f t="shared" si="2"/>
        <v>6240</v>
      </c>
      <c r="L37" s="20">
        <f t="shared" si="2"/>
        <v>8240</v>
      </c>
      <c r="M37" s="20">
        <f t="shared" si="2"/>
        <v>10240</v>
      </c>
      <c r="N37" s="20">
        <f t="shared" si="2"/>
        <v>12240</v>
      </c>
      <c r="O37" s="20">
        <f t="shared" si="2"/>
        <v>14240</v>
      </c>
      <c r="P37" s="20">
        <f t="shared" si="2"/>
        <v>16240</v>
      </c>
      <c r="Q37" s="20">
        <f t="shared" si="2"/>
        <v>18240</v>
      </c>
      <c r="R37" s="20">
        <f t="shared" si="2"/>
        <v>20240</v>
      </c>
      <c r="S37" s="20">
        <f t="shared" si="2"/>
        <v>22240</v>
      </c>
      <c r="T37" s="20">
        <f t="shared" si="2"/>
        <v>24240</v>
      </c>
    </row>
    <row r="38" spans="8:20">
      <c r="J38" t="s">
        <v>151</v>
      </c>
    </row>
    <row r="39" spans="8:20">
      <c r="K39" t="s">
        <v>157</v>
      </c>
    </row>
  </sheetData>
  <mergeCells count="21">
    <mergeCell ref="J19:K19"/>
    <mergeCell ref="Q32:S32"/>
    <mergeCell ref="J13:K13"/>
    <mergeCell ref="J14:K14"/>
    <mergeCell ref="J15:K15"/>
    <mergeCell ref="J16:K16"/>
    <mergeCell ref="J17:K17"/>
    <mergeCell ref="J18:K18"/>
    <mergeCell ref="A1:G1"/>
    <mergeCell ref="J12:K12"/>
    <mergeCell ref="A2:B2"/>
    <mergeCell ref="C2:D2"/>
    <mergeCell ref="A3:B3"/>
    <mergeCell ref="J4:K4"/>
    <mergeCell ref="J5:K5"/>
    <mergeCell ref="J6:K6"/>
    <mergeCell ref="J7:K7"/>
    <mergeCell ref="J8:K8"/>
    <mergeCell ref="J9:K9"/>
    <mergeCell ref="J10:K10"/>
    <mergeCell ref="J11:K1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5"/>
  <sheetViews>
    <sheetView workbookViewId="0">
      <selection activeCell="M5" sqref="M5:W5"/>
    </sheetView>
  </sheetViews>
  <sheetFormatPr defaultColWidth="8.85546875" defaultRowHeight="15"/>
  <cols>
    <col min="5" max="5" width="12.85546875" customWidth="1"/>
    <col min="8" max="8" width="34.5703125" bestFit="1" customWidth="1"/>
    <col min="9" max="9" width="14.5703125" bestFit="1" customWidth="1"/>
    <col min="10" max="10" width="9" bestFit="1" customWidth="1"/>
    <col min="11" max="11" width="12.7109375" customWidth="1"/>
    <col min="12" max="12" width="9" bestFit="1" customWidth="1"/>
    <col min="13" max="13" width="9.7109375" customWidth="1"/>
    <col min="19" max="19" width="9.7109375" customWidth="1"/>
    <col min="20" max="20" width="10.7109375" customWidth="1"/>
    <col min="21" max="21" width="8.85546875" customWidth="1"/>
    <col min="22" max="22" width="10.5703125" customWidth="1"/>
    <col min="23" max="23" width="10" customWidth="1"/>
  </cols>
  <sheetData>
    <row r="1" spans="1:23" ht="15.75" thickBot="1">
      <c r="A1" s="268" t="s">
        <v>0</v>
      </c>
      <c r="B1" s="268"/>
      <c r="C1" s="353" t="s">
        <v>1</v>
      </c>
      <c r="D1" s="268"/>
    </row>
    <row r="2" spans="1:23" ht="15.75" thickTop="1">
      <c r="A2" s="354">
        <v>24571.22</v>
      </c>
      <c r="B2" s="354"/>
      <c r="C2" s="6">
        <v>3300</v>
      </c>
      <c r="D2" t="s">
        <v>2</v>
      </c>
      <c r="E2" t="s">
        <v>80</v>
      </c>
      <c r="H2" s="26"/>
      <c r="I2" s="26"/>
      <c r="L2" s="30" t="s">
        <v>44</v>
      </c>
      <c r="M2" s="27" t="s">
        <v>45</v>
      </c>
      <c r="N2" s="21" t="s">
        <v>33</v>
      </c>
      <c r="O2" s="25" t="s">
        <v>110</v>
      </c>
      <c r="P2" s="25" t="s">
        <v>35</v>
      </c>
      <c r="Q2" s="25" t="s">
        <v>48</v>
      </c>
      <c r="R2" s="25" t="s">
        <v>49</v>
      </c>
      <c r="S2" s="25" t="s">
        <v>111</v>
      </c>
      <c r="T2" s="30" t="s">
        <v>112</v>
      </c>
      <c r="U2" s="25" t="s">
        <v>113</v>
      </c>
      <c r="V2" s="25" t="s">
        <v>114</v>
      </c>
      <c r="W2" s="25" t="s">
        <v>115</v>
      </c>
    </row>
    <row r="3" spans="1:23">
      <c r="C3" s="3">
        <v>0</v>
      </c>
      <c r="D3" t="s">
        <v>3</v>
      </c>
      <c r="I3" s="26"/>
      <c r="J3" s="355" t="s">
        <v>63</v>
      </c>
      <c r="K3" s="304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>
      <c r="C4" s="3"/>
      <c r="I4" s="26"/>
      <c r="J4" s="344" t="s">
        <v>51</v>
      </c>
      <c r="K4" s="356"/>
      <c r="L4" s="29">
        <f>D29</f>
        <v>3185.2200000000012</v>
      </c>
      <c r="M4" s="29">
        <f>D29</f>
        <v>3185.2200000000012</v>
      </c>
      <c r="N4" s="29">
        <f>D29</f>
        <v>3185.2200000000012</v>
      </c>
      <c r="O4" s="29">
        <f>D29</f>
        <v>3185.2200000000012</v>
      </c>
      <c r="P4" s="29">
        <f>D29</f>
        <v>3185.2200000000012</v>
      </c>
      <c r="Q4" s="29">
        <f>D29</f>
        <v>3185.2200000000012</v>
      </c>
      <c r="R4" s="29">
        <f>D29</f>
        <v>3185.2200000000012</v>
      </c>
      <c r="S4" s="29">
        <f>D29</f>
        <v>3185.2200000000012</v>
      </c>
      <c r="T4" s="29">
        <f>D29</f>
        <v>3185.2200000000012</v>
      </c>
      <c r="U4" s="29">
        <f>D29</f>
        <v>3185.2200000000012</v>
      </c>
      <c r="V4" s="29">
        <f>D29</f>
        <v>3185.2200000000012</v>
      </c>
      <c r="W4" s="29">
        <f>D29</f>
        <v>3185.2200000000012</v>
      </c>
    </row>
    <row r="5" spans="1:23" ht="15" customHeight="1" thickBot="1">
      <c r="C5" s="3">
        <v>120</v>
      </c>
      <c r="D5" t="s">
        <v>66</v>
      </c>
      <c r="I5" s="26"/>
      <c r="J5" s="332" t="s">
        <v>118</v>
      </c>
      <c r="K5" s="352"/>
      <c r="L5" s="1"/>
      <c r="M5" s="32">
        <v>3361.63</v>
      </c>
      <c r="N5" s="1">
        <f>181.5+3568</f>
        <v>3749.5</v>
      </c>
      <c r="O5" s="1">
        <v>3467.57</v>
      </c>
      <c r="P5" s="1"/>
      <c r="Q5" s="1" t="s">
        <v>125</v>
      </c>
      <c r="R5" s="1">
        <v>2382.5</v>
      </c>
      <c r="S5" s="1">
        <v>2310</v>
      </c>
      <c r="T5" s="1">
        <v>2781.66</v>
      </c>
      <c r="U5" s="1">
        <v>3433.28</v>
      </c>
      <c r="V5" s="32">
        <v>1386.84</v>
      </c>
      <c r="W5" s="1">
        <v>2608.3200000000002</v>
      </c>
    </row>
    <row r="6" spans="1:23">
      <c r="C6" s="5">
        <v>369</v>
      </c>
      <c r="D6" t="s">
        <v>4</v>
      </c>
      <c r="I6" s="11" t="s">
        <v>52</v>
      </c>
      <c r="J6" s="332" t="s">
        <v>53</v>
      </c>
      <c r="K6" s="352"/>
      <c r="L6" s="33"/>
      <c r="M6" s="34"/>
      <c r="N6" s="34">
        <v>-1650</v>
      </c>
      <c r="O6" s="34"/>
      <c r="P6" s="34">
        <v>-1650</v>
      </c>
      <c r="Q6" s="34"/>
      <c r="R6" s="34"/>
      <c r="S6" s="34"/>
      <c r="T6" s="34"/>
      <c r="U6" s="34"/>
      <c r="V6" s="34"/>
      <c r="W6" s="35"/>
    </row>
    <row r="7" spans="1:23">
      <c r="C7" s="5">
        <v>0</v>
      </c>
      <c r="D7" t="s">
        <v>5</v>
      </c>
      <c r="J7" s="332" t="s">
        <v>65</v>
      </c>
      <c r="K7" s="352"/>
      <c r="L7" s="36"/>
      <c r="W7" s="37"/>
    </row>
    <row r="8" spans="1:23">
      <c r="C8" s="3">
        <v>2000</v>
      </c>
      <c r="D8" t="s">
        <v>6</v>
      </c>
      <c r="J8" s="332" t="s">
        <v>105</v>
      </c>
      <c r="K8" s="339"/>
      <c r="L8" s="36"/>
      <c r="O8">
        <v>-680</v>
      </c>
      <c r="P8">
        <f>-400+92</f>
        <v>-308</v>
      </c>
      <c r="W8" s="37"/>
    </row>
    <row r="9" spans="1:23">
      <c r="B9" t="s">
        <v>7</v>
      </c>
      <c r="C9" s="5">
        <v>3000</v>
      </c>
      <c r="D9" t="s">
        <v>8</v>
      </c>
      <c r="J9" s="332" t="s">
        <v>54</v>
      </c>
      <c r="K9" s="352"/>
      <c r="L9" s="36"/>
      <c r="N9">
        <v>-1000</v>
      </c>
      <c r="O9">
        <v>-855</v>
      </c>
      <c r="S9">
        <v>-2450</v>
      </c>
      <c r="W9" s="37"/>
    </row>
    <row r="10" spans="1:23">
      <c r="C10" s="5">
        <v>660</v>
      </c>
      <c r="D10" t="s">
        <v>85</v>
      </c>
      <c r="J10" s="332" t="s">
        <v>95</v>
      </c>
      <c r="K10" s="352"/>
      <c r="L10" s="36"/>
      <c r="M10" s="41">
        <v>-1535.71</v>
      </c>
      <c r="N10">
        <v>-680</v>
      </c>
      <c r="R10">
        <v>-620</v>
      </c>
      <c r="S10">
        <v>-1740</v>
      </c>
      <c r="W10" s="37"/>
    </row>
    <row r="11" spans="1:23">
      <c r="A11" t="s">
        <v>9</v>
      </c>
      <c r="C11" s="5">
        <v>750</v>
      </c>
      <c r="D11" t="s">
        <v>10</v>
      </c>
      <c r="J11" s="332" t="s">
        <v>67</v>
      </c>
      <c r="K11" s="352"/>
      <c r="L11" s="36"/>
      <c r="O11">
        <v>-1108</v>
      </c>
      <c r="P11">
        <f>-1*(982.66+180)</f>
        <v>-1162.6599999999999</v>
      </c>
      <c r="W11" s="37"/>
    </row>
    <row r="12" spans="1:23">
      <c r="B12" t="s">
        <v>7</v>
      </c>
      <c r="C12" s="3">
        <v>2000</v>
      </c>
      <c r="D12" t="s">
        <v>11</v>
      </c>
      <c r="J12" s="332" t="s">
        <v>91</v>
      </c>
      <c r="K12" s="352"/>
      <c r="L12" s="36"/>
      <c r="O12">
        <f>-800-399</f>
        <v>-1199</v>
      </c>
      <c r="W12" s="37"/>
    </row>
    <row r="13" spans="1:23">
      <c r="B13" t="s">
        <v>7</v>
      </c>
      <c r="C13" s="3">
        <v>80</v>
      </c>
      <c r="D13" t="s">
        <v>12</v>
      </c>
      <c r="J13" s="332" t="s">
        <v>57</v>
      </c>
      <c r="K13" s="352"/>
      <c r="L13" s="36"/>
      <c r="M13">
        <f>-1486*2</f>
        <v>-2972</v>
      </c>
      <c r="Q13">
        <v>-1500</v>
      </c>
      <c r="R13">
        <v>-530</v>
      </c>
      <c r="T13">
        <v>-750</v>
      </c>
      <c r="U13">
        <v>-577</v>
      </c>
      <c r="V13">
        <v>-1000</v>
      </c>
      <c r="W13" s="37"/>
    </row>
    <row r="14" spans="1:23">
      <c r="C14" s="3">
        <v>110</v>
      </c>
      <c r="D14" t="s">
        <v>13</v>
      </c>
      <c r="J14" s="332" t="s">
        <v>58</v>
      </c>
      <c r="K14" s="352"/>
      <c r="L14" s="36">
        <v>-2000</v>
      </c>
      <c r="U14">
        <f>-2414.7-1379.96</f>
        <v>-3794.66</v>
      </c>
      <c r="W14" s="37">
        <v>-10000</v>
      </c>
    </row>
    <row r="15" spans="1:23">
      <c r="C15" s="3">
        <v>760</v>
      </c>
      <c r="D15" t="s">
        <v>14</v>
      </c>
      <c r="J15" s="332" t="s">
        <v>59</v>
      </c>
      <c r="K15" s="352"/>
      <c r="L15" s="36"/>
      <c r="N15">
        <v>-600</v>
      </c>
      <c r="O15">
        <v>-870</v>
      </c>
      <c r="P15">
        <v>-450</v>
      </c>
      <c r="W15" s="37"/>
    </row>
    <row r="16" spans="1:23" ht="15.75" thickBot="1">
      <c r="C16" s="5">
        <v>238</v>
      </c>
      <c r="D16" t="s">
        <v>88</v>
      </c>
      <c r="I16">
        <f>SUM(L17:W17)</f>
        <v>3110.9100000000144</v>
      </c>
      <c r="J16" s="332" t="s">
        <v>60</v>
      </c>
      <c r="K16" s="352"/>
      <c r="L16" s="38">
        <v>-10500</v>
      </c>
      <c r="M16" s="39"/>
      <c r="N16" s="39"/>
      <c r="O16" s="39">
        <v>-1610</v>
      </c>
      <c r="P16" s="39"/>
      <c r="Q16" s="39"/>
      <c r="R16" s="43">
        <v>-1070</v>
      </c>
      <c r="S16" s="39"/>
      <c r="T16" s="39">
        <v>-3841</v>
      </c>
      <c r="U16" s="39">
        <v>-770</v>
      </c>
      <c r="V16" s="39">
        <v>-1120</v>
      </c>
      <c r="W16" s="40"/>
    </row>
    <row r="17" spans="2:23">
      <c r="C17" s="5">
        <v>200</v>
      </c>
      <c r="D17" t="s">
        <v>16</v>
      </c>
      <c r="J17" s="358" t="s">
        <v>61</v>
      </c>
      <c r="K17" s="358"/>
      <c r="L17" s="4">
        <f t="shared" ref="L17:W17" si="0">SUM(L3:L16)</f>
        <v>-9314.7799999999988</v>
      </c>
      <c r="M17" s="4">
        <f t="shared" si="0"/>
        <v>2039.1400000000012</v>
      </c>
      <c r="N17" s="4">
        <f t="shared" si="0"/>
        <v>3004.7200000000012</v>
      </c>
      <c r="O17" s="4">
        <f t="shared" si="0"/>
        <v>330.79000000000087</v>
      </c>
      <c r="P17" s="4">
        <f t="shared" si="0"/>
        <v>-385.43999999999869</v>
      </c>
      <c r="Q17" s="4">
        <f t="shared" si="0"/>
        <v>1685.2200000000012</v>
      </c>
      <c r="R17" s="4">
        <f t="shared" si="0"/>
        <v>3347.7200000000012</v>
      </c>
      <c r="S17" s="4">
        <f t="shared" si="0"/>
        <v>1305.2200000000012</v>
      </c>
      <c r="T17" s="4">
        <f t="shared" si="0"/>
        <v>1375.880000000001</v>
      </c>
      <c r="U17" s="4">
        <f t="shared" si="0"/>
        <v>1476.840000000002</v>
      </c>
      <c r="V17" s="4">
        <f t="shared" si="0"/>
        <v>2452.0600000000013</v>
      </c>
      <c r="W17" s="4">
        <f t="shared" si="0"/>
        <v>-4206.4599999999991</v>
      </c>
    </row>
    <row r="18" spans="2:23">
      <c r="C18" s="5">
        <v>0</v>
      </c>
      <c r="D18" t="s">
        <v>17</v>
      </c>
      <c r="J18" s="357" t="s">
        <v>62</v>
      </c>
      <c r="K18" s="357"/>
      <c r="L18" s="16">
        <f>L17</f>
        <v>-9314.7799999999988</v>
      </c>
      <c r="M18" s="16">
        <f>SUM(L17:M17)</f>
        <v>-7275.6399999999976</v>
      </c>
      <c r="N18" s="16">
        <f>SUM(L17:N17)</f>
        <v>-4270.9199999999964</v>
      </c>
      <c r="O18" s="16">
        <f>SUM(L17:O17)</f>
        <v>-3940.1299999999956</v>
      </c>
      <c r="P18" s="16">
        <f>SUM(L17:P17)</f>
        <v>-4325.5699999999943</v>
      </c>
      <c r="Q18" s="16">
        <f>SUM(L17:Q17)</f>
        <v>-2640.3499999999931</v>
      </c>
      <c r="R18" s="16">
        <f>SUM(L17:R17)</f>
        <v>707.37000000000808</v>
      </c>
      <c r="S18" s="16">
        <f>SUM(L17:S17)</f>
        <v>2012.5900000000092</v>
      </c>
      <c r="T18" s="16">
        <f>SUM(L17:T17)</f>
        <v>3388.4700000000103</v>
      </c>
      <c r="U18" s="16">
        <f>SUM(L17:U17)</f>
        <v>4865.3100000000122</v>
      </c>
      <c r="V18" s="16">
        <f>SUM(L17:V17)</f>
        <v>7317.3700000000135</v>
      </c>
      <c r="W18" s="16">
        <f>SUM(L17:W17)</f>
        <v>3110.9100000000144</v>
      </c>
    </row>
    <row r="19" spans="2:23">
      <c r="C19" s="5">
        <v>369</v>
      </c>
      <c r="D19" t="s">
        <v>18</v>
      </c>
      <c r="L19" t="s">
        <v>89</v>
      </c>
      <c r="O19" t="s">
        <v>98</v>
      </c>
      <c r="U19" t="s">
        <v>127</v>
      </c>
    </row>
    <row r="20" spans="2:23">
      <c r="C20" s="5">
        <v>2500</v>
      </c>
      <c r="D20" t="s">
        <v>86</v>
      </c>
      <c r="M20" t="s">
        <v>90</v>
      </c>
      <c r="O20" t="s">
        <v>102</v>
      </c>
      <c r="R20" t="s">
        <v>119</v>
      </c>
      <c r="T20" t="s">
        <v>124</v>
      </c>
      <c r="V20" t="s">
        <v>131</v>
      </c>
    </row>
    <row r="21" spans="2:23" ht="15.75" thickBot="1">
      <c r="C21" s="15">
        <v>2500</v>
      </c>
      <c r="D21" t="s">
        <v>19</v>
      </c>
      <c r="M21" t="s">
        <v>92</v>
      </c>
      <c r="O21" t="s">
        <v>103</v>
      </c>
      <c r="P21" t="s">
        <v>109</v>
      </c>
      <c r="R21" t="s">
        <v>120</v>
      </c>
      <c r="V21" t="s">
        <v>130</v>
      </c>
    </row>
    <row r="22" spans="2:23">
      <c r="B22" s="13" t="s">
        <v>20</v>
      </c>
      <c r="C22" s="14"/>
      <c r="L22" t="s">
        <v>93</v>
      </c>
      <c r="N22" t="s">
        <v>96</v>
      </c>
      <c r="P22" t="s">
        <v>116</v>
      </c>
      <c r="S22" t="s">
        <v>121</v>
      </c>
      <c r="U22" t="s">
        <v>128</v>
      </c>
    </row>
    <row r="23" spans="2:23">
      <c r="B23" s="11" t="s">
        <v>21</v>
      </c>
      <c r="C23" s="11"/>
      <c r="D23" s="1">
        <f>C2</f>
        <v>3300</v>
      </c>
      <c r="N23" t="s">
        <v>94</v>
      </c>
      <c r="O23" t="s">
        <v>106</v>
      </c>
      <c r="P23" t="s">
        <v>107</v>
      </c>
      <c r="S23" t="s">
        <v>122</v>
      </c>
    </row>
    <row r="24" spans="2:23">
      <c r="B24" s="8" t="s">
        <v>22</v>
      </c>
      <c r="C24" s="9"/>
      <c r="D24" s="7">
        <f>C21</f>
        <v>2500</v>
      </c>
      <c r="E24">
        <v>860555111</v>
      </c>
      <c r="O24" t="s">
        <v>97</v>
      </c>
      <c r="Q24" t="s">
        <v>117</v>
      </c>
      <c r="T24" t="s">
        <v>123</v>
      </c>
      <c r="U24" t="s">
        <v>129</v>
      </c>
      <c r="W24" t="s">
        <v>146</v>
      </c>
    </row>
    <row r="25" spans="2:23">
      <c r="B25" s="10" t="s">
        <v>23</v>
      </c>
      <c r="C25" s="10"/>
      <c r="D25" s="2">
        <v>5000</v>
      </c>
      <c r="H25" t="s">
        <v>136</v>
      </c>
      <c r="O25" t="s">
        <v>99</v>
      </c>
    </row>
    <row r="26" spans="2:23">
      <c r="B26" s="12" t="s">
        <v>24</v>
      </c>
      <c r="C26" s="12"/>
      <c r="D26" s="4">
        <f>SUM(C6,C7,C9,C10,C11,C16,C17,C18,C19,C20)</f>
        <v>8086</v>
      </c>
      <c r="H26" s="24" t="s">
        <v>28</v>
      </c>
      <c r="I26" s="16" t="s">
        <v>31</v>
      </c>
      <c r="J26" s="16" t="s">
        <v>32</v>
      </c>
      <c r="K26" s="16" t="s">
        <v>33</v>
      </c>
      <c r="L26" s="16" t="s">
        <v>34</v>
      </c>
      <c r="M26" s="16" t="s">
        <v>35</v>
      </c>
      <c r="N26" s="16" t="s">
        <v>36</v>
      </c>
      <c r="O26" s="16" t="s">
        <v>37</v>
      </c>
      <c r="P26" s="16" t="s">
        <v>38</v>
      </c>
      <c r="Q26" s="16" t="s">
        <v>39</v>
      </c>
      <c r="R26" s="16" t="s">
        <v>40</v>
      </c>
      <c r="S26" s="16" t="s">
        <v>29</v>
      </c>
      <c r="T26" s="16" t="s">
        <v>30</v>
      </c>
    </row>
    <row r="27" spans="2:23">
      <c r="B27" s="10" t="s">
        <v>25</v>
      </c>
      <c r="C27" s="10"/>
      <c r="D27" s="16">
        <v>2500</v>
      </c>
      <c r="H27" s="21" t="s">
        <v>41</v>
      </c>
      <c r="I27" s="23">
        <v>2500</v>
      </c>
      <c r="J27" s="23">
        <v>2500</v>
      </c>
      <c r="K27" s="23">
        <v>2600</v>
      </c>
      <c r="L27" s="23">
        <v>0</v>
      </c>
      <c r="M27" s="23">
        <v>2500</v>
      </c>
      <c r="N27" s="23">
        <v>2300.1999999999998</v>
      </c>
      <c r="O27" s="23">
        <v>0</v>
      </c>
      <c r="P27" s="23">
        <v>0</v>
      </c>
      <c r="Q27" s="23">
        <v>0</v>
      </c>
      <c r="R27" s="23">
        <v>0</v>
      </c>
      <c r="S27" s="23">
        <v>2500</v>
      </c>
      <c r="T27" s="23">
        <v>0</v>
      </c>
    </row>
    <row r="28" spans="2:23" ht="15.75" thickBot="1">
      <c r="C28" s="17" t="s">
        <v>26</v>
      </c>
      <c r="D28" s="17">
        <f>SUM(D23:D27)</f>
        <v>21386</v>
      </c>
      <c r="H28" s="21" t="s">
        <v>42</v>
      </c>
      <c r="I28" s="22">
        <v>-30</v>
      </c>
      <c r="J28" s="22">
        <v>-30</v>
      </c>
      <c r="K28" s="22">
        <v>-30</v>
      </c>
      <c r="L28" s="22">
        <f>(1650+5000+660)*-1</f>
        <v>-7310</v>
      </c>
      <c r="M28" s="22">
        <v>-34.08</v>
      </c>
      <c r="N28" s="22">
        <v>-30</v>
      </c>
      <c r="O28" s="22">
        <v>-30</v>
      </c>
      <c r="P28" s="22">
        <v>-30</v>
      </c>
      <c r="Q28" s="22">
        <v>-5032</v>
      </c>
      <c r="R28" s="22">
        <v>-30</v>
      </c>
      <c r="S28" s="44">
        <v>-7375</v>
      </c>
      <c r="T28" s="22">
        <f>-5375</f>
        <v>-5375</v>
      </c>
    </row>
    <row r="29" spans="2:23" ht="15.75" thickBot="1">
      <c r="C29" s="18" t="s">
        <v>27</v>
      </c>
      <c r="D29" s="19">
        <f>A2-D28</f>
        <v>3185.2200000000012</v>
      </c>
      <c r="H29" s="21" t="s">
        <v>43</v>
      </c>
      <c r="I29" s="31">
        <v>17533.88</v>
      </c>
      <c r="J29" s="20">
        <f>I29+J27+J28</f>
        <v>20003.88</v>
      </c>
      <c r="K29" s="20">
        <f t="shared" ref="K29:P29" si="1">J29+K27+K28</f>
        <v>22573.88</v>
      </c>
      <c r="L29" s="20">
        <f>K29+L27+L28</f>
        <v>15263.880000000001</v>
      </c>
      <c r="M29" s="20">
        <f>L29+M27+M28</f>
        <v>17729.8</v>
      </c>
      <c r="N29" s="20">
        <f t="shared" si="1"/>
        <v>20000</v>
      </c>
      <c r="O29" s="20">
        <f t="shared" si="1"/>
        <v>19970</v>
      </c>
      <c r="P29" s="20">
        <f t="shared" si="1"/>
        <v>19940</v>
      </c>
      <c r="Q29" s="20">
        <f>P29+Q27+Q28</f>
        <v>14908</v>
      </c>
      <c r="R29" s="20">
        <f>Q29+R27+R28</f>
        <v>14878</v>
      </c>
      <c r="S29" s="20">
        <f>R29+S27+S28+92</f>
        <v>10095</v>
      </c>
      <c r="T29" s="20">
        <f>S29+T27+T28+5</f>
        <v>4725</v>
      </c>
    </row>
    <row r="30" spans="2:23">
      <c r="Q30" s="310"/>
      <c r="R30" s="310"/>
      <c r="S30" s="310"/>
    </row>
    <row r="31" spans="2:23">
      <c r="L31" t="s">
        <v>100</v>
      </c>
      <c r="Q31" t="s">
        <v>126</v>
      </c>
    </row>
    <row r="32" spans="2:23">
      <c r="L32" t="s">
        <v>101</v>
      </c>
      <c r="Q32" t="s">
        <v>132</v>
      </c>
    </row>
    <row r="33" spans="12:19">
      <c r="L33" t="s">
        <v>104</v>
      </c>
      <c r="S33" t="s">
        <v>133</v>
      </c>
    </row>
    <row r="34" spans="12:19">
      <c r="S34" s="44" t="s">
        <v>134</v>
      </c>
    </row>
    <row r="35" spans="12:19">
      <c r="S35" s="44" t="s">
        <v>135</v>
      </c>
    </row>
  </sheetData>
  <mergeCells count="20">
    <mergeCell ref="Q30:S30"/>
    <mergeCell ref="J13:K13"/>
    <mergeCell ref="J14:K14"/>
    <mergeCell ref="J15:K15"/>
    <mergeCell ref="J16:K16"/>
    <mergeCell ref="J17:K17"/>
    <mergeCell ref="J18:K18"/>
    <mergeCell ref="J12:K12"/>
    <mergeCell ref="A1:B1"/>
    <mergeCell ref="C1:D1"/>
    <mergeCell ref="A2:B2"/>
    <mergeCell ref="J3:K3"/>
    <mergeCell ref="J4:K4"/>
    <mergeCell ref="J5:K5"/>
    <mergeCell ref="J6:K6"/>
    <mergeCell ref="J7:K7"/>
    <mergeCell ref="J9:K9"/>
    <mergeCell ref="J10:K10"/>
    <mergeCell ref="J11:K11"/>
    <mergeCell ref="J8:K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9"/>
  <sheetViews>
    <sheetView workbookViewId="0">
      <selection activeCell="A2" sqref="A2:B2"/>
    </sheetView>
  </sheetViews>
  <sheetFormatPr defaultRowHeight="15"/>
  <cols>
    <col min="5" max="5" width="12.85546875" customWidth="1"/>
    <col min="8" max="8" width="34.5703125" bestFit="1" customWidth="1"/>
    <col min="9" max="9" width="14.5703125" bestFit="1" customWidth="1"/>
    <col min="10" max="11" width="9" bestFit="1" customWidth="1"/>
    <col min="12" max="12" width="13.7109375" bestFit="1" customWidth="1"/>
  </cols>
  <sheetData>
    <row r="1" spans="1:23" ht="15.75" thickBot="1">
      <c r="A1" s="268" t="s">
        <v>0</v>
      </c>
      <c r="B1" s="268"/>
      <c r="C1" s="353" t="s">
        <v>1</v>
      </c>
      <c r="D1" s="268"/>
    </row>
    <row r="2" spans="1:23" ht="15.75" thickTop="1">
      <c r="A2" s="354">
        <v>22802.21</v>
      </c>
      <c r="B2" s="354"/>
      <c r="C2" s="6">
        <v>3000</v>
      </c>
      <c r="D2" t="s">
        <v>2</v>
      </c>
      <c r="E2" t="s">
        <v>80</v>
      </c>
      <c r="H2" s="26"/>
      <c r="I2" s="26"/>
      <c r="L2" s="30" t="s">
        <v>44</v>
      </c>
      <c r="M2" s="27" t="s">
        <v>45</v>
      </c>
      <c r="N2" s="21" t="s">
        <v>33</v>
      </c>
      <c r="O2" s="25" t="s">
        <v>46</v>
      </c>
      <c r="P2" s="25" t="s">
        <v>47</v>
      </c>
      <c r="Q2" s="25" t="s">
        <v>48</v>
      </c>
      <c r="R2" s="25" t="s">
        <v>49</v>
      </c>
      <c r="S2" s="25" t="s">
        <v>38</v>
      </c>
      <c r="T2" s="30" t="s">
        <v>39</v>
      </c>
      <c r="U2" s="25" t="s">
        <v>50</v>
      </c>
      <c r="V2" s="25" t="s">
        <v>29</v>
      </c>
      <c r="W2" s="25" t="s">
        <v>30</v>
      </c>
    </row>
    <row r="3" spans="1:23">
      <c r="C3" s="3">
        <v>0</v>
      </c>
      <c r="D3" t="s">
        <v>3</v>
      </c>
      <c r="I3" s="26"/>
      <c r="J3" s="355" t="s">
        <v>63</v>
      </c>
      <c r="K3" s="304"/>
      <c r="L3" s="28"/>
      <c r="M3" s="28">
        <v>521.47</v>
      </c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>
      <c r="C4" s="3"/>
      <c r="I4" s="26"/>
      <c r="J4" s="344" t="s">
        <v>51</v>
      </c>
      <c r="K4" s="356"/>
      <c r="L4" s="29">
        <f>D27</f>
        <v>18477</v>
      </c>
      <c r="M4" s="29">
        <f>D27</f>
        <v>18477</v>
      </c>
      <c r="N4" s="29">
        <f>D27</f>
        <v>18477</v>
      </c>
      <c r="O4" s="29">
        <f>D27</f>
        <v>18477</v>
      </c>
      <c r="P4" s="29">
        <f>D27</f>
        <v>18477</v>
      </c>
      <c r="Q4" s="29">
        <f>D27</f>
        <v>18477</v>
      </c>
      <c r="R4" s="29">
        <f>D27</f>
        <v>18477</v>
      </c>
      <c r="S4" s="29">
        <f>D27</f>
        <v>18477</v>
      </c>
      <c r="T4" s="29">
        <f>D27</f>
        <v>18477</v>
      </c>
      <c r="U4" s="29">
        <f>D27</f>
        <v>18477</v>
      </c>
      <c r="V4" s="29">
        <f>D27</f>
        <v>18477</v>
      </c>
      <c r="W4" s="29">
        <f>D27</f>
        <v>18477</v>
      </c>
    </row>
    <row r="5" spans="1:23" ht="15" customHeight="1" thickBot="1">
      <c r="C5" s="3">
        <v>120</v>
      </c>
      <c r="D5" t="s">
        <v>66</v>
      </c>
      <c r="I5" s="26"/>
      <c r="J5" s="332" t="s">
        <v>64</v>
      </c>
      <c r="K5" s="352"/>
      <c r="L5" s="1">
        <v>-1480.88</v>
      </c>
      <c r="M5" s="32"/>
      <c r="N5" s="1"/>
      <c r="O5" s="1"/>
      <c r="P5" s="1">
        <v>-899</v>
      </c>
      <c r="Q5" s="1"/>
      <c r="R5" s="1"/>
      <c r="S5" s="1">
        <v>-3424.86</v>
      </c>
      <c r="T5" s="1"/>
      <c r="U5" s="1">
        <f>-1240.8-1417.94-726</f>
        <v>-3384.74</v>
      </c>
      <c r="V5" s="32">
        <v>-1135.2</v>
      </c>
      <c r="W5" s="1"/>
    </row>
    <row r="6" spans="1:23">
      <c r="C6" s="5">
        <v>329</v>
      </c>
      <c r="D6" t="s">
        <v>4</v>
      </c>
      <c r="I6" s="11" t="s">
        <v>52</v>
      </c>
      <c r="J6" s="332" t="s">
        <v>53</v>
      </c>
      <c r="K6" s="352"/>
      <c r="L6" s="33"/>
      <c r="M6" s="34"/>
      <c r="N6" s="34"/>
      <c r="O6" s="34">
        <v>3000</v>
      </c>
      <c r="P6" s="34">
        <v>3000</v>
      </c>
      <c r="Q6" s="34">
        <v>3000</v>
      </c>
      <c r="R6" s="34">
        <v>3000</v>
      </c>
      <c r="S6" s="34">
        <v>3000</v>
      </c>
      <c r="T6" s="34"/>
      <c r="U6" s="34"/>
      <c r="V6" s="34"/>
      <c r="W6" s="35"/>
    </row>
    <row r="7" spans="1:23">
      <c r="C7" s="5">
        <v>0</v>
      </c>
      <c r="D7" t="s">
        <v>5</v>
      </c>
      <c r="J7" s="332" t="s">
        <v>65</v>
      </c>
      <c r="K7" s="352"/>
      <c r="L7" s="36"/>
      <c r="V7">
        <v>623.71</v>
      </c>
      <c r="W7" s="37"/>
    </row>
    <row r="8" spans="1:23">
      <c r="C8" s="3">
        <v>2000</v>
      </c>
      <c r="D8" t="s">
        <v>6</v>
      </c>
      <c r="J8" s="332" t="s">
        <v>54</v>
      </c>
      <c r="K8" s="352"/>
      <c r="L8" s="36">
        <v>1053.8499999999999</v>
      </c>
      <c r="U8">
        <v>200</v>
      </c>
      <c r="W8" s="37"/>
    </row>
    <row r="9" spans="1:23">
      <c r="B9" t="s">
        <v>7</v>
      </c>
      <c r="C9" s="5">
        <v>3000</v>
      </c>
      <c r="D9" t="s">
        <v>8</v>
      </c>
      <c r="J9" s="332" t="s">
        <v>55</v>
      </c>
      <c r="K9" s="352"/>
      <c r="L9" s="36"/>
      <c r="W9" s="37"/>
    </row>
    <row r="10" spans="1:23">
      <c r="C10" s="5">
        <v>660</v>
      </c>
      <c r="D10" t="s">
        <v>85</v>
      </c>
      <c r="J10" s="332" t="s">
        <v>67</v>
      </c>
      <c r="K10" s="352"/>
      <c r="L10" s="36">
        <v>750</v>
      </c>
      <c r="V10">
        <v>510</v>
      </c>
      <c r="W10" s="37"/>
    </row>
    <row r="11" spans="1:23">
      <c r="A11" t="s">
        <v>9</v>
      </c>
      <c r="C11" s="5">
        <v>750</v>
      </c>
      <c r="D11" t="s">
        <v>10</v>
      </c>
      <c r="J11" s="332" t="s">
        <v>56</v>
      </c>
      <c r="K11" s="352"/>
      <c r="L11" s="36"/>
      <c r="W11" s="37"/>
    </row>
    <row r="12" spans="1:23">
      <c r="B12" t="s">
        <v>7</v>
      </c>
      <c r="C12" s="3">
        <v>2000</v>
      </c>
      <c r="D12" t="s">
        <v>11</v>
      </c>
      <c r="J12" s="332" t="s">
        <v>57</v>
      </c>
      <c r="K12" s="352"/>
      <c r="L12" s="36"/>
      <c r="M12">
        <v>1460</v>
      </c>
      <c r="W12" s="37"/>
    </row>
    <row r="13" spans="1:23">
      <c r="B13" t="s">
        <v>7</v>
      </c>
      <c r="C13" s="3">
        <v>80</v>
      </c>
      <c r="D13" t="s">
        <v>12</v>
      </c>
      <c r="J13" s="332" t="s">
        <v>58</v>
      </c>
      <c r="K13" s="352"/>
      <c r="L13" s="36"/>
      <c r="W13" s="37"/>
    </row>
    <row r="14" spans="1:23">
      <c r="C14" s="3">
        <v>110</v>
      </c>
      <c r="D14" t="s">
        <v>13</v>
      </c>
      <c r="J14" s="332" t="s">
        <v>59</v>
      </c>
      <c r="K14" s="352"/>
      <c r="L14" s="36"/>
      <c r="V14">
        <v>5565</v>
      </c>
      <c r="W14" s="37"/>
    </row>
    <row r="15" spans="1:23" ht="15.75" thickBot="1">
      <c r="C15" s="3">
        <v>760</v>
      </c>
      <c r="D15" t="s">
        <v>14</v>
      </c>
      <c r="J15" s="332" t="s">
        <v>60</v>
      </c>
      <c r="K15" s="352"/>
      <c r="L15" s="38">
        <v>1620</v>
      </c>
      <c r="M15" s="39"/>
      <c r="N15" s="39"/>
      <c r="O15" s="39"/>
      <c r="P15" s="39"/>
      <c r="Q15" s="39"/>
      <c r="R15" s="39"/>
      <c r="S15" s="39"/>
      <c r="T15" s="39"/>
      <c r="U15">
        <v>2610</v>
      </c>
      <c r="V15" s="39"/>
      <c r="W15" s="40">
        <v>1740</v>
      </c>
    </row>
    <row r="16" spans="1:23">
      <c r="C16" s="5">
        <v>238</v>
      </c>
      <c r="D16" t="s">
        <v>15</v>
      </c>
      <c r="J16" s="358" t="s">
        <v>61</v>
      </c>
      <c r="K16" s="358"/>
      <c r="L16" s="4">
        <f t="shared" ref="L16:W16" si="0">SUM(L3:L15)</f>
        <v>20419.969999999998</v>
      </c>
      <c r="M16" s="4">
        <f t="shared" si="0"/>
        <v>20458.47</v>
      </c>
      <c r="N16" s="4">
        <f t="shared" si="0"/>
        <v>18477</v>
      </c>
      <c r="O16" s="4">
        <f t="shared" si="0"/>
        <v>21477</v>
      </c>
      <c r="P16" s="4">
        <f>SUM(P3:P15)</f>
        <v>20578</v>
      </c>
      <c r="Q16" s="4">
        <f t="shared" si="0"/>
        <v>21477</v>
      </c>
      <c r="R16" s="4">
        <f t="shared" si="0"/>
        <v>21477</v>
      </c>
      <c r="S16" s="4">
        <f t="shared" si="0"/>
        <v>18052.14</v>
      </c>
      <c r="T16" s="4">
        <f t="shared" si="0"/>
        <v>18477</v>
      </c>
      <c r="U16" s="4">
        <f>SUM(U3:U15)</f>
        <v>17902.260000000002</v>
      </c>
      <c r="V16" s="4">
        <f t="shared" si="0"/>
        <v>24040.51</v>
      </c>
      <c r="W16" s="4">
        <f t="shared" si="0"/>
        <v>20217</v>
      </c>
    </row>
    <row r="17" spans="2:23">
      <c r="C17" s="5">
        <v>200</v>
      </c>
      <c r="D17" t="s">
        <v>16</v>
      </c>
      <c r="J17" s="357" t="s">
        <v>62</v>
      </c>
      <c r="K17" s="357"/>
      <c r="L17" s="16">
        <f>A2-L16</f>
        <v>2382.2400000000016</v>
      </c>
      <c r="M17" s="16">
        <f>A2-M16</f>
        <v>2343.739999999998</v>
      </c>
      <c r="N17" s="16">
        <f>A2-N16</f>
        <v>4325.2099999999991</v>
      </c>
      <c r="O17" s="16">
        <f>A2-O16</f>
        <v>1325.2099999999991</v>
      </c>
      <c r="P17" s="16">
        <f>A2-P16</f>
        <v>2224.2099999999991</v>
      </c>
      <c r="Q17" s="16">
        <f>A2-Q16</f>
        <v>1325.2099999999991</v>
      </c>
      <c r="R17" s="16">
        <f>A2-R16</f>
        <v>1325.2099999999991</v>
      </c>
      <c r="S17" s="16">
        <f>A2-S16</f>
        <v>4750.07</v>
      </c>
      <c r="T17" s="16">
        <f>A2-T16</f>
        <v>4325.2099999999991</v>
      </c>
      <c r="U17" s="16">
        <f>A2-U16</f>
        <v>4899.9499999999971</v>
      </c>
      <c r="V17" s="16">
        <f>A2-V16</f>
        <v>-1238.2999999999993</v>
      </c>
      <c r="W17" s="16">
        <f>A2-W16</f>
        <v>2585.2099999999991</v>
      </c>
    </row>
    <row r="18" spans="2:23">
      <c r="C18" s="5">
        <v>0</v>
      </c>
      <c r="D18" t="s">
        <v>17</v>
      </c>
      <c r="L18" t="s">
        <v>68</v>
      </c>
      <c r="M18" t="s">
        <v>71</v>
      </c>
      <c r="S18" t="s">
        <v>79</v>
      </c>
      <c r="V18" t="s">
        <v>81</v>
      </c>
    </row>
    <row r="19" spans="2:23">
      <c r="C19" s="5">
        <v>300</v>
      </c>
      <c r="D19" t="s">
        <v>18</v>
      </c>
      <c r="L19" t="s">
        <v>69</v>
      </c>
      <c r="O19" t="s">
        <v>73</v>
      </c>
      <c r="P19" t="s">
        <v>74</v>
      </c>
      <c r="Q19" t="s">
        <v>74</v>
      </c>
      <c r="R19" t="s">
        <v>74</v>
      </c>
      <c r="S19" t="s">
        <v>74</v>
      </c>
      <c r="U19" t="s">
        <v>78</v>
      </c>
      <c r="W19" t="s">
        <v>68</v>
      </c>
    </row>
    <row r="20" spans="2:23" ht="15.75" thickBot="1">
      <c r="C20" s="15">
        <v>2500</v>
      </c>
      <c r="D20" t="s">
        <v>19</v>
      </c>
      <c r="L20" t="s">
        <v>70</v>
      </c>
      <c r="U20" t="s">
        <v>76</v>
      </c>
    </row>
    <row r="21" spans="2:23">
      <c r="B21" s="13" t="s">
        <v>20</v>
      </c>
      <c r="C21" s="14"/>
      <c r="M21" t="s">
        <v>72</v>
      </c>
      <c r="U21" t="s">
        <v>77</v>
      </c>
      <c r="V21" t="s">
        <v>82</v>
      </c>
    </row>
    <row r="22" spans="2:23">
      <c r="B22" s="11" t="s">
        <v>21</v>
      </c>
      <c r="C22" s="11"/>
      <c r="D22" s="1">
        <f>C2</f>
        <v>3000</v>
      </c>
      <c r="V22" t="s">
        <v>83</v>
      </c>
    </row>
    <row r="23" spans="2:23">
      <c r="B23" s="8" t="s">
        <v>22</v>
      </c>
      <c r="C23" s="9"/>
      <c r="D23" s="7">
        <f>C20</f>
        <v>2500</v>
      </c>
      <c r="V23" t="s">
        <v>84</v>
      </c>
    </row>
    <row r="24" spans="2:23">
      <c r="B24" s="10" t="s">
        <v>23</v>
      </c>
      <c r="C24" s="10"/>
      <c r="D24" s="2">
        <v>5000</v>
      </c>
      <c r="H24" s="24" t="s">
        <v>28</v>
      </c>
      <c r="I24" s="16" t="s">
        <v>31</v>
      </c>
      <c r="J24" s="16" t="s">
        <v>32</v>
      </c>
      <c r="K24" s="16" t="s">
        <v>33</v>
      </c>
      <c r="L24" s="16" t="s">
        <v>34</v>
      </c>
      <c r="M24" s="16" t="s">
        <v>35</v>
      </c>
      <c r="N24" s="16" t="s">
        <v>36</v>
      </c>
      <c r="O24" s="16" t="s">
        <v>37</v>
      </c>
      <c r="P24" s="16" t="s">
        <v>38</v>
      </c>
      <c r="Q24" s="16" t="s">
        <v>39</v>
      </c>
      <c r="R24" s="16" t="s">
        <v>40</v>
      </c>
      <c r="S24" s="16" t="s">
        <v>29</v>
      </c>
      <c r="T24" s="16" t="s">
        <v>30</v>
      </c>
    </row>
    <row r="25" spans="2:23">
      <c r="B25" s="12" t="s">
        <v>24</v>
      </c>
      <c r="C25" s="12"/>
      <c r="D25" s="4">
        <f>SUM(C6,C7,C9,C10,C11,C16,C17,C18,C19)</f>
        <v>5477</v>
      </c>
      <c r="H25" s="21" t="s">
        <v>41</v>
      </c>
      <c r="I25" s="23">
        <v>2500</v>
      </c>
      <c r="J25" s="23">
        <v>5000</v>
      </c>
      <c r="K25" s="23">
        <v>2500</v>
      </c>
      <c r="L25" s="23">
        <v>5000</v>
      </c>
      <c r="M25" s="23">
        <v>3100</v>
      </c>
      <c r="N25" s="23">
        <v>2500</v>
      </c>
      <c r="O25" s="23">
        <v>5000</v>
      </c>
      <c r="P25" s="23">
        <v>5000</v>
      </c>
      <c r="Q25" s="23">
        <v>6047</v>
      </c>
      <c r="R25" s="23">
        <v>2500</v>
      </c>
      <c r="S25" s="23">
        <v>2500</v>
      </c>
      <c r="T25" s="23">
        <v>0</v>
      </c>
    </row>
    <row r="26" spans="2:23">
      <c r="B26" s="10" t="s">
        <v>25</v>
      </c>
      <c r="C26" s="10"/>
      <c r="D26" s="16">
        <v>2500</v>
      </c>
      <c r="H26" s="21" t="s">
        <v>42</v>
      </c>
      <c r="I26" s="22">
        <v>-30</v>
      </c>
      <c r="J26" s="22">
        <v>-30</v>
      </c>
      <c r="K26" s="22">
        <v>-30</v>
      </c>
      <c r="L26" s="22">
        <v>-30</v>
      </c>
      <c r="M26" s="22">
        <v>-30</v>
      </c>
      <c r="N26" s="22">
        <v>50</v>
      </c>
      <c r="O26" s="22">
        <v>-10030</v>
      </c>
      <c r="P26" s="22">
        <v>-30</v>
      </c>
      <c r="Q26" s="22">
        <v>-32</v>
      </c>
      <c r="R26" s="22">
        <v>-30</v>
      </c>
      <c r="S26" s="22">
        <v>-30</v>
      </c>
      <c r="T26" s="22">
        <v>-30</v>
      </c>
    </row>
    <row r="27" spans="2:23" ht="15.75" thickBot="1">
      <c r="C27" s="17" t="s">
        <v>26</v>
      </c>
      <c r="D27" s="17">
        <f>SUM(D22:D26)</f>
        <v>18477</v>
      </c>
      <c r="H27" s="21" t="s">
        <v>43</v>
      </c>
      <c r="I27" s="31">
        <v>16072.31</v>
      </c>
      <c r="J27" s="20">
        <f>I27+J25+J26</f>
        <v>21042.309999999998</v>
      </c>
      <c r="K27" s="20">
        <f t="shared" ref="K27:S27" si="1">J27+K25+K26</f>
        <v>23512.309999999998</v>
      </c>
      <c r="L27" s="20">
        <f t="shared" si="1"/>
        <v>28482.309999999998</v>
      </c>
      <c r="M27" s="20">
        <f t="shared" si="1"/>
        <v>31552.309999999998</v>
      </c>
      <c r="N27" s="20">
        <f t="shared" si="1"/>
        <v>34102.31</v>
      </c>
      <c r="O27" s="20">
        <f t="shared" si="1"/>
        <v>29072.309999999998</v>
      </c>
      <c r="P27" s="20">
        <f t="shared" si="1"/>
        <v>34042.31</v>
      </c>
      <c r="Q27" s="20">
        <f>P27+Q25+Q26</f>
        <v>40057.31</v>
      </c>
      <c r="R27" s="20">
        <f>Q27+R25+R26</f>
        <v>42527.31</v>
      </c>
      <c r="S27" s="20">
        <f t="shared" si="1"/>
        <v>44997.31</v>
      </c>
      <c r="T27" s="20">
        <f>S27+T25+T26 - 15000</f>
        <v>29967.309999999998</v>
      </c>
    </row>
    <row r="28" spans="2:23" ht="15.75" thickBot="1">
      <c r="C28" s="18" t="s">
        <v>27</v>
      </c>
      <c r="D28" s="19">
        <f>A2-D27</f>
        <v>4325.2099999999991</v>
      </c>
      <c r="O28">
        <v>-10000</v>
      </c>
      <c r="Q28" s="310"/>
      <c r="R28" s="310"/>
      <c r="S28" s="310"/>
      <c r="T28">
        <v>-15000</v>
      </c>
    </row>
    <row r="29" spans="2:23">
      <c r="O29" t="s">
        <v>75</v>
      </c>
      <c r="T29" t="s">
        <v>87</v>
      </c>
    </row>
  </sheetData>
  <mergeCells count="19">
    <mergeCell ref="A1:B1"/>
    <mergeCell ref="C1:D1"/>
    <mergeCell ref="A2:B2"/>
    <mergeCell ref="J9:K9"/>
    <mergeCell ref="J4:K4"/>
    <mergeCell ref="J3:K3"/>
    <mergeCell ref="J6:K6"/>
    <mergeCell ref="J7:K7"/>
    <mergeCell ref="J8:K8"/>
    <mergeCell ref="J5:K5"/>
    <mergeCell ref="J14:K14"/>
    <mergeCell ref="J10:K10"/>
    <mergeCell ref="Q28:S28"/>
    <mergeCell ref="J17:K17"/>
    <mergeCell ref="J16:K16"/>
    <mergeCell ref="J12:K12"/>
    <mergeCell ref="J11:K11"/>
    <mergeCell ref="J13:K13"/>
    <mergeCell ref="J15:K1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73A5-2D18-457E-80A2-0596EAECBEF7}">
  <dimension ref="B2:M69"/>
  <sheetViews>
    <sheetView zoomScaleNormal="100" workbookViewId="0">
      <selection activeCell="H63" sqref="H63"/>
    </sheetView>
  </sheetViews>
  <sheetFormatPr defaultRowHeight="15"/>
  <cols>
    <col min="2" max="2" width="45.5703125" customWidth="1"/>
    <col min="3" max="3" width="11.140625" customWidth="1"/>
    <col min="4" max="4" width="11.140625" bestFit="1" customWidth="1"/>
    <col min="6" max="6" width="18.5703125" bestFit="1" customWidth="1"/>
    <col min="7" max="7" width="10" bestFit="1" customWidth="1"/>
    <col min="8" max="8" width="11" bestFit="1" customWidth="1"/>
    <col min="9" max="9" width="11" customWidth="1"/>
    <col min="11" max="11" width="12.42578125" bestFit="1" customWidth="1"/>
    <col min="12" max="12" width="10" bestFit="1" customWidth="1"/>
  </cols>
  <sheetData>
    <row r="2" spans="2:12" ht="28.5">
      <c r="B2" s="166" t="s">
        <v>319</v>
      </c>
      <c r="C2">
        <v>1990000</v>
      </c>
    </row>
    <row r="3" spans="2:12">
      <c r="B3" s="125">
        <v>0.01</v>
      </c>
      <c r="C3">
        <f>C2*B3</f>
        <v>19900</v>
      </c>
      <c r="E3" t="s">
        <v>383</v>
      </c>
    </row>
    <row r="4" spans="2:12">
      <c r="B4" s="125" t="s">
        <v>382</v>
      </c>
      <c r="C4">
        <v>1500</v>
      </c>
      <c r="E4">
        <f>C3+C4</f>
        <v>21400</v>
      </c>
    </row>
    <row r="5" spans="2:12">
      <c r="B5" s="169" t="s">
        <v>318</v>
      </c>
      <c r="C5">
        <v>240</v>
      </c>
    </row>
    <row r="6" spans="2:12" ht="15.75">
      <c r="B6" s="170" t="s">
        <v>321</v>
      </c>
      <c r="C6">
        <f>C7-C2</f>
        <v>2786000</v>
      </c>
      <c r="G6" s="171" t="s">
        <v>389</v>
      </c>
      <c r="H6" s="171" t="s">
        <v>392</v>
      </c>
      <c r="I6" s="171" t="s">
        <v>396</v>
      </c>
      <c r="J6" s="171" t="s">
        <v>391</v>
      </c>
      <c r="K6" s="171" t="s">
        <v>400</v>
      </c>
      <c r="L6" s="171" t="s">
        <v>393</v>
      </c>
    </row>
    <row r="7" spans="2:12" ht="19.5" thickBot="1">
      <c r="B7" s="167" t="s">
        <v>320</v>
      </c>
      <c r="C7" s="168">
        <f>C5*C3</f>
        <v>4776000</v>
      </c>
      <c r="F7" s="171" t="s">
        <v>321</v>
      </c>
      <c r="G7">
        <v>10.35</v>
      </c>
      <c r="H7">
        <v>10.55</v>
      </c>
      <c r="I7">
        <v>9.5</v>
      </c>
      <c r="J7">
        <v>9.6</v>
      </c>
      <c r="K7">
        <v>9.4499999999999993</v>
      </c>
      <c r="L7">
        <v>9.6050000000000004</v>
      </c>
    </row>
    <row r="8" spans="2:12" ht="16.5" thickTop="1">
      <c r="F8" s="171" t="s">
        <v>390</v>
      </c>
      <c r="G8">
        <v>1990000</v>
      </c>
      <c r="H8">
        <v>1999000</v>
      </c>
      <c r="I8">
        <f>1990000+200000</f>
        <v>2190000</v>
      </c>
      <c r="J8">
        <v>1990000</v>
      </c>
      <c r="K8">
        <v>1996037</v>
      </c>
      <c r="L8">
        <v>1791000</v>
      </c>
    </row>
    <row r="9" spans="2:12" ht="15.75">
      <c r="F9" s="171" t="s">
        <v>394</v>
      </c>
      <c r="G9">
        <v>6037.5</v>
      </c>
      <c r="H9">
        <v>6037.5</v>
      </c>
      <c r="I9">
        <v>6037.5</v>
      </c>
      <c r="J9">
        <v>6037</v>
      </c>
      <c r="K9">
        <v>6037</v>
      </c>
      <c r="L9">
        <v>6037.5</v>
      </c>
    </row>
    <row r="10" spans="2:12" ht="15.75">
      <c r="F10" s="171" t="s">
        <v>383</v>
      </c>
      <c r="G10">
        <v>19667.650000000001</v>
      </c>
      <c r="H10">
        <v>19328.36</v>
      </c>
      <c r="I10">
        <v>18549.41</v>
      </c>
      <c r="J10">
        <v>18736.2</v>
      </c>
      <c r="K10">
        <v>18540.599999999999</v>
      </c>
      <c r="L10">
        <v>16818.27</v>
      </c>
    </row>
    <row r="11" spans="2:12" ht="15.75">
      <c r="F11" s="171" t="s">
        <v>399</v>
      </c>
      <c r="G11">
        <v>240</v>
      </c>
      <c r="H11">
        <v>240</v>
      </c>
      <c r="I11">
        <v>240</v>
      </c>
      <c r="J11">
        <v>240</v>
      </c>
      <c r="K11">
        <v>240</v>
      </c>
      <c r="L11">
        <v>240</v>
      </c>
    </row>
    <row r="12" spans="2:12" ht="15.75">
      <c r="B12">
        <v>0.1</v>
      </c>
      <c r="C12">
        <f>C2*B12</f>
        <v>199000</v>
      </c>
      <c r="F12" s="171" t="s">
        <v>395</v>
      </c>
      <c r="G12">
        <v>2738519.3</v>
      </c>
      <c r="H12">
        <v>2642769.81</v>
      </c>
      <c r="I12">
        <v>2461858.5499999998</v>
      </c>
      <c r="J12">
        <v>2500656</v>
      </c>
      <c r="K12">
        <v>2470257.35</v>
      </c>
      <c r="L12">
        <v>2245384.7999999998</v>
      </c>
    </row>
    <row r="14" spans="2:12">
      <c r="I14">
        <f>I8*0.05/100</f>
        <v>1095</v>
      </c>
      <c r="K14">
        <f>K8*0.05/100</f>
        <v>998.01850000000002</v>
      </c>
    </row>
    <row r="17" spans="2:11">
      <c r="B17" s="351" t="s">
        <v>432</v>
      </c>
      <c r="C17" s="351"/>
      <c r="D17" s="351"/>
      <c r="K17">
        <f>K12-I12</f>
        <v>8398.8000000002794</v>
      </c>
    </row>
    <row r="18" spans="2:11">
      <c r="B18" s="172" t="s">
        <v>403</v>
      </c>
      <c r="C18" s="174">
        <v>31437</v>
      </c>
      <c r="D18">
        <f>26560+3984</f>
        <v>30544</v>
      </c>
    </row>
    <row r="19" spans="2:11">
      <c r="B19" t="s">
        <v>424</v>
      </c>
      <c r="D19">
        <f>13.39+89.25</f>
        <v>102.64</v>
      </c>
    </row>
    <row r="20" spans="2:11">
      <c r="B20" s="172" t="s">
        <v>407</v>
      </c>
      <c r="C20" s="173" t="s">
        <v>408</v>
      </c>
      <c r="D20">
        <v>59700</v>
      </c>
    </row>
    <row r="21" spans="2:11">
      <c r="B21" s="172" t="s">
        <v>431</v>
      </c>
      <c r="C21" s="173"/>
      <c r="D21">
        <v>380</v>
      </c>
    </row>
    <row r="22" spans="2:11">
      <c r="B22" t="s">
        <v>425</v>
      </c>
      <c r="D22">
        <v>1146</v>
      </c>
    </row>
    <row r="23" spans="2:11">
      <c r="B23" s="172" t="s">
        <v>426</v>
      </c>
      <c r="D23">
        <f>60+400</f>
        <v>460</v>
      </c>
    </row>
    <row r="24" spans="2:11">
      <c r="B24" s="172" t="s">
        <v>427</v>
      </c>
      <c r="D24">
        <f>45+300</f>
        <v>345</v>
      </c>
    </row>
    <row r="25" spans="2:11">
      <c r="B25" s="172" t="s">
        <v>428</v>
      </c>
      <c r="D25">
        <f>150+1000</f>
        <v>1150</v>
      </c>
      <c r="F25" t="s">
        <v>390</v>
      </c>
      <c r="G25">
        <v>130000</v>
      </c>
      <c r="I25">
        <f>13/15</f>
        <v>0.8666666666666667</v>
      </c>
    </row>
    <row r="26" spans="2:11" ht="15.75" thickBot="1">
      <c r="B26" s="172" t="s">
        <v>429</v>
      </c>
      <c r="D26">
        <f>180+1200</f>
        <v>1380</v>
      </c>
      <c r="F26" t="s">
        <v>397</v>
      </c>
      <c r="G26">
        <v>4387.8500000000004</v>
      </c>
      <c r="I26">
        <f>1990000*0.095*240</f>
        <v>45372000</v>
      </c>
    </row>
    <row r="27" spans="2:11" ht="15.75" thickBot="1">
      <c r="C27" s="186" t="s">
        <v>436</v>
      </c>
      <c r="D27" s="186">
        <v>-95207.64</v>
      </c>
      <c r="E27" s="181">
        <f>SUM(D18:D26)</f>
        <v>95207.64</v>
      </c>
      <c r="F27" t="s">
        <v>398</v>
      </c>
      <c r="G27">
        <v>60</v>
      </c>
    </row>
    <row r="28" spans="2:11">
      <c r="B28" s="351" t="s">
        <v>433</v>
      </c>
      <c r="C28" s="351"/>
      <c r="D28" s="351"/>
    </row>
    <row r="29" spans="2:11">
      <c r="B29" s="172" t="s">
        <v>418</v>
      </c>
      <c r="C29" s="173" t="s">
        <v>404</v>
      </c>
      <c r="D29">
        <f>14050+2107.5</f>
        <v>16157.5</v>
      </c>
      <c r="F29" t="s">
        <v>43</v>
      </c>
      <c r="G29">
        <f>G26*G27</f>
        <v>263271</v>
      </c>
    </row>
    <row r="30" spans="2:11">
      <c r="B30" s="172" t="s">
        <v>430</v>
      </c>
      <c r="C30" s="173"/>
      <c r="D30">
        <f>1000+150</f>
        <v>1150</v>
      </c>
    </row>
    <row r="31" spans="2:11">
      <c r="B31" s="172" t="s">
        <v>419</v>
      </c>
      <c r="C31" s="173"/>
      <c r="D31">
        <f>350+52.5</f>
        <v>402.5</v>
      </c>
    </row>
    <row r="32" spans="2:11">
      <c r="B32" s="172" t="s">
        <v>420</v>
      </c>
      <c r="C32" s="173"/>
      <c r="D32">
        <f>222+33.3</f>
        <v>255.3</v>
      </c>
    </row>
    <row r="33" spans="2:13">
      <c r="B33" s="172" t="s">
        <v>421</v>
      </c>
      <c r="C33" s="173"/>
      <c r="D33">
        <v>1588</v>
      </c>
    </row>
    <row r="34" spans="2:13">
      <c r="B34" s="172" t="s">
        <v>422</v>
      </c>
      <c r="C34" s="173"/>
      <c r="D34">
        <f>700+105</f>
        <v>805</v>
      </c>
    </row>
    <row r="35" spans="2:13" ht="15.75" thickBot="1">
      <c r="B35" s="172" t="s">
        <v>423</v>
      </c>
      <c r="C35" s="173"/>
      <c r="D35">
        <f>700+105</f>
        <v>805</v>
      </c>
      <c r="F35" t="s">
        <v>438</v>
      </c>
    </row>
    <row r="36" spans="2:13" ht="15.75" thickBot="1">
      <c r="E36" s="181">
        <f>SUM(D29:D35)</f>
        <v>21163.3</v>
      </c>
      <c r="F36" t="s">
        <v>392</v>
      </c>
    </row>
    <row r="37" spans="2:13" ht="15.75" thickBot="1">
      <c r="B37" s="183" t="s">
        <v>409</v>
      </c>
      <c r="C37" s="176">
        <v>128611.5</v>
      </c>
      <c r="D37" s="182">
        <f>SUM(D18:D35)</f>
        <v>21163.3</v>
      </c>
    </row>
    <row r="38" spans="2:13">
      <c r="C38" t="s">
        <v>439</v>
      </c>
      <c r="E38">
        <v>15920</v>
      </c>
      <c r="F38" t="s">
        <v>391</v>
      </c>
    </row>
    <row r="39" spans="2:13">
      <c r="G39" t="s">
        <v>437</v>
      </c>
    </row>
    <row r="40" spans="2:13">
      <c r="B40" s="172" t="s">
        <v>405</v>
      </c>
      <c r="C40" s="173" t="s">
        <v>406</v>
      </c>
      <c r="D40">
        <v>6037.5</v>
      </c>
      <c r="F40">
        <v>145361.89000000001</v>
      </c>
    </row>
    <row r="41" spans="2:13">
      <c r="F41" s="175">
        <f>F40-D37</f>
        <v>124198.59000000001</v>
      </c>
    </row>
    <row r="48" spans="2:13">
      <c r="J48">
        <f>J49/I49</f>
        <v>2.8750000000000004</v>
      </c>
      <c r="K48">
        <f>K49/I49</f>
        <v>5.375</v>
      </c>
      <c r="L48">
        <f>L49/I49</f>
        <v>7.8750000000000018</v>
      </c>
      <c r="M48">
        <f>M49/I49</f>
        <v>10.375000000000002</v>
      </c>
    </row>
    <row r="49" spans="3:13">
      <c r="I49">
        <f>I50/H51*100</f>
        <v>47.058823529411761</v>
      </c>
      <c r="J49">
        <f>J50/H51*100</f>
        <v>135.29411764705884</v>
      </c>
      <c r="K49">
        <f>K50/H51*100</f>
        <v>252.94117647058823</v>
      </c>
      <c r="L49">
        <f>L50/H51*100</f>
        <v>370.58823529411768</v>
      </c>
      <c r="M49">
        <f>M50/H51*100</f>
        <v>488.23529411764707</v>
      </c>
    </row>
    <row r="50" spans="3:13" ht="15.75" thickBot="1">
      <c r="I50">
        <v>400</v>
      </c>
      <c r="J50">
        <v>1150</v>
      </c>
      <c r="K50">
        <v>2150</v>
      </c>
      <c r="L50">
        <v>3150</v>
      </c>
      <c r="M50">
        <v>4150</v>
      </c>
    </row>
    <row r="51" spans="3:13" ht="30.75" thickBot="1">
      <c r="G51" s="184" t="s">
        <v>434</v>
      </c>
      <c r="H51" s="184">
        <v>850</v>
      </c>
      <c r="I51" s="185">
        <v>1250</v>
      </c>
      <c r="J51" s="185">
        <v>2000</v>
      </c>
      <c r="K51" s="185">
        <v>3000</v>
      </c>
      <c r="L51" s="185">
        <v>4000</v>
      </c>
      <c r="M51" s="185">
        <v>5000</v>
      </c>
    </row>
    <row r="52" spans="3:13" ht="60.75" thickBot="1">
      <c r="G52" s="184" t="s">
        <v>435</v>
      </c>
      <c r="H52" s="184">
        <v>552.42999999999995</v>
      </c>
      <c r="I52" s="184">
        <v>500.01</v>
      </c>
      <c r="J52" s="184">
        <v>473.8</v>
      </c>
      <c r="K52" s="184">
        <v>447.59</v>
      </c>
      <c r="L52" s="184">
        <v>421.38</v>
      </c>
      <c r="M52" s="184">
        <v>395.17</v>
      </c>
    </row>
    <row r="53" spans="3:13">
      <c r="I53">
        <f>(H52-I52)/H52*100</f>
        <v>9.4889850297775222</v>
      </c>
      <c r="J53">
        <f>(H52-J52)/H52*100</f>
        <v>14.233477544666281</v>
      </c>
      <c r="K53">
        <f>(H52-K52)/H52*100</f>
        <v>18.977970059555055</v>
      </c>
      <c r="L53">
        <f>(H52-L52)/H52*100</f>
        <v>23.722462574443814</v>
      </c>
      <c r="M53">
        <f>(H52-M52)/H52*100</f>
        <v>28.466955089332576</v>
      </c>
    </row>
    <row r="54" spans="3:13">
      <c r="C54" t="s">
        <v>508</v>
      </c>
      <c r="E54">
        <v>130000</v>
      </c>
    </row>
    <row r="55" spans="3:13">
      <c r="C55" t="s">
        <v>506</v>
      </c>
      <c r="E55">
        <v>131207.5</v>
      </c>
    </row>
    <row r="56" spans="3:13">
      <c r="C56" t="s">
        <v>490</v>
      </c>
      <c r="E56">
        <v>0.25700000000000001</v>
      </c>
    </row>
    <row r="57" spans="3:13">
      <c r="C57" t="s">
        <v>507</v>
      </c>
      <c r="E57" s="204">
        <v>4059.84</v>
      </c>
    </row>
    <row r="58" spans="3:13">
      <c r="C58" t="s">
        <v>398</v>
      </c>
      <c r="E58">
        <v>60</v>
      </c>
    </row>
    <row r="59" spans="3:13">
      <c r="C59" t="s">
        <v>43</v>
      </c>
      <c r="E59">
        <f>E57*E58</f>
        <v>243590.40000000002</v>
      </c>
    </row>
    <row r="61" spans="3:13">
      <c r="C61" t="s">
        <v>510</v>
      </c>
      <c r="E61">
        <f>E59-E54</f>
        <v>113590.40000000002</v>
      </c>
    </row>
    <row r="63" spans="3:13">
      <c r="C63" t="s">
        <v>392</v>
      </c>
    </row>
    <row r="64" spans="3:13">
      <c r="E64">
        <v>200000</v>
      </c>
    </row>
    <row r="65" spans="3:5">
      <c r="E65">
        <v>9.2499999999999999E-2</v>
      </c>
    </row>
    <row r="66" spans="3:5">
      <c r="E66">
        <f>E64*E65</f>
        <v>18500</v>
      </c>
    </row>
    <row r="67" spans="3:5">
      <c r="C67" t="s">
        <v>410</v>
      </c>
      <c r="E67">
        <v>20</v>
      </c>
    </row>
    <row r="69" spans="3:5">
      <c r="C69" t="s">
        <v>509</v>
      </c>
      <c r="E69">
        <f>E66*E67</f>
        <v>370000</v>
      </c>
    </row>
  </sheetData>
  <mergeCells count="2">
    <mergeCell ref="B17:D17"/>
    <mergeCell ref="B28:D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391D-1976-4DC8-89D4-AF3602F0D50E}">
  <dimension ref="A1:O44"/>
  <sheetViews>
    <sheetView zoomScaleNormal="100" workbookViewId="0">
      <selection activeCell="C23" sqref="C23"/>
    </sheetView>
  </sheetViews>
  <sheetFormatPr defaultRowHeight="15"/>
  <cols>
    <col min="1" max="1" width="23.5703125" bestFit="1" customWidth="1"/>
    <col min="2" max="2" width="10.28515625" bestFit="1" customWidth="1"/>
    <col min="8" max="8" width="18.28515625" style="169" bestFit="1" customWidth="1"/>
  </cols>
  <sheetData>
    <row r="1" spans="1:15">
      <c r="A1" s="169" t="s">
        <v>371</v>
      </c>
      <c r="H1" s="169" t="s">
        <v>359</v>
      </c>
    </row>
    <row r="2" spans="1:15">
      <c r="A2" s="169" t="s">
        <v>327</v>
      </c>
      <c r="B2" t="s">
        <v>326</v>
      </c>
      <c r="C2" t="s">
        <v>325</v>
      </c>
      <c r="D2" t="s">
        <v>43</v>
      </c>
      <c r="H2" s="169" t="s">
        <v>327</v>
      </c>
      <c r="I2" t="s">
        <v>326</v>
      </c>
      <c r="J2" t="s">
        <v>325</v>
      </c>
      <c r="K2" t="s">
        <v>43</v>
      </c>
      <c r="O2" t="s">
        <v>43</v>
      </c>
    </row>
    <row r="3" spans="1:15">
      <c r="A3" s="169" t="s">
        <v>322</v>
      </c>
      <c r="B3">
        <v>4</v>
      </c>
      <c r="C3">
        <v>95</v>
      </c>
      <c r="D3">
        <f>C3*B3</f>
        <v>380</v>
      </c>
      <c r="F3">
        <f>SUM(D3:D44)</f>
        <v>3717.99</v>
      </c>
      <c r="H3" s="169" t="s">
        <v>360</v>
      </c>
      <c r="I3">
        <v>1</v>
      </c>
      <c r="J3">
        <v>35</v>
      </c>
      <c r="K3">
        <f>J3*I3</f>
        <v>35</v>
      </c>
      <c r="M3">
        <f>SUM(K3:K23)</f>
        <v>3538</v>
      </c>
      <c r="O3">
        <f>M3+F3</f>
        <v>7255.99</v>
      </c>
    </row>
    <row r="4" spans="1:15">
      <c r="A4" s="169" t="s">
        <v>323</v>
      </c>
      <c r="B4">
        <v>10</v>
      </c>
      <c r="C4">
        <v>40</v>
      </c>
      <c r="D4">
        <f>C4*B4</f>
        <v>400</v>
      </c>
      <c r="H4" s="169" t="s">
        <v>361</v>
      </c>
      <c r="I4">
        <v>1</v>
      </c>
      <c r="J4">
        <v>40</v>
      </c>
      <c r="K4">
        <f>J4*I4</f>
        <v>40</v>
      </c>
    </row>
    <row r="5" spans="1:15">
      <c r="A5" s="169" t="s">
        <v>324</v>
      </c>
      <c r="B5">
        <v>2</v>
      </c>
      <c r="C5">
        <v>120</v>
      </c>
      <c r="D5">
        <f>C5*B5</f>
        <v>240</v>
      </c>
      <c r="H5" s="169" t="s">
        <v>362</v>
      </c>
      <c r="I5">
        <v>1</v>
      </c>
    </row>
    <row r="6" spans="1:15">
      <c r="A6" s="169" t="s">
        <v>381</v>
      </c>
      <c r="B6">
        <v>1</v>
      </c>
      <c r="C6">
        <v>45</v>
      </c>
      <c r="D6">
        <f>C6*B6</f>
        <v>45</v>
      </c>
      <c r="H6" s="169" t="s">
        <v>363</v>
      </c>
      <c r="I6">
        <v>1</v>
      </c>
    </row>
    <row r="7" spans="1:15">
      <c r="A7" s="169" t="s">
        <v>342</v>
      </c>
      <c r="B7">
        <v>2</v>
      </c>
      <c r="C7">
        <v>65</v>
      </c>
      <c r="D7">
        <f>C7*B7</f>
        <v>130</v>
      </c>
      <c r="H7" s="169" t="s">
        <v>364</v>
      </c>
      <c r="I7">
        <v>1</v>
      </c>
      <c r="J7">
        <v>70</v>
      </c>
      <c r="K7">
        <f t="shared" ref="K7:K21" si="0">J7*I7</f>
        <v>70</v>
      </c>
    </row>
    <row r="8" spans="1:15">
      <c r="A8" s="169"/>
      <c r="H8" s="169" t="s">
        <v>365</v>
      </c>
      <c r="I8">
        <v>2</v>
      </c>
      <c r="J8">
        <v>40</v>
      </c>
      <c r="K8">
        <f t="shared" si="0"/>
        <v>80</v>
      </c>
    </row>
    <row r="9" spans="1:15">
      <c r="A9" s="169" t="s">
        <v>340</v>
      </c>
      <c r="B9">
        <v>60</v>
      </c>
      <c r="C9">
        <v>1</v>
      </c>
      <c r="D9">
        <f>C9*B9</f>
        <v>60</v>
      </c>
      <c r="H9" s="169" t="s">
        <v>366</v>
      </c>
      <c r="I9">
        <v>1</v>
      </c>
      <c r="J9">
        <v>90</v>
      </c>
      <c r="K9">
        <f t="shared" si="0"/>
        <v>90</v>
      </c>
    </row>
    <row r="10" spans="1:15">
      <c r="H10" s="169" t="s">
        <v>367</v>
      </c>
      <c r="I10">
        <v>2</v>
      </c>
      <c r="J10">
        <v>50</v>
      </c>
      <c r="K10">
        <f t="shared" si="0"/>
        <v>100</v>
      </c>
    </row>
    <row r="11" spans="1:15">
      <c r="A11" s="169" t="s">
        <v>355</v>
      </c>
      <c r="B11">
        <v>3</v>
      </c>
      <c r="C11">
        <v>33.33</v>
      </c>
      <c r="D11">
        <f>C11*B11</f>
        <v>99.99</v>
      </c>
      <c r="H11" s="169" t="s">
        <v>368</v>
      </c>
      <c r="I11">
        <v>1</v>
      </c>
      <c r="J11">
        <v>55</v>
      </c>
      <c r="K11">
        <f t="shared" si="0"/>
        <v>55</v>
      </c>
    </row>
    <row r="12" spans="1:15">
      <c r="A12" s="169" t="s">
        <v>328</v>
      </c>
      <c r="B12">
        <v>16</v>
      </c>
      <c r="C12">
        <v>25</v>
      </c>
      <c r="D12">
        <f>B12*C12</f>
        <v>400</v>
      </c>
      <c r="H12" s="169" t="s">
        <v>369</v>
      </c>
      <c r="I12">
        <v>2</v>
      </c>
      <c r="J12">
        <v>30</v>
      </c>
      <c r="K12">
        <f t="shared" si="0"/>
        <v>60</v>
      </c>
    </row>
    <row r="13" spans="1:15">
      <c r="A13" s="169" t="s">
        <v>358</v>
      </c>
      <c r="B13">
        <v>4</v>
      </c>
      <c r="C13">
        <v>30</v>
      </c>
      <c r="D13">
        <f>C13*B13</f>
        <v>120</v>
      </c>
      <c r="H13" s="169" t="s">
        <v>370</v>
      </c>
      <c r="I13">
        <v>2</v>
      </c>
      <c r="J13">
        <v>50</v>
      </c>
      <c r="K13">
        <f t="shared" si="0"/>
        <v>100</v>
      </c>
    </row>
    <row r="14" spans="1:15">
      <c r="A14" s="169" t="s">
        <v>352</v>
      </c>
      <c r="B14">
        <v>2</v>
      </c>
      <c r="C14">
        <v>55</v>
      </c>
      <c r="D14">
        <f>C14*B14</f>
        <v>110</v>
      </c>
      <c r="H14" s="169" t="s">
        <v>372</v>
      </c>
      <c r="I14">
        <v>1</v>
      </c>
      <c r="J14">
        <v>130</v>
      </c>
      <c r="K14">
        <f t="shared" si="0"/>
        <v>130</v>
      </c>
    </row>
    <row r="15" spans="1:15">
      <c r="A15" s="169" t="s">
        <v>348</v>
      </c>
      <c r="B15">
        <v>1</v>
      </c>
      <c r="C15">
        <v>45</v>
      </c>
      <c r="D15">
        <f>B15*C15</f>
        <v>45</v>
      </c>
      <c r="H15" s="169" t="s">
        <v>373</v>
      </c>
      <c r="I15">
        <v>3</v>
      </c>
      <c r="J15">
        <v>82</v>
      </c>
      <c r="K15">
        <f t="shared" si="0"/>
        <v>246</v>
      </c>
    </row>
    <row r="16" spans="1:15">
      <c r="A16" s="169" t="s">
        <v>349</v>
      </c>
      <c r="B16">
        <v>1</v>
      </c>
      <c r="C16">
        <v>100</v>
      </c>
      <c r="D16">
        <f>C16*B16</f>
        <v>100</v>
      </c>
      <c r="H16" s="169" t="s">
        <v>374</v>
      </c>
      <c r="I16">
        <v>2</v>
      </c>
      <c r="J16">
        <v>180</v>
      </c>
      <c r="K16">
        <f t="shared" si="0"/>
        <v>360</v>
      </c>
    </row>
    <row r="17" spans="1:11">
      <c r="A17" s="169" t="s">
        <v>330</v>
      </c>
      <c r="B17">
        <v>2</v>
      </c>
      <c r="C17">
        <v>15</v>
      </c>
      <c r="D17">
        <f>C17*B17</f>
        <v>30</v>
      </c>
      <c r="H17" s="169" t="s">
        <v>375</v>
      </c>
      <c r="I17">
        <v>2</v>
      </c>
      <c r="J17">
        <v>50</v>
      </c>
      <c r="K17">
        <f t="shared" si="0"/>
        <v>100</v>
      </c>
    </row>
    <row r="18" spans="1:11">
      <c r="A18" s="169" t="s">
        <v>353</v>
      </c>
      <c r="B18">
        <v>2</v>
      </c>
      <c r="C18">
        <v>15</v>
      </c>
      <c r="D18">
        <f>C18*B18</f>
        <v>30</v>
      </c>
      <c r="H18" s="169" t="s">
        <v>376</v>
      </c>
      <c r="I18">
        <v>2</v>
      </c>
      <c r="J18">
        <v>250</v>
      </c>
      <c r="K18">
        <f t="shared" si="0"/>
        <v>500</v>
      </c>
    </row>
    <row r="19" spans="1:11">
      <c r="A19" s="169" t="s">
        <v>354</v>
      </c>
      <c r="B19">
        <v>1</v>
      </c>
      <c r="C19">
        <v>30</v>
      </c>
      <c r="D19">
        <f>C19*B19</f>
        <v>30</v>
      </c>
      <c r="H19" s="169" t="s">
        <v>377</v>
      </c>
      <c r="I19">
        <v>1</v>
      </c>
      <c r="J19">
        <v>42</v>
      </c>
      <c r="K19">
        <f t="shared" si="0"/>
        <v>42</v>
      </c>
    </row>
    <row r="20" spans="1:11">
      <c r="H20" s="169" t="s">
        <v>378</v>
      </c>
      <c r="I20">
        <v>1</v>
      </c>
      <c r="J20">
        <v>180</v>
      </c>
      <c r="K20">
        <f t="shared" si="0"/>
        <v>180</v>
      </c>
    </row>
    <row r="21" spans="1:11">
      <c r="A21" s="169" t="s">
        <v>332</v>
      </c>
      <c r="B21">
        <v>3</v>
      </c>
      <c r="C21">
        <v>13</v>
      </c>
      <c r="D21">
        <f t="shared" ref="D21:D26" si="1">C21*B21</f>
        <v>39</v>
      </c>
      <c r="H21" s="169" t="s">
        <v>379</v>
      </c>
      <c r="I21">
        <v>1</v>
      </c>
      <c r="J21">
        <v>350</v>
      </c>
      <c r="K21">
        <f t="shared" si="0"/>
        <v>350</v>
      </c>
    </row>
    <row r="22" spans="1:11">
      <c r="A22" s="169" t="s">
        <v>346</v>
      </c>
      <c r="B22">
        <v>1</v>
      </c>
      <c r="C22">
        <v>40</v>
      </c>
      <c r="D22">
        <f t="shared" si="1"/>
        <v>40</v>
      </c>
    </row>
    <row r="23" spans="1:11">
      <c r="A23" s="169" t="s">
        <v>334</v>
      </c>
      <c r="B23">
        <v>3</v>
      </c>
      <c r="C23">
        <v>18</v>
      </c>
      <c r="D23">
        <f t="shared" si="1"/>
        <v>54</v>
      </c>
      <c r="H23" s="169" t="s">
        <v>380</v>
      </c>
      <c r="I23">
        <v>4</v>
      </c>
      <c r="J23">
        <v>250</v>
      </c>
      <c r="K23">
        <f>J23*I23</f>
        <v>1000</v>
      </c>
    </row>
    <row r="24" spans="1:11">
      <c r="A24" s="169" t="s">
        <v>335</v>
      </c>
      <c r="B24">
        <v>2</v>
      </c>
      <c r="C24">
        <v>20</v>
      </c>
      <c r="D24">
        <f t="shared" si="1"/>
        <v>40</v>
      </c>
    </row>
    <row r="25" spans="1:11">
      <c r="A25" s="169" t="s">
        <v>336</v>
      </c>
      <c r="B25">
        <v>2</v>
      </c>
      <c r="C25">
        <v>15</v>
      </c>
      <c r="D25">
        <f t="shared" si="1"/>
        <v>30</v>
      </c>
    </row>
    <row r="26" spans="1:11">
      <c r="A26" s="169" t="s">
        <v>341</v>
      </c>
      <c r="B26">
        <v>1</v>
      </c>
      <c r="C26">
        <v>30</v>
      </c>
      <c r="D26">
        <f t="shared" si="1"/>
        <v>30</v>
      </c>
    </row>
    <row r="27" spans="1:11">
      <c r="A27" s="169"/>
    </row>
    <row r="28" spans="1:11">
      <c r="A28" s="169" t="s">
        <v>338</v>
      </c>
      <c r="B28">
        <v>1</v>
      </c>
      <c r="C28">
        <v>25</v>
      </c>
      <c r="D28">
        <f>C28*B28</f>
        <v>25</v>
      </c>
    </row>
    <row r="29" spans="1:11">
      <c r="A29" s="169" t="s">
        <v>339</v>
      </c>
      <c r="B29">
        <v>1</v>
      </c>
      <c r="C29">
        <v>30</v>
      </c>
      <c r="D29">
        <f>C29*B29</f>
        <v>30</v>
      </c>
    </row>
    <row r="30" spans="1:11">
      <c r="A30" s="169" t="s">
        <v>350</v>
      </c>
      <c r="B30">
        <v>2</v>
      </c>
      <c r="C30">
        <v>50</v>
      </c>
      <c r="D30">
        <f>C30*B30</f>
        <v>100</v>
      </c>
    </row>
    <row r="32" spans="1:11">
      <c r="A32" s="169" t="s">
        <v>351</v>
      </c>
      <c r="B32">
        <v>1</v>
      </c>
      <c r="C32">
        <v>80</v>
      </c>
      <c r="D32">
        <f>C32*B32</f>
        <v>80</v>
      </c>
    </row>
    <row r="33" spans="1:4">
      <c r="A33" s="169" t="s">
        <v>343</v>
      </c>
      <c r="B33">
        <v>1</v>
      </c>
      <c r="C33">
        <v>60</v>
      </c>
      <c r="D33">
        <f>C33*B33</f>
        <v>60</v>
      </c>
    </row>
    <row r="34" spans="1:4">
      <c r="A34" s="169" t="s">
        <v>344</v>
      </c>
      <c r="B34">
        <v>1</v>
      </c>
      <c r="C34">
        <v>190</v>
      </c>
      <c r="D34">
        <f>C34*B34</f>
        <v>190</v>
      </c>
    </row>
    <row r="35" spans="1:4">
      <c r="A35" s="169" t="s">
        <v>345</v>
      </c>
      <c r="B35">
        <v>3</v>
      </c>
      <c r="C35">
        <v>85</v>
      </c>
      <c r="D35">
        <f>C35*B35</f>
        <v>255</v>
      </c>
    </row>
    <row r="36" spans="1:4">
      <c r="A36" s="169"/>
    </row>
    <row r="37" spans="1:4">
      <c r="A37" s="169" t="s">
        <v>347</v>
      </c>
      <c r="B37">
        <v>1</v>
      </c>
      <c r="C37">
        <v>33</v>
      </c>
      <c r="D37">
        <f t="shared" ref="D37:D42" si="2">C37*B37</f>
        <v>33</v>
      </c>
    </row>
    <row r="38" spans="1:4">
      <c r="A38" s="169" t="s">
        <v>331</v>
      </c>
      <c r="B38">
        <v>1</v>
      </c>
      <c r="C38">
        <v>25</v>
      </c>
      <c r="D38">
        <f t="shared" si="2"/>
        <v>25</v>
      </c>
    </row>
    <row r="39" spans="1:4">
      <c r="A39" s="169" t="s">
        <v>337</v>
      </c>
      <c r="B39">
        <v>3</v>
      </c>
      <c r="C39">
        <v>13</v>
      </c>
      <c r="D39">
        <f t="shared" si="2"/>
        <v>39</v>
      </c>
    </row>
    <row r="40" spans="1:4">
      <c r="A40" s="169" t="s">
        <v>333</v>
      </c>
      <c r="B40">
        <v>2</v>
      </c>
      <c r="C40">
        <v>25</v>
      </c>
      <c r="D40">
        <f t="shared" si="2"/>
        <v>50</v>
      </c>
    </row>
    <row r="41" spans="1:4">
      <c r="A41" s="169" t="s">
        <v>329</v>
      </c>
      <c r="B41">
        <v>8</v>
      </c>
      <c r="C41">
        <v>16</v>
      </c>
      <c r="D41">
        <f t="shared" si="2"/>
        <v>128</v>
      </c>
    </row>
    <row r="42" spans="1:4">
      <c r="A42" s="169" t="s">
        <v>356</v>
      </c>
      <c r="B42">
        <v>1</v>
      </c>
      <c r="C42">
        <v>150</v>
      </c>
      <c r="D42">
        <f t="shared" si="2"/>
        <v>150</v>
      </c>
    </row>
    <row r="44" spans="1:4">
      <c r="A44" s="169" t="s">
        <v>357</v>
      </c>
      <c r="B44">
        <v>1</v>
      </c>
      <c r="C44">
        <v>100</v>
      </c>
      <c r="D44">
        <f>C44*B44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D2E6-B387-495B-98FC-31383C512B19}">
  <dimension ref="A1:E10"/>
  <sheetViews>
    <sheetView workbookViewId="0">
      <selection activeCell="A10" sqref="A10"/>
    </sheetView>
  </sheetViews>
  <sheetFormatPr defaultRowHeight="15"/>
  <cols>
    <col min="1" max="1" width="10.5703125" bestFit="1" customWidth="1"/>
    <col min="2" max="3" width="8.85546875" customWidth="1"/>
    <col min="4" max="4" width="15.7109375" bestFit="1" customWidth="1"/>
    <col min="5" max="5" width="15" bestFit="1" customWidth="1"/>
  </cols>
  <sheetData>
    <row r="1" spans="1:5">
      <c r="A1" t="s">
        <v>450</v>
      </c>
      <c r="C1" t="s">
        <v>451</v>
      </c>
      <c r="D1" t="s">
        <v>517</v>
      </c>
      <c r="E1" s="42" t="s">
        <v>505</v>
      </c>
    </row>
    <row r="2" spans="1:5">
      <c r="A2" s="190">
        <v>43809</v>
      </c>
      <c r="B2" s="222">
        <v>850</v>
      </c>
      <c r="C2" t="s">
        <v>452</v>
      </c>
      <c r="E2" s="42">
        <f>SUM(B2:B10)</f>
        <v>8150</v>
      </c>
    </row>
    <row r="3" spans="1:5">
      <c r="A3" s="190">
        <v>43810</v>
      </c>
      <c r="B3" s="222">
        <v>850</v>
      </c>
      <c r="C3" t="s">
        <v>452</v>
      </c>
    </row>
    <row r="4" spans="1:5">
      <c r="A4" s="190">
        <v>43811</v>
      </c>
      <c r="B4" s="222">
        <v>850</v>
      </c>
      <c r="C4" t="s">
        <v>452</v>
      </c>
    </row>
    <row r="5" spans="1:5">
      <c r="A5" s="190">
        <v>43816</v>
      </c>
      <c r="B5" s="222">
        <v>850</v>
      </c>
      <c r="C5" t="s">
        <v>452</v>
      </c>
    </row>
    <row r="6" spans="1:5">
      <c r="A6" s="226">
        <v>43832</v>
      </c>
      <c r="B6" s="222">
        <v>950</v>
      </c>
      <c r="C6" t="s">
        <v>452</v>
      </c>
      <c r="D6" s="227" t="s">
        <v>518</v>
      </c>
    </row>
    <row r="7" spans="1:5">
      <c r="A7" s="226">
        <v>43845</v>
      </c>
      <c r="B7" s="222">
        <v>950</v>
      </c>
      <c r="C7" t="s">
        <v>452</v>
      </c>
      <c r="D7" s="228" t="s">
        <v>519</v>
      </c>
    </row>
    <row r="8" spans="1:5">
      <c r="A8" s="226">
        <v>43846</v>
      </c>
      <c r="B8" s="222">
        <v>950</v>
      </c>
      <c r="C8" t="s">
        <v>452</v>
      </c>
      <c r="D8" s="228" t="s">
        <v>520</v>
      </c>
    </row>
    <row r="9" spans="1:5">
      <c r="A9" s="226">
        <v>43871</v>
      </c>
      <c r="B9" s="223">
        <v>950</v>
      </c>
      <c r="C9" t="s">
        <v>452</v>
      </c>
      <c r="D9" s="228" t="s">
        <v>521</v>
      </c>
    </row>
    <row r="10" spans="1:5">
      <c r="A10" s="226">
        <v>43886</v>
      </c>
      <c r="B10" s="222">
        <v>950</v>
      </c>
      <c r="C10" t="s">
        <v>452</v>
      </c>
      <c r="D10" s="228" t="s">
        <v>522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6"/>
  <sheetViews>
    <sheetView workbookViewId="0">
      <selection activeCell="B13" sqref="B2:E13"/>
    </sheetView>
  </sheetViews>
  <sheetFormatPr defaultColWidth="8.85546875" defaultRowHeight="15"/>
  <cols>
    <col min="1" max="16384" width="8.85546875" style="104"/>
  </cols>
  <sheetData>
    <row r="2" spans="2:15" ht="15.75" thickBot="1">
      <c r="C2" s="105">
        <v>0.25</v>
      </c>
      <c r="D2" s="105">
        <v>0.29166666666666669</v>
      </c>
      <c r="E2" s="105">
        <v>0.33333333333333298</v>
      </c>
      <c r="F2" s="105">
        <v>0.375</v>
      </c>
      <c r="G2" s="105">
        <v>0.41666666666666702</v>
      </c>
      <c r="H2" s="105">
        <v>0.45833333333333298</v>
      </c>
      <c r="I2" s="105">
        <v>0.5</v>
      </c>
      <c r="J2" s="105">
        <v>0.54166666666666696</v>
      </c>
      <c r="K2" s="105">
        <v>0.58333333333333304</v>
      </c>
      <c r="L2" s="105">
        <v>0.625</v>
      </c>
      <c r="M2" s="105">
        <v>0.66666666666666696</v>
      </c>
      <c r="N2" s="105">
        <v>0.70833333333333404</v>
      </c>
      <c r="O2" s="105">
        <v>0.75</v>
      </c>
    </row>
    <row r="3" spans="2:15" ht="16.5" thickTop="1" thickBot="1">
      <c r="B3" s="105">
        <v>0.25</v>
      </c>
      <c r="C3" s="106">
        <v>0</v>
      </c>
      <c r="D3" s="104">
        <v>1</v>
      </c>
      <c r="E3" s="104">
        <v>2</v>
      </c>
      <c r="F3" s="104">
        <v>3</v>
      </c>
      <c r="G3" s="104">
        <v>4</v>
      </c>
      <c r="H3" s="104">
        <v>5</v>
      </c>
      <c r="I3" s="107">
        <v>6</v>
      </c>
      <c r="J3" s="107">
        <v>7</v>
      </c>
      <c r="K3" s="108">
        <v>8</v>
      </c>
      <c r="L3" s="107">
        <v>9</v>
      </c>
      <c r="M3" s="107">
        <v>10</v>
      </c>
      <c r="N3" s="107">
        <v>11</v>
      </c>
      <c r="O3" s="107">
        <v>12</v>
      </c>
    </row>
    <row r="4" spans="2:15" ht="16.5" thickTop="1" thickBot="1">
      <c r="B4" s="105">
        <v>0.29166666666666669</v>
      </c>
      <c r="C4" s="104">
        <v>1</v>
      </c>
      <c r="D4" s="106">
        <v>0</v>
      </c>
      <c r="E4" s="123">
        <v>1</v>
      </c>
      <c r="F4" s="123">
        <v>2</v>
      </c>
      <c r="G4" s="123">
        <v>3</v>
      </c>
      <c r="H4" s="123">
        <v>4</v>
      </c>
      <c r="I4" s="123">
        <v>5</v>
      </c>
      <c r="J4" s="107">
        <v>6</v>
      </c>
      <c r="K4" s="107">
        <v>7</v>
      </c>
      <c r="L4" s="108">
        <v>8</v>
      </c>
      <c r="M4" s="123">
        <v>9</v>
      </c>
      <c r="N4" s="107">
        <v>10</v>
      </c>
      <c r="O4" s="107">
        <v>11</v>
      </c>
    </row>
    <row r="5" spans="2:15" ht="16.5" thickTop="1" thickBot="1">
      <c r="B5" s="105">
        <v>0.33333333333333298</v>
      </c>
      <c r="C5" s="104">
        <v>2</v>
      </c>
      <c r="D5" s="104">
        <v>1</v>
      </c>
      <c r="E5" s="106">
        <v>0</v>
      </c>
      <c r="F5" s="104">
        <v>1</v>
      </c>
      <c r="G5" s="104">
        <v>2</v>
      </c>
      <c r="H5" s="104">
        <v>3</v>
      </c>
      <c r="I5" s="104">
        <v>4</v>
      </c>
      <c r="J5" s="104">
        <v>5</v>
      </c>
      <c r="K5" s="107">
        <v>6</v>
      </c>
      <c r="L5" s="107">
        <v>7</v>
      </c>
      <c r="M5" s="108">
        <v>8</v>
      </c>
      <c r="N5" s="107">
        <v>9</v>
      </c>
      <c r="O5" s="107">
        <v>10</v>
      </c>
    </row>
    <row r="6" spans="2:15" ht="16.5" thickTop="1" thickBot="1">
      <c r="B6" s="105">
        <v>0.375</v>
      </c>
      <c r="C6" s="104">
        <v>3</v>
      </c>
      <c r="D6" s="104">
        <v>2</v>
      </c>
      <c r="E6" s="104">
        <v>1</v>
      </c>
      <c r="F6" s="106">
        <v>0</v>
      </c>
      <c r="G6" s="104">
        <v>1</v>
      </c>
      <c r="H6" s="104">
        <v>2</v>
      </c>
      <c r="I6" s="104">
        <v>3</v>
      </c>
      <c r="J6" s="104">
        <v>4</v>
      </c>
      <c r="K6" s="104">
        <v>5</v>
      </c>
      <c r="L6" s="107">
        <v>6</v>
      </c>
      <c r="M6" s="107">
        <v>7</v>
      </c>
      <c r="N6" s="108">
        <v>8</v>
      </c>
      <c r="O6" s="107">
        <v>9</v>
      </c>
    </row>
    <row r="7" spans="2:15" ht="16.5" thickTop="1" thickBot="1">
      <c r="B7" s="105">
        <v>0.41666666666666702</v>
      </c>
      <c r="C7" s="104">
        <v>4</v>
      </c>
      <c r="D7" s="104">
        <v>3</v>
      </c>
      <c r="E7" s="104">
        <v>2</v>
      </c>
      <c r="F7" s="104">
        <v>1</v>
      </c>
      <c r="G7" s="106">
        <v>0</v>
      </c>
      <c r="H7" s="104">
        <v>1</v>
      </c>
      <c r="I7" s="104">
        <v>2</v>
      </c>
      <c r="J7" s="104">
        <v>3</v>
      </c>
      <c r="K7" s="104">
        <v>4</v>
      </c>
      <c r="L7" s="104">
        <v>5</v>
      </c>
      <c r="M7" s="107">
        <v>6</v>
      </c>
      <c r="N7" s="107">
        <v>7</v>
      </c>
      <c r="O7" s="108">
        <v>8</v>
      </c>
    </row>
    <row r="8" spans="2:15" ht="16.5" thickTop="1" thickBot="1">
      <c r="B8" s="105">
        <v>0.45833333333333298</v>
      </c>
      <c r="C8" s="104">
        <v>5</v>
      </c>
      <c r="D8" s="104">
        <v>4</v>
      </c>
      <c r="E8" s="104">
        <v>3</v>
      </c>
      <c r="F8" s="104">
        <v>2</v>
      </c>
      <c r="G8" s="104">
        <v>1</v>
      </c>
      <c r="H8" s="106">
        <v>0</v>
      </c>
      <c r="I8" s="104">
        <v>1</v>
      </c>
      <c r="J8" s="104">
        <v>2</v>
      </c>
      <c r="K8" s="104">
        <v>3</v>
      </c>
      <c r="L8" s="104">
        <v>4</v>
      </c>
      <c r="M8" s="104">
        <v>5</v>
      </c>
      <c r="N8" s="107">
        <v>6</v>
      </c>
      <c r="O8" s="107">
        <v>7</v>
      </c>
    </row>
    <row r="9" spans="2:15" ht="16.5" thickTop="1" thickBot="1">
      <c r="B9" s="105">
        <v>0.5</v>
      </c>
      <c r="C9" s="107">
        <v>6</v>
      </c>
      <c r="D9" s="104">
        <v>5</v>
      </c>
      <c r="E9" s="104">
        <v>4</v>
      </c>
      <c r="F9" s="104">
        <v>3</v>
      </c>
      <c r="G9" s="104">
        <v>2</v>
      </c>
      <c r="H9" s="104">
        <v>1</v>
      </c>
      <c r="I9" s="106">
        <v>0</v>
      </c>
      <c r="J9" s="104">
        <v>1</v>
      </c>
      <c r="K9" s="104">
        <v>2</v>
      </c>
      <c r="L9" s="104">
        <v>3</v>
      </c>
      <c r="M9" s="104">
        <v>4</v>
      </c>
      <c r="N9" s="104">
        <v>5</v>
      </c>
      <c r="O9" s="107">
        <v>6</v>
      </c>
    </row>
    <row r="10" spans="2:15" ht="16.5" thickTop="1" thickBot="1">
      <c r="B10" s="105">
        <v>0.54166666666666696</v>
      </c>
      <c r="C10" s="107">
        <v>7</v>
      </c>
      <c r="D10" s="107">
        <v>6</v>
      </c>
      <c r="E10" s="104">
        <v>5</v>
      </c>
      <c r="F10" s="104">
        <v>4</v>
      </c>
      <c r="G10" s="104">
        <v>3</v>
      </c>
      <c r="H10" s="104">
        <v>2</v>
      </c>
      <c r="I10" s="104">
        <v>1</v>
      </c>
      <c r="J10" s="106">
        <v>0</v>
      </c>
      <c r="K10" s="104">
        <v>1</v>
      </c>
      <c r="L10" s="104">
        <v>2</v>
      </c>
      <c r="M10" s="104">
        <v>3</v>
      </c>
      <c r="N10" s="104">
        <v>4</v>
      </c>
      <c r="O10" s="104">
        <v>5</v>
      </c>
    </row>
    <row r="11" spans="2:15" ht="16.5" thickTop="1" thickBot="1">
      <c r="B11" s="105">
        <v>0.58333333333333304</v>
      </c>
      <c r="C11" s="108">
        <v>8</v>
      </c>
      <c r="D11" s="107">
        <v>7</v>
      </c>
      <c r="E11" s="107">
        <v>6</v>
      </c>
      <c r="F11" s="104">
        <v>5</v>
      </c>
      <c r="G11" s="104">
        <v>4</v>
      </c>
      <c r="H11" s="104">
        <v>3</v>
      </c>
      <c r="I11" s="104">
        <v>2</v>
      </c>
      <c r="J11" s="104">
        <v>1</v>
      </c>
      <c r="K11" s="106">
        <v>0</v>
      </c>
      <c r="L11" s="104">
        <v>1</v>
      </c>
      <c r="M11" s="104">
        <v>2</v>
      </c>
      <c r="N11" s="104">
        <v>3</v>
      </c>
      <c r="O11" s="104">
        <v>4</v>
      </c>
    </row>
    <row r="12" spans="2:15" ht="16.5" thickTop="1" thickBot="1">
      <c r="B12" s="105">
        <v>0.625</v>
      </c>
      <c r="C12" s="107">
        <v>9</v>
      </c>
      <c r="D12" s="108">
        <v>8</v>
      </c>
      <c r="E12" s="107">
        <v>7</v>
      </c>
      <c r="F12" s="107">
        <v>6</v>
      </c>
      <c r="G12" s="104">
        <v>5</v>
      </c>
      <c r="H12" s="104">
        <v>4</v>
      </c>
      <c r="I12" s="104">
        <v>3</v>
      </c>
      <c r="J12" s="104">
        <v>2</v>
      </c>
      <c r="K12" s="104">
        <v>1</v>
      </c>
      <c r="L12" s="106">
        <v>0</v>
      </c>
      <c r="M12" s="104">
        <v>1</v>
      </c>
      <c r="N12" s="104">
        <v>2</v>
      </c>
      <c r="O12" s="104">
        <v>3</v>
      </c>
    </row>
    <row r="13" spans="2:15" ht="16.5" thickTop="1" thickBot="1">
      <c r="B13" s="105">
        <v>0.66666666666666696</v>
      </c>
      <c r="C13" s="107">
        <v>10</v>
      </c>
      <c r="D13" s="107">
        <v>9</v>
      </c>
      <c r="E13" s="108">
        <v>8</v>
      </c>
      <c r="F13" s="107">
        <v>7</v>
      </c>
      <c r="G13" s="107">
        <v>6</v>
      </c>
      <c r="H13" s="104">
        <v>5</v>
      </c>
      <c r="I13" s="104">
        <v>4</v>
      </c>
      <c r="J13" s="104">
        <v>3</v>
      </c>
      <c r="K13" s="104">
        <v>2</v>
      </c>
      <c r="L13" s="104">
        <v>1</v>
      </c>
      <c r="M13" s="106">
        <v>0</v>
      </c>
      <c r="N13" s="104">
        <v>1</v>
      </c>
      <c r="O13" s="104">
        <v>2</v>
      </c>
    </row>
    <row r="14" spans="2:15" ht="16.5" thickTop="1" thickBot="1">
      <c r="B14" s="105">
        <v>0.70833333333333404</v>
      </c>
      <c r="C14" s="107">
        <v>11</v>
      </c>
      <c r="D14" s="107">
        <v>10</v>
      </c>
      <c r="E14" s="107">
        <v>9</v>
      </c>
      <c r="F14" s="108">
        <v>8</v>
      </c>
      <c r="G14" s="107">
        <v>7</v>
      </c>
      <c r="H14" s="107">
        <v>6</v>
      </c>
      <c r="I14" s="104">
        <v>5</v>
      </c>
      <c r="J14" s="104">
        <v>4</v>
      </c>
      <c r="K14" s="104">
        <v>3</v>
      </c>
      <c r="L14" s="104">
        <v>2</v>
      </c>
      <c r="M14" s="104">
        <v>1</v>
      </c>
      <c r="N14" s="106">
        <v>0</v>
      </c>
      <c r="O14" s="104">
        <v>1</v>
      </c>
    </row>
    <row r="15" spans="2:15" ht="16.5" thickTop="1" thickBot="1">
      <c r="B15" s="105">
        <v>0.75</v>
      </c>
      <c r="C15" s="107">
        <v>12</v>
      </c>
      <c r="D15" s="107">
        <v>11</v>
      </c>
      <c r="E15" s="107">
        <v>10</v>
      </c>
      <c r="F15" s="107">
        <v>9</v>
      </c>
      <c r="G15" s="108">
        <v>8</v>
      </c>
      <c r="H15" s="107">
        <v>7</v>
      </c>
      <c r="I15" s="107">
        <v>6</v>
      </c>
      <c r="J15" s="104">
        <v>5</v>
      </c>
      <c r="K15" s="104">
        <v>4</v>
      </c>
      <c r="L15" s="104">
        <v>3</v>
      </c>
      <c r="M15" s="104">
        <v>2</v>
      </c>
      <c r="N15" s="104">
        <v>1</v>
      </c>
      <c r="O15" s="106">
        <v>0</v>
      </c>
    </row>
    <row r="16" spans="2:15" ht="15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B16D-C2CA-4A49-BFE3-13C472F21237}">
  <dimension ref="B1:AB54"/>
  <sheetViews>
    <sheetView workbookViewId="0">
      <selection activeCell="F49" sqref="F49"/>
    </sheetView>
  </sheetViews>
  <sheetFormatPr defaultRowHeight="15"/>
  <cols>
    <col min="2" max="2" width="10.5703125" bestFit="1" customWidth="1"/>
    <col min="3" max="3" width="20.42578125" bestFit="1" customWidth="1"/>
    <col min="4" max="4" width="11" bestFit="1" customWidth="1"/>
    <col min="6" max="6" width="9.7109375" bestFit="1" customWidth="1"/>
    <col min="10" max="10" width="8.85546875" customWidth="1"/>
    <col min="19" max="20" width="9.140625" bestFit="1" customWidth="1"/>
  </cols>
  <sheetData>
    <row r="1" spans="2:28">
      <c r="B1" t="s">
        <v>310</v>
      </c>
      <c r="I1" t="s">
        <v>311</v>
      </c>
    </row>
    <row r="2" spans="2:28" ht="15.75" thickBot="1">
      <c r="B2" s="268" t="s">
        <v>237</v>
      </c>
      <c r="C2" s="269"/>
      <c r="D2" s="138" t="s">
        <v>1</v>
      </c>
      <c r="E2" s="139"/>
      <c r="F2" s="138"/>
      <c r="G2" s="47"/>
      <c r="H2" s="47"/>
      <c r="I2" s="47"/>
      <c r="J2" s="47"/>
      <c r="K2" s="47"/>
      <c r="L2" s="50" t="s">
        <v>44</v>
      </c>
      <c r="M2" s="51" t="s">
        <v>45</v>
      </c>
      <c r="N2" s="52" t="s">
        <v>33</v>
      </c>
      <c r="O2" s="53" t="s">
        <v>110</v>
      </c>
      <c r="P2" s="27" t="s">
        <v>35</v>
      </c>
      <c r="Q2" s="21" t="s">
        <v>48</v>
      </c>
      <c r="R2" s="53" t="s">
        <v>49</v>
      </c>
      <c r="S2" s="27" t="s">
        <v>111</v>
      </c>
      <c r="T2" s="113" t="s">
        <v>112</v>
      </c>
      <c r="U2" s="53" t="s">
        <v>113</v>
      </c>
      <c r="V2" s="27" t="s">
        <v>114</v>
      </c>
      <c r="W2" s="162" t="s">
        <v>115</v>
      </c>
      <c r="X2" s="29" t="s">
        <v>108</v>
      </c>
      <c r="Y2" s="165" t="s">
        <v>302</v>
      </c>
    </row>
    <row r="3" spans="2:28" ht="15.75" thickTop="1">
      <c r="B3" t="s">
        <v>304</v>
      </c>
      <c r="C3" s="148">
        <v>8500</v>
      </c>
      <c r="D3" s="88"/>
      <c r="E3" t="s">
        <v>384</v>
      </c>
      <c r="F3" s="47"/>
      <c r="G3" s="47"/>
      <c r="H3" s="254" t="s">
        <v>236</v>
      </c>
      <c r="I3" s="254"/>
      <c r="J3" s="254"/>
      <c r="K3" s="254"/>
      <c r="L3" s="148"/>
      <c r="M3" s="148"/>
      <c r="N3" s="148"/>
      <c r="O3" s="148"/>
      <c r="P3" s="148"/>
      <c r="Q3" s="148"/>
      <c r="R3" s="148">
        <v>17500</v>
      </c>
      <c r="S3" s="148">
        <v>17500</v>
      </c>
      <c r="T3" s="148">
        <v>17500</v>
      </c>
      <c r="U3" s="148">
        <v>17500</v>
      </c>
      <c r="V3" s="148">
        <v>17500</v>
      </c>
      <c r="W3" s="148">
        <v>17500</v>
      </c>
      <c r="X3" s="29">
        <f t="shared" ref="X3:X19" si="0">SUM(L3:W3)</f>
        <v>105000</v>
      </c>
      <c r="Y3" s="165">
        <f>AVERAGE(L3:W3)</f>
        <v>17500</v>
      </c>
    </row>
    <row r="4" spans="2:28">
      <c r="B4" s="26"/>
      <c r="C4" s="47"/>
      <c r="D4" s="61">
        <v>4400</v>
      </c>
      <c r="E4" t="s">
        <v>385</v>
      </c>
      <c r="F4" s="47"/>
      <c r="G4" s="47"/>
      <c r="H4" s="255" t="s">
        <v>239</v>
      </c>
      <c r="I4" s="255"/>
      <c r="J4" s="255"/>
      <c r="K4" s="256"/>
      <c r="L4" s="160"/>
      <c r="M4" s="58"/>
      <c r="N4" s="58"/>
      <c r="O4" s="58"/>
      <c r="P4" s="58"/>
      <c r="Q4" s="58"/>
      <c r="R4" s="58">
        <f>D17*-1</f>
        <v>-1100</v>
      </c>
      <c r="S4" s="58">
        <f>D17*-1</f>
        <v>-1100</v>
      </c>
      <c r="T4" s="58">
        <f>D17*-1</f>
        <v>-1100</v>
      </c>
      <c r="U4" s="58">
        <f>D17*-1</f>
        <v>-1100</v>
      </c>
      <c r="V4" s="58">
        <f>D17*-1</f>
        <v>-1100</v>
      </c>
      <c r="W4" s="163">
        <f>D17*-1</f>
        <v>-1100</v>
      </c>
      <c r="X4" s="29">
        <f t="shared" si="0"/>
        <v>-6600</v>
      </c>
      <c r="Y4" s="165">
        <f t="shared" ref="Y4:Y22" si="1">AVERAGE(L4:W4)</f>
        <v>-1100</v>
      </c>
      <c r="Z4" s="255" t="s">
        <v>239</v>
      </c>
      <c r="AA4" s="255"/>
      <c r="AB4" s="255"/>
    </row>
    <row r="5" spans="2:28" ht="15.75">
      <c r="C5" s="147"/>
      <c r="D5" s="61"/>
      <c r="E5" t="s">
        <v>142</v>
      </c>
      <c r="F5" s="47"/>
      <c r="G5" s="47"/>
      <c r="H5" s="257" t="s">
        <v>149</v>
      </c>
      <c r="I5" s="257"/>
      <c r="J5" s="257"/>
      <c r="K5" s="257"/>
      <c r="W5">
        <v>0</v>
      </c>
      <c r="X5" s="29">
        <f t="shared" si="0"/>
        <v>0</v>
      </c>
      <c r="Y5" s="165">
        <f t="shared" si="1"/>
        <v>0</v>
      </c>
      <c r="Z5" s="257" t="s">
        <v>149</v>
      </c>
      <c r="AA5" s="257"/>
      <c r="AB5" s="257"/>
    </row>
    <row r="6" spans="2:28" ht="15.75">
      <c r="B6" s="47"/>
      <c r="C6" s="147"/>
      <c r="D6" s="61">
        <v>3000</v>
      </c>
      <c r="E6" t="s">
        <v>6</v>
      </c>
      <c r="F6" s="47"/>
      <c r="G6" s="47"/>
      <c r="H6" s="258" t="s">
        <v>276</v>
      </c>
      <c r="I6" s="258"/>
      <c r="J6" s="258"/>
      <c r="K6" s="258"/>
      <c r="W6">
        <v>0</v>
      </c>
      <c r="X6" s="29">
        <f t="shared" si="0"/>
        <v>0</v>
      </c>
      <c r="Y6" s="165">
        <f t="shared" si="1"/>
        <v>0</v>
      </c>
      <c r="Z6" s="258" t="s">
        <v>276</v>
      </c>
      <c r="AA6" s="258"/>
      <c r="AB6" s="258"/>
    </row>
    <row r="7" spans="2:28">
      <c r="B7" s="47"/>
      <c r="D7" s="42"/>
      <c r="E7" t="s">
        <v>305</v>
      </c>
      <c r="F7" s="47"/>
      <c r="G7" s="47"/>
      <c r="H7" s="259" t="s">
        <v>65</v>
      </c>
      <c r="I7" s="259"/>
      <c r="J7" s="259"/>
      <c r="K7" s="259"/>
      <c r="W7">
        <v>0</v>
      </c>
      <c r="X7" s="29">
        <f t="shared" si="0"/>
        <v>0</v>
      </c>
      <c r="Y7" s="165">
        <f t="shared" si="1"/>
        <v>0</v>
      </c>
      <c r="Z7" s="259" t="s">
        <v>65</v>
      </c>
      <c r="AA7" s="259"/>
      <c r="AB7" s="259"/>
    </row>
    <row r="8" spans="2:28">
      <c r="B8" s="47"/>
      <c r="D8" s="42"/>
      <c r="E8" t="s">
        <v>314</v>
      </c>
      <c r="F8" s="47"/>
      <c r="G8" s="47"/>
      <c r="H8" s="259" t="s">
        <v>105</v>
      </c>
      <c r="I8" s="259"/>
      <c r="J8" s="259"/>
      <c r="K8" s="259"/>
      <c r="W8">
        <v>0</v>
      </c>
      <c r="X8" s="29">
        <f t="shared" si="0"/>
        <v>0</v>
      </c>
      <c r="Y8" s="165">
        <f t="shared" si="1"/>
        <v>0</v>
      </c>
      <c r="Z8" s="259" t="s">
        <v>105</v>
      </c>
      <c r="AA8" s="259"/>
      <c r="AB8" s="259"/>
    </row>
    <row r="9" spans="2:28">
      <c r="B9" s="47"/>
      <c r="C9" s="47"/>
      <c r="D9" s="135">
        <v>0</v>
      </c>
      <c r="E9" t="s">
        <v>307</v>
      </c>
      <c r="F9" s="47"/>
      <c r="G9" s="47"/>
      <c r="H9" s="258"/>
      <c r="I9" s="258"/>
      <c r="J9" s="258"/>
      <c r="K9" s="258"/>
      <c r="W9">
        <v>0</v>
      </c>
      <c r="X9" s="29">
        <f t="shared" si="0"/>
        <v>0</v>
      </c>
      <c r="Y9" s="165">
        <f t="shared" si="1"/>
        <v>0</v>
      </c>
      <c r="Z9" s="258" t="s">
        <v>291</v>
      </c>
      <c r="AA9" s="258"/>
      <c r="AB9" s="258"/>
    </row>
    <row r="10" spans="2:28">
      <c r="B10" s="47"/>
      <c r="C10" s="47"/>
      <c r="D10" s="135">
        <v>0</v>
      </c>
      <c r="E10" t="s">
        <v>306</v>
      </c>
      <c r="G10" s="47"/>
      <c r="H10" s="258" t="s">
        <v>269</v>
      </c>
      <c r="I10" s="258"/>
      <c r="J10" s="258"/>
      <c r="K10" s="258"/>
      <c r="W10">
        <v>0</v>
      </c>
      <c r="X10" s="29">
        <f t="shared" si="0"/>
        <v>0</v>
      </c>
      <c r="Y10" s="165">
        <f t="shared" si="1"/>
        <v>0</v>
      </c>
      <c r="Z10" s="258" t="s">
        <v>269</v>
      </c>
      <c r="AA10" s="258"/>
      <c r="AB10" s="258"/>
    </row>
    <row r="11" spans="2:28">
      <c r="B11" s="47"/>
      <c r="C11" s="151" t="s">
        <v>308</v>
      </c>
      <c r="D11" s="47"/>
      <c r="G11" s="47"/>
      <c r="H11" s="258" t="s">
        <v>301</v>
      </c>
      <c r="I11" s="258"/>
      <c r="J11" s="258"/>
      <c r="K11" s="258"/>
      <c r="W11">
        <v>0</v>
      </c>
      <c r="X11" s="29">
        <f t="shared" si="0"/>
        <v>0</v>
      </c>
      <c r="Y11" s="165">
        <f t="shared" si="1"/>
        <v>0</v>
      </c>
      <c r="Z11" s="258" t="s">
        <v>301</v>
      </c>
      <c r="AA11" s="258"/>
      <c r="AB11" s="258"/>
    </row>
    <row r="12" spans="2:28">
      <c r="B12" s="47"/>
      <c r="C12" s="149" t="s">
        <v>21</v>
      </c>
      <c r="D12" s="155">
        <f>D3</f>
        <v>0</v>
      </c>
      <c r="G12" s="47"/>
      <c r="H12" s="259" t="s">
        <v>95</v>
      </c>
      <c r="I12" s="259"/>
      <c r="J12" s="259"/>
      <c r="K12" s="259"/>
      <c r="W12">
        <v>0</v>
      </c>
      <c r="X12" s="29">
        <f t="shared" si="0"/>
        <v>0</v>
      </c>
      <c r="Y12" s="165">
        <f t="shared" si="1"/>
        <v>0</v>
      </c>
      <c r="Z12" s="259" t="s">
        <v>95</v>
      </c>
      <c r="AA12" s="259"/>
      <c r="AB12" s="259"/>
    </row>
    <row r="13" spans="2:28">
      <c r="B13" s="47"/>
      <c r="C13" s="150" t="s">
        <v>23</v>
      </c>
      <c r="D13" s="156">
        <f>SUM(D4:D6)</f>
        <v>7400</v>
      </c>
      <c r="G13" s="47"/>
      <c r="H13" s="259" t="s">
        <v>67</v>
      </c>
      <c r="I13" s="259"/>
      <c r="J13" s="259"/>
      <c r="K13" s="259"/>
      <c r="W13">
        <v>0</v>
      </c>
      <c r="X13" s="29">
        <f t="shared" si="0"/>
        <v>0</v>
      </c>
      <c r="Y13" s="165">
        <f t="shared" si="1"/>
        <v>0</v>
      </c>
      <c r="Z13" s="259" t="s">
        <v>67</v>
      </c>
      <c r="AA13" s="259"/>
      <c r="AB13" s="259"/>
    </row>
    <row r="14" spans="2:28">
      <c r="B14" s="47"/>
      <c r="C14" s="157" t="s">
        <v>24</v>
      </c>
      <c r="D14" s="158">
        <f>SUM(D7:D8)</f>
        <v>0</v>
      </c>
      <c r="G14" s="47"/>
      <c r="H14" s="258" t="s">
        <v>299</v>
      </c>
      <c r="I14" s="258"/>
      <c r="J14" s="258"/>
      <c r="K14" s="258"/>
      <c r="R14" s="114"/>
      <c r="W14">
        <v>0</v>
      </c>
      <c r="X14" s="29">
        <f t="shared" si="0"/>
        <v>0</v>
      </c>
      <c r="Y14" s="165">
        <f t="shared" si="1"/>
        <v>0</v>
      </c>
      <c r="Z14" s="258" t="s">
        <v>299</v>
      </c>
      <c r="AA14" s="258"/>
      <c r="AB14" s="258"/>
    </row>
    <row r="15" spans="2:28">
      <c r="B15" s="47"/>
      <c r="C15" s="159" t="s">
        <v>20</v>
      </c>
      <c r="D15" s="47">
        <f>SUM(D9:D10)</f>
        <v>0</v>
      </c>
      <c r="G15" s="47"/>
      <c r="H15" s="258" t="s">
        <v>313</v>
      </c>
      <c r="I15" s="258"/>
      <c r="J15" s="258"/>
      <c r="K15" s="258"/>
      <c r="R15" s="114"/>
      <c r="W15">
        <v>0</v>
      </c>
      <c r="X15" s="29">
        <f t="shared" si="0"/>
        <v>0</v>
      </c>
      <c r="Y15" s="165">
        <f t="shared" si="1"/>
        <v>0</v>
      </c>
      <c r="Z15" s="258" t="s">
        <v>264</v>
      </c>
      <c r="AA15" s="258"/>
      <c r="AB15" s="258"/>
    </row>
    <row r="16" spans="2:28" ht="19.5" thickBot="1">
      <c r="B16" s="47"/>
      <c r="C16" s="152" t="s">
        <v>312</v>
      </c>
      <c r="D16" s="152">
        <f>SUM(D12:D15)</f>
        <v>7400</v>
      </c>
      <c r="G16" s="47"/>
      <c r="H16" s="259" t="s">
        <v>58</v>
      </c>
      <c r="I16" s="259"/>
      <c r="J16" s="259"/>
      <c r="K16" s="259"/>
      <c r="W16">
        <v>0</v>
      </c>
      <c r="X16" s="29">
        <f t="shared" si="0"/>
        <v>0</v>
      </c>
      <c r="Y16" s="165">
        <f t="shared" si="1"/>
        <v>0</v>
      </c>
      <c r="Z16" s="259" t="s">
        <v>58</v>
      </c>
      <c r="AA16" s="259"/>
      <c r="AB16" s="259"/>
    </row>
    <row r="17" spans="2:28" ht="19.5" thickBot="1">
      <c r="B17" s="47"/>
      <c r="C17" s="153" t="s">
        <v>316</v>
      </c>
      <c r="D17" s="154">
        <f>C3-D16</f>
        <v>1100</v>
      </c>
      <c r="G17" s="47"/>
      <c r="H17" s="258" t="s">
        <v>250</v>
      </c>
      <c r="I17" s="258"/>
      <c r="J17" s="258"/>
      <c r="K17" s="258"/>
      <c r="W17">
        <v>0</v>
      </c>
      <c r="X17" s="29">
        <f t="shared" si="0"/>
        <v>0</v>
      </c>
      <c r="Y17" s="165">
        <f t="shared" si="1"/>
        <v>0</v>
      </c>
      <c r="Z17" s="258" t="s">
        <v>250</v>
      </c>
      <c r="AA17" s="258"/>
      <c r="AB17" s="258"/>
    </row>
    <row r="18" spans="2:28">
      <c r="B18" s="47"/>
      <c r="G18" s="47"/>
      <c r="H18" s="258" t="s">
        <v>263</v>
      </c>
      <c r="I18" s="258"/>
      <c r="J18" s="258"/>
      <c r="K18" s="258"/>
      <c r="W18">
        <v>0</v>
      </c>
      <c r="X18" s="29">
        <f t="shared" si="0"/>
        <v>0</v>
      </c>
      <c r="Y18" s="165">
        <f t="shared" si="1"/>
        <v>0</v>
      </c>
      <c r="Z18" s="258" t="s">
        <v>268</v>
      </c>
      <c r="AA18" s="258"/>
      <c r="AB18" s="258"/>
    </row>
    <row r="19" spans="2:28">
      <c r="B19" s="47"/>
      <c r="H19" s="265" t="s">
        <v>6</v>
      </c>
      <c r="I19" s="265"/>
      <c r="J19" s="265"/>
      <c r="K19" s="265"/>
      <c r="W19">
        <v>0</v>
      </c>
      <c r="X19" s="29">
        <f t="shared" si="0"/>
        <v>0</v>
      </c>
      <c r="Y19" s="165">
        <f t="shared" si="1"/>
        <v>0</v>
      </c>
      <c r="Z19" s="265" t="s">
        <v>6</v>
      </c>
      <c r="AA19" s="265"/>
      <c r="AB19" s="265"/>
    </row>
    <row r="20" spans="2:28">
      <c r="B20" s="47"/>
      <c r="H20" s="266" t="s">
        <v>60</v>
      </c>
      <c r="I20" s="266"/>
      <c r="J20" s="266"/>
      <c r="K20" s="266"/>
      <c r="W20">
        <v>0</v>
      </c>
      <c r="X20" s="29">
        <f>SUM(L20:W20)</f>
        <v>0</v>
      </c>
      <c r="Y20" s="165">
        <f t="shared" si="1"/>
        <v>0</v>
      </c>
      <c r="Z20" s="266" t="s">
        <v>60</v>
      </c>
      <c r="AA20" s="266"/>
      <c r="AB20" s="266"/>
    </row>
    <row r="21" spans="2:28">
      <c r="B21" s="47"/>
      <c r="H21" s="262" t="s">
        <v>298</v>
      </c>
      <c r="I21" s="262"/>
      <c r="J21" s="262"/>
      <c r="K21" s="262"/>
      <c r="W21">
        <v>0</v>
      </c>
      <c r="X21" s="29">
        <f>SUM(L21:W21)</f>
        <v>0</v>
      </c>
      <c r="Y21" s="165">
        <f t="shared" si="1"/>
        <v>0</v>
      </c>
      <c r="Z21" s="262" t="s">
        <v>298</v>
      </c>
      <c r="AA21" s="262"/>
      <c r="AB21" s="262"/>
    </row>
    <row r="22" spans="2:28">
      <c r="B22" s="47"/>
      <c r="H22" s="258" t="s">
        <v>297</v>
      </c>
      <c r="I22" s="258"/>
      <c r="J22" s="258"/>
      <c r="K22" s="258"/>
      <c r="W22">
        <v>0</v>
      </c>
      <c r="X22" s="29">
        <f>SUM(L22:W22)</f>
        <v>0</v>
      </c>
      <c r="Y22" s="165">
        <f t="shared" si="1"/>
        <v>0</v>
      </c>
      <c r="Z22" s="258" t="s">
        <v>297</v>
      </c>
      <c r="AA22" s="258"/>
      <c r="AB22" s="258"/>
    </row>
    <row r="23" spans="2:28" ht="15.75" thickBot="1">
      <c r="B23" s="47"/>
      <c r="H23" s="263" t="s">
        <v>300</v>
      </c>
      <c r="I23" s="263"/>
      <c r="J23" s="263"/>
      <c r="K23" s="264"/>
      <c r="L23" s="115">
        <f>SUM(L5:L22)</f>
        <v>0</v>
      </c>
      <c r="M23" s="115">
        <f>SUM(M5:M22)</f>
        <v>0</v>
      </c>
      <c r="N23" s="115">
        <f t="shared" ref="N23:W23" si="2">SUM(N5:N22)</f>
        <v>0</v>
      </c>
      <c r="O23" s="115">
        <f>SUM(O5:O22)</f>
        <v>0</v>
      </c>
      <c r="P23" s="115">
        <f t="shared" si="2"/>
        <v>0</v>
      </c>
      <c r="Q23" s="115">
        <f>SUM(Q5:Q22)</f>
        <v>0</v>
      </c>
      <c r="R23" s="115">
        <f t="shared" si="2"/>
        <v>0</v>
      </c>
      <c r="S23" s="115">
        <f t="shared" si="2"/>
        <v>0</v>
      </c>
      <c r="T23" s="115">
        <f t="shared" si="2"/>
        <v>0</v>
      </c>
      <c r="U23" s="115">
        <f t="shared" si="2"/>
        <v>0</v>
      </c>
      <c r="V23" s="115">
        <f t="shared" si="2"/>
        <v>0</v>
      </c>
      <c r="W23" s="164">
        <f t="shared" si="2"/>
        <v>0</v>
      </c>
      <c r="X23" s="25">
        <f>SUM(X4:X22)+X3</f>
        <v>98400</v>
      </c>
      <c r="Y23" s="25">
        <f>SUM(Y3:Y22)</f>
        <v>16400</v>
      </c>
    </row>
    <row r="24" spans="2:28" ht="15.75" thickBot="1">
      <c r="B24" s="47"/>
      <c r="H24" s="260" t="s">
        <v>61</v>
      </c>
      <c r="I24" s="260"/>
      <c r="J24" s="260"/>
      <c r="K24" s="261"/>
      <c r="L24" s="140">
        <f>L3+SUM(L4:L22)</f>
        <v>0</v>
      </c>
      <c r="M24" s="141">
        <f>M3 + SUM(M4:M22)</f>
        <v>0</v>
      </c>
      <c r="N24" s="141">
        <f>N3 + SUM(N4:N22)</f>
        <v>0</v>
      </c>
      <c r="O24" s="141">
        <f>O3 +SUM(O4:O22)</f>
        <v>0</v>
      </c>
      <c r="P24" s="141">
        <f t="shared" ref="P24:W24" si="3">P3+SUM(P4:P22)</f>
        <v>0</v>
      </c>
      <c r="Q24" s="142">
        <f t="shared" si="3"/>
        <v>0</v>
      </c>
      <c r="R24" s="142">
        <f t="shared" si="3"/>
        <v>16400</v>
      </c>
      <c r="S24" s="141">
        <f t="shared" si="3"/>
        <v>16400</v>
      </c>
      <c r="T24" s="141">
        <f t="shared" si="3"/>
        <v>16400</v>
      </c>
      <c r="U24" s="141">
        <f t="shared" si="3"/>
        <v>16400</v>
      </c>
      <c r="V24" s="141">
        <f t="shared" si="3"/>
        <v>16400</v>
      </c>
      <c r="W24" s="143">
        <f t="shared" si="3"/>
        <v>16400</v>
      </c>
    </row>
    <row r="25" spans="2:28">
      <c r="B25" s="47"/>
      <c r="H25" s="253" t="s">
        <v>62</v>
      </c>
      <c r="I25" s="253"/>
      <c r="J25" s="253"/>
      <c r="K25" s="253"/>
      <c r="L25" s="61">
        <f>L24</f>
        <v>0</v>
      </c>
      <c r="M25" s="61">
        <f>SUM(L24:M24)</f>
        <v>0</v>
      </c>
      <c r="N25" s="61">
        <f>SUM(L24:N24)</f>
        <v>0</v>
      </c>
      <c r="O25" s="61">
        <f>SUM(L24:O24)</f>
        <v>0</v>
      </c>
      <c r="P25" s="61">
        <f>SUM(L24:P24)</f>
        <v>0</v>
      </c>
      <c r="Q25" s="61">
        <f>SUM(L24:Q24)</f>
        <v>0</v>
      </c>
      <c r="R25" s="61">
        <f>SUM(L24:R24)</f>
        <v>16400</v>
      </c>
      <c r="S25" s="61">
        <f>SUM(L24:S24)</f>
        <v>32800</v>
      </c>
      <c r="T25" s="61">
        <f>SUM(L24:T24)</f>
        <v>49200</v>
      </c>
      <c r="U25" s="61">
        <f>SUM(L24:U24)</f>
        <v>65600</v>
      </c>
      <c r="V25" s="61">
        <f>SUM(L24:V24)</f>
        <v>82000</v>
      </c>
      <c r="W25" s="61">
        <f>SUM(L24:W24)</f>
        <v>98400</v>
      </c>
    </row>
    <row r="26" spans="2:28">
      <c r="B26" s="47"/>
      <c r="G26" s="47"/>
      <c r="H26" s="47"/>
      <c r="I26" s="47"/>
    </row>
    <row r="27" spans="2:28">
      <c r="B27" s="47"/>
      <c r="G27" s="47"/>
      <c r="H27" s="47"/>
      <c r="I27" s="47"/>
      <c r="J27" s="47"/>
      <c r="K27" s="47"/>
      <c r="L27" s="47"/>
      <c r="M27" s="47"/>
    </row>
    <row r="28" spans="2:28">
      <c r="B28" s="47"/>
      <c r="H28" s="47"/>
      <c r="I28" s="47"/>
      <c r="J28" s="47"/>
      <c r="K28" s="47"/>
      <c r="L28" s="47"/>
      <c r="M28" s="47"/>
    </row>
    <row r="29" spans="2:28">
      <c r="B29" s="47"/>
      <c r="G29" s="47"/>
      <c r="H29" s="47"/>
      <c r="I29" s="47"/>
      <c r="J29" s="47"/>
      <c r="K29" s="47"/>
      <c r="L29" s="47"/>
      <c r="M29" s="47"/>
    </row>
    <row r="30" spans="2:28">
      <c r="B30" s="47"/>
      <c r="G30" s="47"/>
      <c r="H30" s="47"/>
      <c r="I30" s="47"/>
      <c r="J30" s="47"/>
      <c r="K30" s="47"/>
      <c r="L30" s="47"/>
      <c r="M30" s="47"/>
      <c r="Z30" s="47"/>
      <c r="AA30" s="47"/>
    </row>
    <row r="31" spans="2:28">
      <c r="B31" s="47"/>
      <c r="G31" s="47"/>
      <c r="H31" s="47"/>
      <c r="I31" s="47"/>
      <c r="J31" s="47"/>
      <c r="K31" s="47"/>
      <c r="L31" s="47"/>
      <c r="M31" s="47"/>
      <c r="Z31" s="47"/>
      <c r="AA31" s="47"/>
    </row>
    <row r="32" spans="2:28">
      <c r="B32" s="47"/>
      <c r="G32" s="47"/>
      <c r="H32" s="47"/>
      <c r="I32" s="47"/>
      <c r="J32" s="47"/>
      <c r="K32" s="47"/>
      <c r="L32" s="47"/>
      <c r="M32" s="47"/>
      <c r="Z32" s="47"/>
      <c r="AA32" s="47"/>
    </row>
    <row r="33" spans="2:27">
      <c r="B33" s="47"/>
      <c r="G33" s="47"/>
      <c r="H33" s="47"/>
      <c r="I33" s="47"/>
      <c r="J33" s="47"/>
      <c r="K33" s="47"/>
      <c r="L33" s="47"/>
      <c r="M33" s="47"/>
      <c r="W33" s="47"/>
      <c r="X33" s="47"/>
      <c r="Y33" s="47"/>
      <c r="Z33" s="47"/>
      <c r="AA33" s="47"/>
    </row>
    <row r="34" spans="2:27">
      <c r="B34" s="47"/>
      <c r="C34" s="11" t="s">
        <v>309</v>
      </c>
      <c r="D34" s="11"/>
      <c r="E34" s="11"/>
      <c r="F34" s="11"/>
      <c r="G34" s="47"/>
      <c r="H34" s="47"/>
      <c r="I34" s="47"/>
      <c r="J34" s="47"/>
      <c r="W34" s="47"/>
      <c r="X34" s="47"/>
      <c r="Y34" s="47"/>
      <c r="Z34" s="47"/>
      <c r="AA34" s="47"/>
    </row>
    <row r="35" spans="2:27">
      <c r="B35" s="47"/>
      <c r="D35" s="61" t="s">
        <v>31</v>
      </c>
      <c r="E35" s="61" t="s">
        <v>32</v>
      </c>
      <c r="F35" s="61" t="s">
        <v>33</v>
      </c>
      <c r="G35" s="61" t="s">
        <v>34</v>
      </c>
      <c r="H35" s="61" t="s">
        <v>35</v>
      </c>
      <c r="I35" s="61" t="s">
        <v>36</v>
      </c>
      <c r="J35" s="61" t="s">
        <v>37</v>
      </c>
      <c r="K35" s="61" t="s">
        <v>38</v>
      </c>
      <c r="L35" s="61" t="s">
        <v>39</v>
      </c>
      <c r="M35" s="61" t="s">
        <v>40</v>
      </c>
      <c r="N35" s="61" t="s">
        <v>29</v>
      </c>
      <c r="O35" s="61" t="s">
        <v>30</v>
      </c>
      <c r="W35" s="47"/>
      <c r="X35" s="47"/>
      <c r="Y35" s="47"/>
      <c r="Z35" s="47"/>
      <c r="AA35" s="47"/>
    </row>
    <row r="36" spans="2:27">
      <c r="B36" s="47"/>
      <c r="C36" s="52" t="s">
        <v>41</v>
      </c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5250</v>
      </c>
      <c r="L36" s="93">
        <v>5250</v>
      </c>
      <c r="M36" s="93">
        <v>5250</v>
      </c>
      <c r="N36" s="93">
        <v>5250</v>
      </c>
      <c r="O36" s="93">
        <v>5250</v>
      </c>
      <c r="W36" s="47"/>
      <c r="X36" s="47"/>
      <c r="Y36" s="47"/>
      <c r="Z36" s="47"/>
      <c r="AA36" s="47"/>
    </row>
    <row r="37" spans="2:27">
      <c r="B37" s="47"/>
      <c r="C37" s="52" t="s">
        <v>42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-44</v>
      </c>
      <c r="L37" s="94">
        <v>-44</v>
      </c>
      <c r="M37" s="94">
        <v>-44</v>
      </c>
      <c r="N37" s="94">
        <v>-44</v>
      </c>
      <c r="O37" s="94">
        <v>-44</v>
      </c>
      <c r="W37" s="47"/>
      <c r="X37" s="47"/>
      <c r="Y37" s="47"/>
      <c r="Z37" s="47"/>
      <c r="AA37" s="47"/>
    </row>
    <row r="38" spans="2:27">
      <c r="B38" s="47"/>
      <c r="C38" s="52" t="s">
        <v>43</v>
      </c>
      <c r="D38" s="95">
        <f>D36+D37</f>
        <v>0</v>
      </c>
      <c r="E38" s="96">
        <f t="shared" ref="E38:N38" si="4">D38+E36+E37</f>
        <v>0</v>
      </c>
      <c r="F38" s="96">
        <f t="shared" si="4"/>
        <v>0</v>
      </c>
      <c r="G38" s="96">
        <f t="shared" si="4"/>
        <v>0</v>
      </c>
      <c r="H38" s="96">
        <f t="shared" si="4"/>
        <v>0</v>
      </c>
      <c r="I38" s="96">
        <f t="shared" si="4"/>
        <v>0</v>
      </c>
      <c r="J38" s="96">
        <f t="shared" si="4"/>
        <v>0</v>
      </c>
      <c r="K38" s="96">
        <f t="shared" si="4"/>
        <v>5206</v>
      </c>
      <c r="L38" s="96">
        <f t="shared" si="4"/>
        <v>10412</v>
      </c>
      <c r="M38" s="96">
        <f t="shared" si="4"/>
        <v>15618</v>
      </c>
      <c r="N38" s="96">
        <f t="shared" si="4"/>
        <v>20824</v>
      </c>
      <c r="O38" s="96">
        <f>O36+O37+N38</f>
        <v>26030</v>
      </c>
      <c r="X38" s="47"/>
      <c r="Y38" s="47"/>
      <c r="Z38" s="47"/>
      <c r="AA38" s="47"/>
    </row>
    <row r="39" spans="2:27">
      <c r="B39" s="47"/>
      <c r="C39" s="47"/>
      <c r="D39" s="47"/>
      <c r="E39" s="47"/>
      <c r="F39" s="47"/>
      <c r="G39" s="47"/>
      <c r="I39" s="47"/>
    </row>
    <row r="40" spans="2:27">
      <c r="B40" s="47"/>
      <c r="C40" s="47"/>
      <c r="D40" s="47"/>
      <c r="E40" s="47"/>
      <c r="F40" s="47"/>
    </row>
    <row r="41" spans="2:27">
      <c r="C41" s="47"/>
      <c r="D41" s="47"/>
      <c r="E41" s="47"/>
      <c r="F41" s="47"/>
    </row>
    <row r="42" spans="2:27">
      <c r="C42" s="47"/>
      <c r="D42" s="47"/>
      <c r="E42" s="47"/>
      <c r="F42" s="47"/>
    </row>
    <row r="43" spans="2:27">
      <c r="C43" s="47"/>
      <c r="D43" s="47"/>
      <c r="E43" s="47"/>
      <c r="F43" s="47"/>
    </row>
    <row r="44" spans="2:27">
      <c r="C44" s="47"/>
      <c r="D44" s="47"/>
      <c r="E44" s="47"/>
      <c r="F44" s="47"/>
    </row>
    <row r="47" spans="2:27" ht="26.25">
      <c r="B47" s="267" t="s">
        <v>553</v>
      </c>
      <c r="C47" s="267"/>
      <c r="D47" s="267"/>
      <c r="E47" s="267"/>
      <c r="F47" s="267"/>
    </row>
    <row r="49" spans="2:6">
      <c r="E49" t="s">
        <v>108</v>
      </c>
      <c r="F49">
        <f>SUM(D50:D54)</f>
        <v>4012.5200000000004</v>
      </c>
    </row>
    <row r="50" spans="2:6">
      <c r="B50" s="190">
        <v>44222</v>
      </c>
      <c r="C50" t="s">
        <v>550</v>
      </c>
      <c r="D50">
        <v>1200.4000000000001</v>
      </c>
    </row>
    <row r="51" spans="2:6">
      <c r="B51" s="190">
        <v>44222</v>
      </c>
      <c r="C51" t="s">
        <v>551</v>
      </c>
      <c r="D51">
        <v>586.21</v>
      </c>
    </row>
    <row r="52" spans="2:6">
      <c r="B52" s="190">
        <v>44228</v>
      </c>
      <c r="C52" t="s">
        <v>552</v>
      </c>
      <c r="D52">
        <v>468.6</v>
      </c>
    </row>
    <row r="53" spans="2:6">
      <c r="B53" s="190">
        <v>44228</v>
      </c>
      <c r="C53" t="s">
        <v>550</v>
      </c>
      <c r="D53">
        <v>995.8</v>
      </c>
    </row>
    <row r="54" spans="2:6">
      <c r="B54" s="190">
        <v>44228</v>
      </c>
      <c r="C54" t="s">
        <v>551</v>
      </c>
      <c r="D54">
        <v>761.51</v>
      </c>
    </row>
  </sheetData>
  <mergeCells count="44">
    <mergeCell ref="B47:F47"/>
    <mergeCell ref="B2:C2"/>
    <mergeCell ref="Z4:AB4"/>
    <mergeCell ref="Z5:AB5"/>
    <mergeCell ref="Z9:AB9"/>
    <mergeCell ref="Z10:AB10"/>
    <mergeCell ref="Z11:AB11"/>
    <mergeCell ref="H11:K11"/>
    <mergeCell ref="Z6:AB6"/>
    <mergeCell ref="Z7:AB7"/>
    <mergeCell ref="Z8:AB8"/>
    <mergeCell ref="Z12:AB12"/>
    <mergeCell ref="Z13:AB13"/>
    <mergeCell ref="Z14:AB14"/>
    <mergeCell ref="H12:K12"/>
    <mergeCell ref="H13:K13"/>
    <mergeCell ref="Z15:AB15"/>
    <mergeCell ref="Z16:AB16"/>
    <mergeCell ref="Z17:AB17"/>
    <mergeCell ref="H15:K15"/>
    <mergeCell ref="H16:K16"/>
    <mergeCell ref="H17:K17"/>
    <mergeCell ref="Z18:AB18"/>
    <mergeCell ref="Z19:AB19"/>
    <mergeCell ref="Z20:AB20"/>
    <mergeCell ref="H18:K18"/>
    <mergeCell ref="H19:K19"/>
    <mergeCell ref="H20:K20"/>
    <mergeCell ref="Z21:AB21"/>
    <mergeCell ref="Z22:AB22"/>
    <mergeCell ref="H21:K21"/>
    <mergeCell ref="H22:K22"/>
    <mergeCell ref="H23:K23"/>
    <mergeCell ref="H25:K25"/>
    <mergeCell ref="H3:K3"/>
    <mergeCell ref="H4:K4"/>
    <mergeCell ref="H5:K5"/>
    <mergeCell ref="H6:K6"/>
    <mergeCell ref="H7:K7"/>
    <mergeCell ref="H8:K8"/>
    <mergeCell ref="H9:K9"/>
    <mergeCell ref="H10:K10"/>
    <mergeCell ref="H24:K24"/>
    <mergeCell ref="H14:K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1D36-B2E1-4FAB-B650-B9E2B082374C}">
  <dimension ref="A1:AF111"/>
  <sheetViews>
    <sheetView workbookViewId="0">
      <selection activeCell="C14" sqref="C14"/>
    </sheetView>
  </sheetViews>
  <sheetFormatPr defaultRowHeight="15"/>
  <cols>
    <col min="1" max="1" width="14.85546875" bestFit="1" customWidth="1"/>
    <col min="2" max="2" width="21" bestFit="1" customWidth="1"/>
    <col min="3" max="3" width="20.5703125" customWidth="1"/>
    <col min="4" max="4" width="13.7109375" hidden="1" customWidth="1"/>
    <col min="5" max="5" width="9.140625" hidden="1" customWidth="1"/>
    <col min="6" max="6" width="40.85546875" bestFit="1" customWidth="1"/>
    <col min="7" max="7" width="25" customWidth="1"/>
    <col min="8" max="8" width="15.7109375" customWidth="1"/>
    <col min="11" max="11" width="15.28515625" bestFit="1" customWidth="1"/>
    <col min="14" max="14" width="12.7109375" customWidth="1"/>
    <col min="22" max="22" width="9.7109375" bestFit="1" customWidth="1"/>
    <col min="23" max="23" width="10.85546875" bestFit="1" customWidth="1"/>
    <col min="24" max="24" width="9" bestFit="1" customWidth="1"/>
    <col min="25" max="25" width="10.42578125" bestFit="1" customWidth="1"/>
    <col min="26" max="26" width="10.140625" bestFit="1" customWidth="1"/>
    <col min="28" max="28" width="12" bestFit="1" customWidth="1"/>
  </cols>
  <sheetData>
    <row r="1" spans="1:31" ht="16.5" thickTop="1" thickBot="1">
      <c r="A1" s="274" t="s">
        <v>624</v>
      </c>
      <c r="B1" s="275"/>
      <c r="C1" s="138" t="s">
        <v>1</v>
      </c>
      <c r="D1" s="138"/>
      <c r="E1" s="138"/>
      <c r="F1" s="138"/>
      <c r="H1" s="180" t="s">
        <v>582</v>
      </c>
      <c r="I1" s="180"/>
      <c r="J1" s="180"/>
      <c r="K1" s="276" t="s">
        <v>52</v>
      </c>
      <c r="L1" s="276"/>
      <c r="M1" s="276"/>
      <c r="N1" s="277"/>
      <c r="O1" s="50" t="s">
        <v>44</v>
      </c>
      <c r="P1" s="51" t="s">
        <v>45</v>
      </c>
      <c r="Q1" s="52" t="s">
        <v>33</v>
      </c>
      <c r="R1" s="53" t="s">
        <v>110</v>
      </c>
      <c r="S1" s="27" t="s">
        <v>35</v>
      </c>
      <c r="T1" s="21" t="s">
        <v>48</v>
      </c>
      <c r="U1" s="53" t="s">
        <v>49</v>
      </c>
      <c r="V1" s="27" t="s">
        <v>111</v>
      </c>
      <c r="W1" s="113" t="s">
        <v>112</v>
      </c>
      <c r="X1" s="53" t="s">
        <v>113</v>
      </c>
      <c r="Y1" s="27" t="s">
        <v>114</v>
      </c>
      <c r="Z1" s="21" t="s">
        <v>115</v>
      </c>
      <c r="AA1" s="118" t="s">
        <v>108</v>
      </c>
      <c r="AB1" s="20" t="s">
        <v>302</v>
      </c>
    </row>
    <row r="2" spans="1:31" ht="16.5" thickTop="1" thickBot="1">
      <c r="A2" s="281">
        <v>48929.4</v>
      </c>
      <c r="B2" s="282"/>
      <c r="C2" s="191"/>
      <c r="D2" s="191">
        <v>373.56</v>
      </c>
      <c r="E2" s="191">
        <v>373.56</v>
      </c>
      <c r="F2" s="191" t="s">
        <v>465</v>
      </c>
      <c r="H2" s="180">
        <f>C33+C34</f>
        <v>25499.699999999997</v>
      </c>
      <c r="I2" s="180"/>
      <c r="J2" s="180"/>
      <c r="K2" s="278" t="s">
        <v>543</v>
      </c>
      <c r="L2" s="278"/>
      <c r="M2" s="278"/>
      <c r="N2" s="278"/>
      <c r="O2" s="47">
        <v>46239.28</v>
      </c>
      <c r="P2" s="47">
        <v>46239.28</v>
      </c>
      <c r="Q2" s="47">
        <v>46239.28</v>
      </c>
      <c r="R2" s="47">
        <v>46239.28</v>
      </c>
      <c r="S2" s="47">
        <v>46239.28</v>
      </c>
      <c r="T2" s="47">
        <v>48929.4</v>
      </c>
      <c r="U2" s="47">
        <v>48929.4</v>
      </c>
      <c r="V2" s="47">
        <v>48929.4</v>
      </c>
      <c r="W2" s="47">
        <v>48929.4</v>
      </c>
      <c r="X2" s="47">
        <v>48929.4</v>
      </c>
      <c r="Y2" s="47">
        <v>48929.4</v>
      </c>
      <c r="Z2" s="47">
        <v>48929.4</v>
      </c>
      <c r="AA2" s="118">
        <f>SUM(O2:Z2)</f>
        <v>573702.20000000007</v>
      </c>
      <c r="AB2" s="20">
        <f>AVERAGE(O2:Z2)</f>
        <v>47808.51666666667</v>
      </c>
    </row>
    <row r="3" spans="1:31" ht="16.5" thickTop="1" thickBot="1">
      <c r="A3" s="26"/>
      <c r="B3" s="47"/>
      <c r="C3" s="191"/>
      <c r="D3" s="191">
        <v>2891.88</v>
      </c>
      <c r="E3" s="191">
        <v>2891.88</v>
      </c>
      <c r="F3" s="191" t="s">
        <v>278</v>
      </c>
      <c r="I3" s="47"/>
      <c r="J3" s="47"/>
      <c r="K3" s="217"/>
      <c r="L3" s="217"/>
      <c r="M3" s="217"/>
      <c r="N3" s="217" t="s">
        <v>580</v>
      </c>
      <c r="O3" s="47">
        <v>876.6</v>
      </c>
      <c r="P3" s="47"/>
      <c r="Q3" s="47"/>
      <c r="R3" s="47"/>
      <c r="T3" s="47"/>
      <c r="U3" s="47"/>
      <c r="V3" s="47"/>
      <c r="W3" s="47"/>
      <c r="X3" s="47"/>
      <c r="Y3" s="47"/>
      <c r="Z3" s="47"/>
      <c r="AA3" s="118"/>
      <c r="AB3" s="20"/>
      <c r="AC3" s="279" t="s">
        <v>480</v>
      </c>
      <c r="AD3" s="280"/>
      <c r="AE3" s="280"/>
    </row>
    <row r="4" spans="1:31" ht="16.5" thickTop="1" thickBot="1">
      <c r="A4" s="47"/>
      <c r="C4" s="191">
        <v>2139.86</v>
      </c>
      <c r="D4" s="191">
        <v>2139.86</v>
      </c>
      <c r="E4" s="191">
        <v>1945.33</v>
      </c>
      <c r="F4" s="191" t="s">
        <v>453</v>
      </c>
      <c r="H4" s="125" t="s">
        <v>503</v>
      </c>
      <c r="I4" s="47">
        <f>A2*0.3</f>
        <v>14678.82</v>
      </c>
      <c r="K4" s="270" t="s">
        <v>504</v>
      </c>
      <c r="L4" s="270"/>
      <c r="M4" s="270"/>
      <c r="N4" s="271"/>
      <c r="O4" s="56">
        <v>2009</v>
      </c>
      <c r="P4" s="56">
        <v>4004</v>
      </c>
      <c r="Q4" s="56" t="s">
        <v>579</v>
      </c>
      <c r="R4" s="56" t="s">
        <v>578</v>
      </c>
      <c r="S4" s="56">
        <v>3414</v>
      </c>
      <c r="T4" s="56">
        <v>3869</v>
      </c>
      <c r="U4" s="56"/>
      <c r="V4" s="56">
        <f>8000+6622.06</f>
        <v>14622.060000000001</v>
      </c>
      <c r="W4" s="56"/>
      <c r="X4" s="56"/>
      <c r="Y4" s="56"/>
      <c r="Z4" s="56"/>
      <c r="AA4" s="118">
        <f>SUM(O4:Z4)</f>
        <v>27918.06</v>
      </c>
      <c r="AB4" s="20">
        <f>AVERAGE(O4:Z4)</f>
        <v>5583.6120000000001</v>
      </c>
      <c r="AC4" s="272" t="s">
        <v>63</v>
      </c>
      <c r="AD4" s="272"/>
      <c r="AE4" s="273"/>
    </row>
    <row r="5" spans="1:31" ht="16.5" thickTop="1" thickBot="1">
      <c r="C5" s="191">
        <v>754.37</v>
      </c>
      <c r="D5" s="191">
        <v>754.37</v>
      </c>
      <c r="E5" s="191">
        <v>694</v>
      </c>
      <c r="F5" s="191" t="s">
        <v>576</v>
      </c>
      <c r="K5" s="283" t="s">
        <v>149</v>
      </c>
      <c r="L5" s="283"/>
      <c r="M5" s="283"/>
      <c r="N5" s="284"/>
      <c r="O5" s="202"/>
      <c r="Z5">
        <v>1</v>
      </c>
      <c r="AA5" s="118">
        <f>SUM(O5:Z5)</f>
        <v>1</v>
      </c>
      <c r="AB5" s="20">
        <f>AVERAGE(O5:Z5)</f>
        <v>1</v>
      </c>
      <c r="AC5" s="257"/>
      <c r="AD5" s="257"/>
      <c r="AE5" s="257"/>
    </row>
    <row r="6" spans="1:31" ht="16.5" thickTop="1" thickBot="1">
      <c r="C6" s="191">
        <v>159</v>
      </c>
      <c r="D6" s="191">
        <v>159</v>
      </c>
      <c r="E6" s="191">
        <v>140</v>
      </c>
      <c r="F6" s="191" t="s">
        <v>248</v>
      </c>
      <c r="K6" s="213"/>
      <c r="L6" s="213"/>
      <c r="M6" s="213"/>
      <c r="N6" s="213" t="s">
        <v>480</v>
      </c>
      <c r="O6" s="202"/>
      <c r="Z6">
        <v>1</v>
      </c>
      <c r="AA6" s="118"/>
      <c r="AB6" s="20"/>
      <c r="AC6" s="285"/>
      <c r="AD6" s="257"/>
      <c r="AE6" s="257"/>
    </row>
    <row r="7" spans="1:31" ht="16.5" thickTop="1" thickBot="1">
      <c r="A7" s="47"/>
      <c r="B7" s="47"/>
      <c r="C7" s="191"/>
      <c r="D7" s="191"/>
      <c r="E7" s="191">
        <v>868</v>
      </c>
      <c r="F7" s="191" t="s">
        <v>138</v>
      </c>
      <c r="K7" s="213"/>
      <c r="L7" s="213"/>
      <c r="M7" s="213"/>
      <c r="N7" s="213" t="s">
        <v>512</v>
      </c>
      <c r="O7" s="202"/>
      <c r="Z7">
        <v>1</v>
      </c>
      <c r="AA7" s="118"/>
      <c r="AB7" s="20"/>
      <c r="AC7" s="225"/>
      <c r="AD7" s="224"/>
      <c r="AE7" s="224"/>
    </row>
    <row r="8" spans="1:31" ht="16.5" thickTop="1" thickBot="1">
      <c r="A8" s="47"/>
      <c r="B8" s="47"/>
      <c r="C8" s="191">
        <v>727</v>
      </c>
      <c r="D8" s="191">
        <v>777</v>
      </c>
      <c r="E8" s="191">
        <v>777</v>
      </c>
      <c r="F8" s="191" t="s">
        <v>144</v>
      </c>
      <c r="K8" s="213"/>
      <c r="L8" s="213"/>
      <c r="M8" s="213"/>
      <c r="N8" s="213" t="s">
        <v>511</v>
      </c>
      <c r="O8" s="202"/>
      <c r="Z8">
        <v>1</v>
      </c>
      <c r="AA8" s="118"/>
      <c r="AB8" s="20"/>
      <c r="AC8" s="225"/>
      <c r="AD8" s="224"/>
      <c r="AE8" s="224"/>
    </row>
    <row r="9" spans="1:31" ht="16.5" customHeight="1" thickTop="1" thickBot="1">
      <c r="A9" s="47"/>
      <c r="B9" s="47"/>
      <c r="C9" s="191">
        <v>280</v>
      </c>
      <c r="D9" s="191"/>
      <c r="E9" s="191"/>
      <c r="F9" s="191" t="s">
        <v>343</v>
      </c>
      <c r="K9" s="213"/>
      <c r="L9" s="213"/>
      <c r="M9" s="213"/>
      <c r="N9" s="213" t="s">
        <v>570</v>
      </c>
      <c r="O9" s="202"/>
      <c r="Z9">
        <v>1</v>
      </c>
      <c r="AA9" s="118"/>
      <c r="AB9" s="20"/>
      <c r="AC9" s="225"/>
      <c r="AD9" s="224"/>
      <c r="AE9" s="224"/>
    </row>
    <row r="10" spans="1:31" ht="16.5" thickTop="1" thickBot="1">
      <c r="A10" s="47"/>
      <c r="B10" s="47"/>
      <c r="C10" s="191"/>
      <c r="D10" s="191">
        <v>610</v>
      </c>
      <c r="E10" s="191">
        <v>598</v>
      </c>
      <c r="F10" s="191" t="s">
        <v>464</v>
      </c>
      <c r="K10" s="213"/>
      <c r="L10" s="213"/>
      <c r="M10" s="213"/>
      <c r="N10" s="213" t="s">
        <v>587</v>
      </c>
      <c r="O10" s="202"/>
      <c r="AA10" s="118"/>
      <c r="AB10" s="20"/>
      <c r="AC10" s="225"/>
      <c r="AD10" s="224"/>
      <c r="AE10" s="224"/>
    </row>
    <row r="11" spans="1:31" ht="16.5" thickTop="1" thickBot="1">
      <c r="C11" s="191">
        <v>312.8</v>
      </c>
      <c r="D11" s="191">
        <v>312.8</v>
      </c>
      <c r="E11" s="191">
        <v>312.8</v>
      </c>
      <c r="F11" s="191" t="s">
        <v>455</v>
      </c>
      <c r="K11" s="213"/>
      <c r="L11" s="213"/>
      <c r="M11" s="213"/>
      <c r="N11" s="213" t="s">
        <v>572</v>
      </c>
      <c r="O11" s="202"/>
      <c r="Z11">
        <v>1</v>
      </c>
      <c r="AA11" s="118"/>
      <c r="AB11" s="20"/>
      <c r="AC11" s="225"/>
      <c r="AD11" s="224"/>
      <c r="AE11" s="224"/>
    </row>
    <row r="12" spans="1:31" ht="16.5" thickTop="1" thickBot="1">
      <c r="C12" s="191">
        <f>57+50+56+166+166</f>
        <v>495</v>
      </c>
      <c r="D12" s="191">
        <f>57+50+56+166+166</f>
        <v>495</v>
      </c>
      <c r="E12" s="191">
        <f>57+50+56+166+166</f>
        <v>495</v>
      </c>
      <c r="F12" s="191" t="s">
        <v>627</v>
      </c>
      <c r="K12" s="213"/>
      <c r="L12" s="213"/>
      <c r="M12" s="213"/>
      <c r="N12" s="213" t="s">
        <v>535</v>
      </c>
      <c r="O12" s="202"/>
      <c r="Z12">
        <v>1</v>
      </c>
      <c r="AA12" s="118"/>
      <c r="AB12" s="20"/>
      <c r="AC12" s="225"/>
      <c r="AD12" s="224"/>
      <c r="AE12" s="224"/>
    </row>
    <row r="13" spans="1:31" ht="16.5" thickTop="1" thickBot="1">
      <c r="A13" s="47"/>
      <c r="B13" s="47"/>
      <c r="C13" s="192">
        <f>230+69</f>
        <v>299</v>
      </c>
      <c r="D13" s="192">
        <v>3000</v>
      </c>
      <c r="E13" s="192"/>
      <c r="F13" s="192" t="s">
        <v>636</v>
      </c>
      <c r="G13" t="s">
        <v>604</v>
      </c>
      <c r="K13" s="213"/>
      <c r="L13" s="213"/>
      <c r="M13" s="213"/>
      <c r="N13" s="213" t="s">
        <v>536</v>
      </c>
      <c r="O13" s="202"/>
      <c r="Z13">
        <v>1</v>
      </c>
      <c r="AA13" s="118"/>
      <c r="AB13" s="20"/>
      <c r="AC13" s="225"/>
      <c r="AD13" s="224"/>
      <c r="AE13" s="224"/>
    </row>
    <row r="14" spans="1:31" ht="16.5" thickTop="1" thickBot="1">
      <c r="A14" s="47"/>
      <c r="B14" s="47"/>
      <c r="C14" s="134">
        <v>7000</v>
      </c>
      <c r="D14" s="134">
        <v>500</v>
      </c>
      <c r="E14" s="134"/>
      <c r="F14" s="134" t="s">
        <v>625</v>
      </c>
      <c r="G14" s="47"/>
      <c r="K14" s="213"/>
      <c r="L14" s="213"/>
      <c r="M14" s="213"/>
      <c r="N14" s="213" t="s">
        <v>526</v>
      </c>
      <c r="O14" s="202"/>
      <c r="Z14">
        <v>1</v>
      </c>
      <c r="AA14" s="118"/>
      <c r="AB14" s="20"/>
      <c r="AC14" s="225"/>
      <c r="AD14" s="224"/>
      <c r="AE14" s="224"/>
    </row>
    <row r="15" spans="1:31" ht="16.5" customHeight="1" thickTop="1" thickBot="1">
      <c r="A15" s="47"/>
      <c r="B15" s="47"/>
      <c r="C15" s="134"/>
      <c r="D15" s="134"/>
      <c r="E15" s="134">
        <v>3036</v>
      </c>
      <c r="F15" s="134" t="s">
        <v>554</v>
      </c>
      <c r="K15" s="213"/>
      <c r="L15" s="213"/>
      <c r="M15" s="213"/>
      <c r="N15" s="213" t="s">
        <v>531</v>
      </c>
      <c r="O15" s="202"/>
      <c r="Z15">
        <v>1</v>
      </c>
      <c r="AA15" s="118"/>
      <c r="AB15" s="20"/>
      <c r="AC15" s="225"/>
      <c r="AD15" s="224"/>
      <c r="AE15" s="224"/>
    </row>
    <row r="16" spans="1:31" ht="16.5" thickTop="1" thickBot="1">
      <c r="A16" s="47"/>
      <c r="B16" s="47"/>
      <c r="C16" s="134"/>
      <c r="D16" s="134"/>
      <c r="E16" s="134">
        <v>1000</v>
      </c>
      <c r="F16" s="134" t="s">
        <v>575</v>
      </c>
      <c r="K16" s="213"/>
      <c r="L16" s="213"/>
      <c r="M16" s="213"/>
      <c r="N16" s="213" t="s">
        <v>530</v>
      </c>
      <c r="O16" s="202"/>
      <c r="Z16">
        <v>1</v>
      </c>
      <c r="AA16" s="118"/>
      <c r="AB16" s="20"/>
      <c r="AC16" s="225"/>
      <c r="AD16" s="224"/>
      <c r="AE16" s="224"/>
    </row>
    <row r="17" spans="1:31" ht="16.5" thickTop="1" thickBot="1">
      <c r="A17" s="47"/>
      <c r="C17" s="134">
        <v>1080</v>
      </c>
      <c r="D17" s="134">
        <v>1000</v>
      </c>
      <c r="E17" s="134">
        <v>1000</v>
      </c>
      <c r="F17" s="134" t="s">
        <v>555</v>
      </c>
      <c r="K17" s="213"/>
      <c r="L17" s="213"/>
      <c r="M17" s="213"/>
      <c r="N17" s="213" t="s">
        <v>590</v>
      </c>
      <c r="O17" s="202"/>
      <c r="Z17">
        <v>1</v>
      </c>
      <c r="AA17" s="118"/>
      <c r="AB17" s="20"/>
      <c r="AC17" s="225"/>
      <c r="AD17" s="224"/>
      <c r="AE17" s="224"/>
    </row>
    <row r="18" spans="1:31" ht="16.5" thickTop="1" thickBot="1">
      <c r="A18" s="47"/>
      <c r="B18" s="47"/>
      <c r="C18" s="134">
        <v>750</v>
      </c>
      <c r="D18" s="134">
        <v>750</v>
      </c>
      <c r="E18" s="134">
        <v>750</v>
      </c>
      <c r="F18" s="134" t="s">
        <v>17</v>
      </c>
      <c r="K18" s="213"/>
      <c r="L18" s="213"/>
      <c r="M18" s="213"/>
      <c r="N18" s="213" t="s">
        <v>533</v>
      </c>
      <c r="O18" s="202"/>
      <c r="Z18">
        <v>1</v>
      </c>
      <c r="AA18" s="118"/>
      <c r="AB18" s="20"/>
      <c r="AC18" s="225"/>
      <c r="AD18" s="224"/>
      <c r="AE18" s="224"/>
    </row>
    <row r="19" spans="1:31" ht="16.5" customHeight="1" thickTop="1" thickBot="1">
      <c r="A19" s="47"/>
      <c r="B19" s="47"/>
      <c r="C19" s="194"/>
      <c r="D19" s="194"/>
      <c r="E19" s="194"/>
      <c r="F19" s="194"/>
      <c r="K19" s="213"/>
      <c r="L19" s="213"/>
      <c r="M19" s="213"/>
      <c r="N19" s="213" t="s">
        <v>573</v>
      </c>
      <c r="O19" s="202"/>
      <c r="Z19">
        <v>1</v>
      </c>
      <c r="AA19" s="118"/>
      <c r="AB19" s="20"/>
      <c r="AC19" s="225"/>
      <c r="AD19" s="224"/>
      <c r="AE19" s="224"/>
    </row>
    <row r="20" spans="1:31" ht="16.5" thickTop="1" thickBot="1">
      <c r="A20" s="47"/>
      <c r="B20" s="47"/>
      <c r="C20" s="194"/>
      <c r="D20" s="194">
        <v>5500</v>
      </c>
      <c r="E20" s="194">
        <v>5000</v>
      </c>
      <c r="F20" s="194" t="s">
        <v>626</v>
      </c>
      <c r="K20" s="213"/>
      <c r="L20" s="213"/>
      <c r="M20" s="213"/>
      <c r="N20" s="213" t="s">
        <v>541</v>
      </c>
      <c r="O20" s="202"/>
      <c r="Z20">
        <v>1</v>
      </c>
      <c r="AA20" s="118"/>
      <c r="AB20" s="20"/>
      <c r="AC20" s="225"/>
      <c r="AD20" s="224"/>
      <c r="AE20" s="224"/>
    </row>
    <row r="21" spans="1:31" ht="16.5" thickTop="1" thickBot="1">
      <c r="A21" s="47"/>
      <c r="B21" s="47"/>
      <c r="C21" s="194"/>
      <c r="D21" s="194">
        <v>1200</v>
      </c>
      <c r="E21" s="194">
        <v>1300</v>
      </c>
      <c r="F21" s="194" t="s">
        <v>440</v>
      </c>
      <c r="H21" s="47"/>
      <c r="I21" s="47"/>
      <c r="J21" s="47"/>
      <c r="K21" s="213"/>
      <c r="L21" s="213"/>
      <c r="M21" s="213"/>
      <c r="N21" s="213" t="s">
        <v>591</v>
      </c>
      <c r="AA21" s="118"/>
      <c r="AB21" s="20"/>
      <c r="AC21" s="225"/>
      <c r="AD21" s="224"/>
      <c r="AE21" s="224"/>
    </row>
    <row r="22" spans="1:31" ht="16.5" thickTop="1" thickBot="1">
      <c r="A22" s="47"/>
      <c r="B22" s="47"/>
      <c r="C22" s="194">
        <v>3000</v>
      </c>
      <c r="D22" s="194">
        <v>2600</v>
      </c>
      <c r="E22" s="194">
        <v>2600</v>
      </c>
      <c r="F22" s="194" t="s">
        <v>6</v>
      </c>
      <c r="H22" s="47"/>
      <c r="I22" s="47"/>
      <c r="J22" s="47"/>
      <c r="K22" s="213"/>
      <c r="L22" s="213"/>
      <c r="M22" s="213"/>
      <c r="N22" s="213" t="s">
        <v>589</v>
      </c>
      <c r="Z22">
        <v>1</v>
      </c>
      <c r="AA22" s="118"/>
      <c r="AB22" s="20"/>
      <c r="AC22" s="225"/>
      <c r="AD22" s="224"/>
      <c r="AE22" s="224"/>
    </row>
    <row r="23" spans="1:31" ht="16.5" customHeight="1" thickTop="1" thickBot="1">
      <c r="A23" s="47"/>
      <c r="B23" s="47"/>
      <c r="C23" s="194"/>
      <c r="D23" s="194"/>
      <c r="E23" s="194">
        <v>176</v>
      </c>
      <c r="F23" s="194" t="s">
        <v>13</v>
      </c>
      <c r="H23" s="47"/>
      <c r="I23" s="47"/>
      <c r="J23" s="47"/>
      <c r="K23" s="208"/>
      <c r="L23" s="208"/>
      <c r="M23" s="208"/>
      <c r="N23" s="218" t="s">
        <v>471</v>
      </c>
      <c r="Z23">
        <v>1</v>
      </c>
      <c r="AA23" s="118"/>
      <c r="AB23" s="20"/>
      <c r="AC23" s="286" t="s">
        <v>471</v>
      </c>
      <c r="AD23" s="258"/>
      <c r="AE23" s="258"/>
    </row>
    <row r="24" spans="1:31" ht="16.5" thickTop="1" thickBot="1">
      <c r="A24" s="47"/>
      <c r="C24" s="194">
        <v>3500</v>
      </c>
      <c r="D24" s="194">
        <v>3000</v>
      </c>
      <c r="E24" s="194">
        <v>4000</v>
      </c>
      <c r="F24" s="194" t="s">
        <v>454</v>
      </c>
      <c r="H24" s="47"/>
      <c r="I24" s="47"/>
      <c r="J24" s="47"/>
      <c r="K24" s="208"/>
      <c r="L24" s="208"/>
      <c r="M24" s="208"/>
      <c r="N24" s="218" t="s">
        <v>491</v>
      </c>
      <c r="Z24">
        <v>1</v>
      </c>
      <c r="AA24" s="118"/>
      <c r="AB24" s="20"/>
      <c r="AC24" s="207"/>
      <c r="AD24" s="207"/>
      <c r="AE24" s="207"/>
    </row>
    <row r="25" spans="1:31" ht="16.5" thickTop="1" thickBot="1">
      <c r="A25" s="47"/>
      <c r="C25" s="194"/>
      <c r="D25" s="194"/>
      <c r="E25" s="194"/>
      <c r="F25" s="194"/>
      <c r="H25" s="220"/>
      <c r="I25" s="220"/>
      <c r="J25" s="47"/>
      <c r="K25" s="208"/>
      <c r="L25" s="208"/>
      <c r="M25" s="208"/>
      <c r="N25" s="218" t="s">
        <v>497</v>
      </c>
      <c r="Z25">
        <v>1</v>
      </c>
      <c r="AA25" s="118"/>
      <c r="AB25" s="20"/>
      <c r="AC25" s="207"/>
      <c r="AD25" s="207"/>
      <c r="AE25" s="207"/>
    </row>
    <row r="26" spans="1:31" ht="16.5" thickTop="1" thickBot="1">
      <c r="A26" s="47"/>
      <c r="B26" s="47"/>
      <c r="C26" s="194">
        <v>1000</v>
      </c>
      <c r="D26" s="194">
        <v>1000</v>
      </c>
      <c r="E26" s="194"/>
      <c r="F26" s="194" t="s">
        <v>583</v>
      </c>
      <c r="H26" s="47"/>
      <c r="I26" s="47"/>
      <c r="J26" s="47"/>
      <c r="K26" s="287" t="s">
        <v>586</v>
      </c>
      <c r="L26" s="287"/>
      <c r="M26" s="287"/>
      <c r="N26" s="288"/>
      <c r="Z26">
        <v>1</v>
      </c>
      <c r="AA26" s="118">
        <f>SUM(O26:Z26)</f>
        <v>1</v>
      </c>
      <c r="AB26" s="20">
        <f>AVERAGE(O26:Z26)</f>
        <v>1</v>
      </c>
      <c r="AC26" s="258" t="s">
        <v>276</v>
      </c>
      <c r="AD26" s="258"/>
      <c r="AE26" s="258"/>
    </row>
    <row r="27" spans="1:31" ht="20.25" thickTop="1" thickBot="1">
      <c r="C27" s="231">
        <v>20332.669999999998</v>
      </c>
      <c r="D27" s="231">
        <v>19170.88</v>
      </c>
      <c r="E27" s="231">
        <v>15771.47</v>
      </c>
      <c r="F27" s="249" t="s">
        <v>412</v>
      </c>
      <c r="K27" s="208"/>
      <c r="L27" s="208"/>
      <c r="M27" s="208"/>
      <c r="N27" s="218" t="s">
        <v>569</v>
      </c>
      <c r="Z27">
        <v>1</v>
      </c>
      <c r="AA27" s="118"/>
      <c r="AB27" s="20"/>
      <c r="AC27" s="207"/>
      <c r="AD27" s="207"/>
      <c r="AE27" s="207"/>
    </row>
    <row r="28" spans="1:31" ht="16.5" thickTop="1" thickBot="1">
      <c r="A28" s="47"/>
      <c r="H28" t="s">
        <v>617</v>
      </c>
      <c r="K28" s="208"/>
      <c r="L28" s="208"/>
      <c r="M28" s="208"/>
      <c r="N28" s="218" t="s">
        <v>561</v>
      </c>
      <c r="Z28">
        <v>1</v>
      </c>
      <c r="AA28" s="118"/>
      <c r="AB28" s="20"/>
      <c r="AC28" s="207"/>
      <c r="AD28" s="207"/>
      <c r="AE28" s="207"/>
    </row>
    <row r="29" spans="1:31" ht="16.5" thickTop="1" thickBot="1">
      <c r="A29" s="47"/>
      <c r="B29" s="230" t="s">
        <v>20</v>
      </c>
      <c r="C29" s="230"/>
      <c r="D29" s="118"/>
      <c r="E29" s="118"/>
      <c r="F29" s="230"/>
      <c r="H29">
        <f>C27-B54</f>
        <v>5381.239999999998</v>
      </c>
      <c r="K29" s="287" t="s">
        <v>386</v>
      </c>
      <c r="L29" s="287"/>
      <c r="M29" s="287"/>
      <c r="N29" s="288"/>
      <c r="O29" s="202"/>
      <c r="Z29">
        <v>1</v>
      </c>
      <c r="AA29" s="118">
        <f>SUM(O29:Z29)</f>
        <v>1</v>
      </c>
      <c r="AB29" s="20">
        <f>AVERAGE(O29:Z29)</f>
        <v>1</v>
      </c>
      <c r="AC29" s="259" t="s">
        <v>65</v>
      </c>
      <c r="AD29" s="259"/>
      <c r="AE29" s="259"/>
    </row>
    <row r="30" spans="1:31" ht="16.5" thickTop="1" thickBot="1">
      <c r="A30" s="47"/>
      <c r="B30" s="205" t="s">
        <v>461</v>
      </c>
      <c r="C30" s="206">
        <v>2000</v>
      </c>
      <c r="D30" s="206">
        <v>1500</v>
      </c>
      <c r="E30" s="206">
        <v>1500</v>
      </c>
      <c r="F30" s="47"/>
      <c r="K30" s="24"/>
      <c r="L30" s="208"/>
      <c r="M30" s="208"/>
      <c r="N30" s="208" t="s">
        <v>493</v>
      </c>
      <c r="O30" s="202"/>
      <c r="Z30">
        <v>1</v>
      </c>
      <c r="AA30" s="118"/>
      <c r="AB30" s="20"/>
      <c r="AC30" s="149"/>
      <c r="AD30" s="149"/>
      <c r="AE30" s="149"/>
    </row>
    <row r="31" spans="1:31" ht="16.5" thickTop="1" thickBot="1">
      <c r="A31" s="47"/>
      <c r="B31" s="133" t="s">
        <v>558</v>
      </c>
      <c r="C31" s="134">
        <f>SUM(C14:C18)</f>
        <v>8830</v>
      </c>
      <c r="D31" s="134">
        <f>SUM(D14:D18)</f>
        <v>2250</v>
      </c>
      <c r="E31" s="134">
        <f>SUM(E13:E18)</f>
        <v>5786</v>
      </c>
      <c r="K31" s="24"/>
      <c r="L31" s="208"/>
      <c r="M31" s="208"/>
      <c r="N31" s="208" t="s">
        <v>568</v>
      </c>
      <c r="O31" s="202"/>
      <c r="Z31">
        <v>1</v>
      </c>
      <c r="AA31" s="118"/>
      <c r="AB31" s="20"/>
      <c r="AC31" s="149"/>
      <c r="AD31" s="149"/>
      <c r="AE31" s="149"/>
    </row>
    <row r="32" spans="1:31" ht="16.5" thickTop="1" thickBot="1">
      <c r="A32" s="47"/>
      <c r="B32" s="195" t="s">
        <v>456</v>
      </c>
      <c r="C32" s="196">
        <f>SUM(C19:C26)</f>
        <v>7500</v>
      </c>
      <c r="D32" s="196">
        <f>SUM(D19:D26)</f>
        <v>13300</v>
      </c>
      <c r="E32" s="196">
        <f>SUM(E19:E25)</f>
        <v>13076</v>
      </c>
      <c r="F32" s="47"/>
      <c r="H32" s="180" t="s">
        <v>582</v>
      </c>
      <c r="I32" s="180"/>
      <c r="J32" s="180"/>
      <c r="K32" s="208"/>
      <c r="L32" s="208"/>
      <c r="M32" s="208"/>
      <c r="N32" s="208" t="s">
        <v>560</v>
      </c>
      <c r="O32" s="202"/>
      <c r="Z32">
        <v>1</v>
      </c>
      <c r="AA32" s="118"/>
      <c r="AB32" s="20"/>
      <c r="AC32" s="149"/>
      <c r="AD32" s="149"/>
      <c r="AE32" s="149"/>
    </row>
    <row r="33" spans="1:32" ht="17.25" thickTop="1" thickBot="1">
      <c r="A33" s="47"/>
      <c r="B33" s="199" t="s">
        <v>458</v>
      </c>
      <c r="C33" s="200">
        <f>SUM(C2:C13)</f>
        <v>5167.03</v>
      </c>
      <c r="D33" s="200">
        <f>SUM(D2:D13)</f>
        <v>11513.470000000001</v>
      </c>
      <c r="E33" s="200">
        <f>SUM(E2:E13)</f>
        <v>9095.57</v>
      </c>
      <c r="F33" s="247" t="s">
        <v>617</v>
      </c>
      <c r="H33" s="180">
        <f>C33+C34</f>
        <v>25499.699999999997</v>
      </c>
      <c r="I33" s="180"/>
      <c r="J33" s="180"/>
      <c r="K33" s="287" t="s">
        <v>500</v>
      </c>
      <c r="L33" s="287"/>
      <c r="M33" s="287"/>
      <c r="N33" s="288"/>
      <c r="O33" s="202"/>
      <c r="Z33">
        <v>1</v>
      </c>
      <c r="AA33" s="118"/>
      <c r="AB33" s="20"/>
      <c r="AC33" s="149"/>
      <c r="AD33" s="149"/>
      <c r="AE33" s="149"/>
    </row>
    <row r="34" spans="1:32" ht="17.25" thickTop="1" thickBot="1">
      <c r="A34" s="47"/>
      <c r="B34" s="233" t="s">
        <v>462</v>
      </c>
      <c r="C34" s="234">
        <f>C27</f>
        <v>20332.669999999998</v>
      </c>
      <c r="D34" s="234">
        <f>D27</f>
        <v>19170.88</v>
      </c>
      <c r="E34" s="234">
        <f>E27</f>
        <v>15771.47</v>
      </c>
      <c r="F34" s="247">
        <f>C27-B54</f>
        <v>5381.239999999998</v>
      </c>
      <c r="H34" s="47"/>
      <c r="I34" s="47"/>
      <c r="J34" s="47"/>
      <c r="K34" s="208"/>
      <c r="L34" s="212"/>
      <c r="M34" s="212"/>
      <c r="N34" s="208" t="s">
        <v>567</v>
      </c>
      <c r="O34" s="202"/>
      <c r="Z34">
        <v>1</v>
      </c>
      <c r="AA34" s="118"/>
      <c r="AB34" s="20"/>
      <c r="AC34" s="149"/>
      <c r="AD34" s="149"/>
      <c r="AE34" s="149"/>
    </row>
    <row r="35" spans="1:32" ht="16.5" thickTop="1" thickBot="1">
      <c r="A35" s="47"/>
      <c r="B35" s="57" t="s">
        <v>25</v>
      </c>
      <c r="C35" s="47"/>
      <c r="D35" s="47"/>
      <c r="E35" s="47"/>
      <c r="F35" s="47"/>
      <c r="J35" s="47"/>
      <c r="K35" s="208"/>
      <c r="L35" s="212"/>
      <c r="M35" s="212"/>
      <c r="N35" s="208" t="s">
        <v>563</v>
      </c>
      <c r="O35" s="202"/>
      <c r="Z35">
        <v>1</v>
      </c>
      <c r="AA35" s="118"/>
      <c r="AB35" s="20"/>
      <c r="AC35" s="149"/>
      <c r="AD35" s="149"/>
      <c r="AE35" s="149"/>
    </row>
    <row r="36" spans="1:32" ht="16.5" thickTop="1" thickBot="1">
      <c r="A36" s="47"/>
      <c r="B36" s="245" t="s">
        <v>26</v>
      </c>
      <c r="C36" s="245">
        <f>SUM(C30:C35)</f>
        <v>43829.7</v>
      </c>
      <c r="D36" s="245">
        <f>SUM(D30:D35)</f>
        <v>47734.350000000006</v>
      </c>
      <c r="E36" s="90">
        <f>SUM(E30:E35)</f>
        <v>45229.04</v>
      </c>
      <c r="H36" s="47"/>
      <c r="I36" s="47"/>
      <c r="J36" s="47"/>
      <c r="K36" s="208"/>
      <c r="L36" s="212"/>
      <c r="M36" s="212"/>
      <c r="N36" s="208" t="s">
        <v>566</v>
      </c>
      <c r="O36" s="202"/>
      <c r="Z36">
        <v>1</v>
      </c>
      <c r="AA36" s="118"/>
      <c r="AB36" s="20"/>
      <c r="AC36" s="149"/>
      <c r="AD36" s="149"/>
      <c r="AE36" s="149"/>
    </row>
    <row r="37" spans="1:32" ht="20.25" thickTop="1" thickBot="1">
      <c r="A37" s="47"/>
      <c r="B37" s="246" t="s">
        <v>463</v>
      </c>
      <c r="C37" s="154">
        <f>A2-C36</f>
        <v>5099.7000000000044</v>
      </c>
      <c r="D37" s="154">
        <f>A2-D36</f>
        <v>1195.0499999999956</v>
      </c>
      <c r="E37" s="144">
        <f>A2-E36+E29</f>
        <v>3700.3600000000006</v>
      </c>
      <c r="H37" s="47"/>
      <c r="I37" s="47"/>
      <c r="J37" s="47"/>
      <c r="K37" s="278" t="s">
        <v>489</v>
      </c>
      <c r="L37" s="278"/>
      <c r="M37" s="278"/>
      <c r="N37" s="288"/>
      <c r="O37" s="202"/>
      <c r="Z37">
        <v>1</v>
      </c>
      <c r="AA37" s="118">
        <f>SUM(O37:Z37)</f>
        <v>1</v>
      </c>
      <c r="AB37" s="20">
        <f>AVERAGE(O37:Z37)</f>
        <v>1</v>
      </c>
      <c r="AC37" s="259" t="s">
        <v>105</v>
      </c>
      <c r="AD37" s="259"/>
      <c r="AE37" s="291"/>
    </row>
    <row r="38" spans="1:32" ht="16.5" thickTop="1" thickBot="1">
      <c r="A38" s="47"/>
      <c r="B38" s="47"/>
      <c r="C38" s="47"/>
      <c r="D38" s="47"/>
      <c r="E38" s="47"/>
      <c r="F38" s="47"/>
      <c r="G38" s="47">
        <v>18273.61</v>
      </c>
      <c r="H38" s="47"/>
      <c r="I38" s="47"/>
      <c r="J38" s="47"/>
      <c r="K38" s="217"/>
      <c r="L38" s="217"/>
      <c r="M38" s="217"/>
      <c r="N38" s="208" t="s">
        <v>496</v>
      </c>
      <c r="O38" s="202"/>
      <c r="Z38">
        <v>1</v>
      </c>
      <c r="AA38" s="118"/>
      <c r="AB38" s="20"/>
      <c r="AC38" s="149"/>
      <c r="AD38" s="149"/>
      <c r="AE38" s="209"/>
    </row>
    <row r="39" spans="1:32" ht="16.5" thickTop="1" thickBot="1">
      <c r="A39" s="47"/>
      <c r="C39" s="131"/>
      <c r="D39" s="131"/>
      <c r="E39" s="131"/>
      <c r="F39" s="47"/>
      <c r="G39" s="47">
        <f>C27-G38</f>
        <v>2059.0599999999977</v>
      </c>
      <c r="H39" s="47"/>
      <c r="I39" s="47"/>
      <c r="J39" s="47"/>
      <c r="K39" s="217"/>
      <c r="L39" s="217"/>
      <c r="M39" s="217"/>
      <c r="N39" s="208" t="s">
        <v>495</v>
      </c>
      <c r="O39" s="202"/>
      <c r="Z39">
        <v>1</v>
      </c>
      <c r="AA39" s="118"/>
      <c r="AB39" s="20"/>
      <c r="AC39" s="149"/>
      <c r="AD39" s="149"/>
      <c r="AE39" s="209"/>
    </row>
    <row r="40" spans="1:32" ht="16.5" thickTop="1" thickBot="1">
      <c r="A40" s="47"/>
      <c r="B40" t="s">
        <v>647</v>
      </c>
      <c r="F40" s="47"/>
      <c r="G40" s="47"/>
      <c r="H40" s="47"/>
      <c r="I40" s="47"/>
      <c r="J40" s="47"/>
      <c r="K40" s="212"/>
      <c r="L40" s="212"/>
      <c r="M40" s="212"/>
      <c r="N40" s="208" t="s">
        <v>487</v>
      </c>
      <c r="O40" s="202"/>
      <c r="Z40">
        <v>1</v>
      </c>
      <c r="AA40" s="118"/>
      <c r="AB40" s="20"/>
      <c r="AC40" s="149"/>
      <c r="AD40" s="149"/>
      <c r="AE40" s="209"/>
    </row>
    <row r="41" spans="1:32" ht="16.5" thickTop="1" thickBot="1">
      <c r="A41" s="47"/>
      <c r="B41" s="47">
        <v>62826693104</v>
      </c>
      <c r="D41" s="47"/>
      <c r="E41" s="47"/>
      <c r="F41" s="47"/>
      <c r="G41" s="47"/>
      <c r="H41" s="47"/>
      <c r="I41" s="47"/>
      <c r="J41" s="47"/>
      <c r="K41" s="238"/>
      <c r="L41" s="238"/>
      <c r="M41" s="238"/>
      <c r="N41" s="238" t="s">
        <v>528</v>
      </c>
      <c r="O41" s="202"/>
      <c r="Z41">
        <v>1</v>
      </c>
      <c r="AA41" s="118"/>
      <c r="AB41" s="20"/>
      <c r="AC41" s="240"/>
      <c r="AD41" s="238" t="s">
        <v>528</v>
      </c>
      <c r="AE41" s="241"/>
    </row>
    <row r="42" spans="1:32" ht="16.5" thickTop="1" thickBot="1">
      <c r="D42" s="47"/>
      <c r="E42" s="47"/>
      <c r="G42" s="47"/>
      <c r="H42" s="47"/>
      <c r="I42" s="47"/>
      <c r="J42" s="47"/>
      <c r="K42" s="212"/>
      <c r="L42" s="212"/>
      <c r="M42" s="212"/>
      <c r="N42" s="208" t="s">
        <v>499</v>
      </c>
      <c r="O42" s="202"/>
      <c r="Z42">
        <v>1</v>
      </c>
      <c r="AA42" s="118"/>
      <c r="AB42" s="20"/>
      <c r="AC42" s="286" t="s">
        <v>499</v>
      </c>
      <c r="AD42" s="258"/>
      <c r="AE42" s="290"/>
    </row>
    <row r="43" spans="1:32" ht="16.5" thickTop="1" thickBo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287" t="s">
        <v>263</v>
      </c>
      <c r="L43" s="287"/>
      <c r="M43" s="287"/>
      <c r="N43" s="287"/>
      <c r="O43" s="202"/>
      <c r="Z43">
        <v>1</v>
      </c>
      <c r="AA43" s="118">
        <f>SUM(O43:Z43)</f>
        <v>1</v>
      </c>
      <c r="AB43" s="20">
        <f>AVERAGE(O43:Z43)</f>
        <v>1</v>
      </c>
      <c r="AC43" s="258" t="s">
        <v>291</v>
      </c>
      <c r="AD43" s="258"/>
      <c r="AE43" s="290"/>
    </row>
    <row r="44" spans="1:32" ht="16.5" thickTop="1" thickBot="1">
      <c r="A44" t="s">
        <v>635</v>
      </c>
      <c r="B44" s="47"/>
      <c r="C44" s="47"/>
      <c r="F44" s="47"/>
      <c r="G44" s="47"/>
      <c r="H44" s="47"/>
      <c r="I44" s="47"/>
      <c r="J44" s="47"/>
      <c r="K44" s="208"/>
      <c r="L44" s="208"/>
      <c r="M44" s="208"/>
      <c r="N44" s="208" t="s">
        <v>529</v>
      </c>
      <c r="O44" s="202"/>
      <c r="Z44">
        <v>1</v>
      </c>
      <c r="AA44" s="118"/>
      <c r="AB44" s="20"/>
      <c r="AC44" s="207"/>
      <c r="AD44" s="207"/>
      <c r="AE44" s="210"/>
    </row>
    <row r="45" spans="1:32" ht="16.5" thickTop="1" thickBot="1">
      <c r="A45" t="s">
        <v>514</v>
      </c>
      <c r="B45" s="47">
        <v>27834235396</v>
      </c>
      <c r="C45" t="s">
        <v>516</v>
      </c>
      <c r="D45" s="47"/>
      <c r="E45" s="47"/>
      <c r="F45" s="47" t="s">
        <v>515</v>
      </c>
      <c r="G45" s="47"/>
      <c r="H45" s="47"/>
      <c r="I45" s="47"/>
      <c r="J45" s="47"/>
      <c r="K45" s="208"/>
      <c r="L45" s="208"/>
      <c r="M45" s="208"/>
      <c r="N45" s="208" t="s">
        <v>532</v>
      </c>
      <c r="O45" s="202"/>
      <c r="Z45">
        <v>1</v>
      </c>
      <c r="AA45" s="118"/>
      <c r="AB45" s="20"/>
      <c r="AC45" s="207"/>
      <c r="AD45" s="207"/>
      <c r="AE45" s="210"/>
    </row>
    <row r="46" spans="1:32" ht="16.5" thickTop="1" thickBot="1">
      <c r="B46" s="47"/>
      <c r="C46" s="47">
        <v>4</v>
      </c>
      <c r="D46" s="47">
        <v>5</v>
      </c>
      <c r="E46" s="47"/>
      <c r="F46" s="47">
        <f>C47*2</f>
        <v>0</v>
      </c>
      <c r="G46" s="47">
        <v>5</v>
      </c>
      <c r="H46" s="47"/>
      <c r="I46" s="47"/>
      <c r="J46" s="47"/>
      <c r="K46" s="208"/>
      <c r="L46" s="208"/>
      <c r="M46" s="208"/>
      <c r="N46" s="208" t="s">
        <v>484</v>
      </c>
      <c r="O46" s="202"/>
      <c r="Z46">
        <v>1</v>
      </c>
      <c r="AA46" s="118"/>
      <c r="AB46" s="20"/>
      <c r="AC46" s="207"/>
      <c r="AD46" s="207"/>
      <c r="AE46" s="210"/>
    </row>
    <row r="47" spans="1:32" ht="16.5" thickTop="1" thickBot="1">
      <c r="B47" s="47"/>
      <c r="C47" s="47"/>
      <c r="D47" s="47"/>
      <c r="E47" s="47"/>
      <c r="F47" s="47"/>
      <c r="G47" s="47">
        <v>1620</v>
      </c>
      <c r="H47" s="47"/>
      <c r="I47" s="47"/>
      <c r="J47" s="47"/>
      <c r="K47" s="238"/>
      <c r="L47" s="238"/>
      <c r="M47" s="238"/>
      <c r="N47" s="238" t="s">
        <v>470</v>
      </c>
      <c r="O47" s="202"/>
      <c r="Z47">
        <v>1</v>
      </c>
      <c r="AA47" s="118"/>
      <c r="AB47" s="20"/>
      <c r="AC47" s="207"/>
      <c r="AD47" s="207" t="s">
        <v>243</v>
      </c>
      <c r="AE47" s="210"/>
      <c r="AF47" t="s">
        <v>592</v>
      </c>
    </row>
    <row r="48" spans="1:32" ht="16.5" thickTop="1" thickBot="1">
      <c r="B48" s="24">
        <v>250</v>
      </c>
      <c r="C48" s="24">
        <f>C46*B48</f>
        <v>1000</v>
      </c>
      <c r="D48" s="47">
        <f>B48*D46</f>
        <v>1250</v>
      </c>
      <c r="E48" s="47"/>
      <c r="F48" s="47"/>
      <c r="G48" s="47">
        <v>1125</v>
      </c>
      <c r="H48" t="s">
        <v>524</v>
      </c>
      <c r="J48" s="47"/>
      <c r="K48" s="287" t="s">
        <v>475</v>
      </c>
      <c r="L48" s="287"/>
      <c r="M48" s="287"/>
      <c r="N48" s="287"/>
      <c r="O48" s="202"/>
      <c r="Z48">
        <v>1</v>
      </c>
      <c r="AA48" s="118">
        <f t="shared" ref="AA48:AA61" si="0">SUM(O48:Z48)</f>
        <v>1</v>
      </c>
      <c r="AB48" s="20">
        <f t="shared" ref="AB48:AB86" si="1">AVERAGE(O48:Z48)</f>
        <v>1</v>
      </c>
      <c r="AC48" s="258" t="s">
        <v>475</v>
      </c>
      <c r="AD48" s="258"/>
      <c r="AE48" s="290"/>
      <c r="AF48">
        <f>V22+V23+V33+V48+V55+V49+V47+V10</f>
        <v>0</v>
      </c>
    </row>
    <row r="49" spans="1:31" ht="16.5" thickTop="1" thickBot="1">
      <c r="B49" s="47">
        <v>270</v>
      </c>
      <c r="C49" s="47">
        <f>B49*C46</f>
        <v>1080</v>
      </c>
      <c r="D49" s="47"/>
      <c r="E49" s="47"/>
      <c r="F49" s="47"/>
      <c r="H49" t="s">
        <v>523</v>
      </c>
      <c r="J49" s="47"/>
      <c r="K49" s="289" t="s">
        <v>476</v>
      </c>
      <c r="L49" s="289"/>
      <c r="M49" s="289"/>
      <c r="N49" s="289"/>
      <c r="O49" s="202"/>
      <c r="Z49">
        <v>1</v>
      </c>
      <c r="AA49" s="118">
        <f t="shared" si="0"/>
        <v>1</v>
      </c>
      <c r="AB49" s="20">
        <f t="shared" si="1"/>
        <v>1</v>
      </c>
      <c r="AC49" s="258" t="s">
        <v>477</v>
      </c>
      <c r="AD49" s="258"/>
      <c r="AE49" s="290"/>
    </row>
    <row r="50" spans="1:31" ht="16.5" thickTop="1" thickBot="1">
      <c r="B50" s="47"/>
      <c r="C50" s="47"/>
      <c r="J50" s="47"/>
      <c r="K50" s="208"/>
      <c r="L50" s="208"/>
      <c r="M50" s="208"/>
      <c r="N50" s="208" t="s">
        <v>314</v>
      </c>
      <c r="O50" s="202"/>
      <c r="Z50">
        <v>1</v>
      </c>
      <c r="AA50" s="118">
        <f t="shared" si="0"/>
        <v>1</v>
      </c>
      <c r="AB50" s="20">
        <f t="shared" si="1"/>
        <v>1</v>
      </c>
      <c r="AC50" s="207"/>
      <c r="AD50" s="207"/>
      <c r="AE50" s="210"/>
    </row>
    <row r="51" spans="1:31" ht="16.5" thickTop="1" thickBot="1">
      <c r="B51" s="47"/>
      <c r="C51" s="47">
        <f>9*180</f>
        <v>1620</v>
      </c>
      <c r="J51" s="47"/>
      <c r="K51" s="292" t="s">
        <v>301</v>
      </c>
      <c r="L51" s="292"/>
      <c r="M51" s="292"/>
      <c r="N51" s="292"/>
      <c r="O51" s="202"/>
      <c r="Z51">
        <v>1</v>
      </c>
      <c r="AA51" s="118">
        <f t="shared" si="0"/>
        <v>1</v>
      </c>
      <c r="AB51" s="20">
        <f t="shared" si="1"/>
        <v>1</v>
      </c>
      <c r="AC51" s="258" t="s">
        <v>301</v>
      </c>
      <c r="AD51" s="258"/>
      <c r="AE51" s="290"/>
    </row>
    <row r="52" spans="1:31" ht="16.5" thickTop="1" thickBot="1">
      <c r="C52" s="47"/>
      <c r="J52" s="47"/>
      <c r="K52" s="208"/>
      <c r="L52" s="208"/>
      <c r="M52" s="208"/>
      <c r="N52" s="208" t="s">
        <v>485</v>
      </c>
      <c r="O52" s="202"/>
      <c r="Z52">
        <v>1</v>
      </c>
      <c r="AA52" s="118">
        <f t="shared" si="0"/>
        <v>1</v>
      </c>
      <c r="AB52" s="20">
        <f t="shared" si="1"/>
        <v>1</v>
      </c>
      <c r="AC52" s="207"/>
      <c r="AD52" s="207"/>
      <c r="AE52" s="207"/>
    </row>
    <row r="53" spans="1:31" ht="16.5" thickTop="1" thickBot="1">
      <c r="A53" t="s">
        <v>616</v>
      </c>
      <c r="B53" s="231">
        <v>18273.61</v>
      </c>
      <c r="C53" t="s">
        <v>633</v>
      </c>
      <c r="J53" s="47"/>
      <c r="K53" s="208"/>
      <c r="L53" s="208"/>
      <c r="M53" s="208"/>
      <c r="N53" s="208" t="s">
        <v>483</v>
      </c>
      <c r="O53" s="202"/>
      <c r="Z53">
        <v>1</v>
      </c>
      <c r="AA53" s="118">
        <f t="shared" si="0"/>
        <v>1</v>
      </c>
      <c r="AB53" s="20">
        <f t="shared" si="1"/>
        <v>1</v>
      </c>
      <c r="AC53" s="207"/>
      <c r="AD53" s="207"/>
      <c r="AE53" s="207"/>
    </row>
    <row r="54" spans="1:31" ht="16.5" thickTop="1" thickBot="1">
      <c r="B54" s="231">
        <v>14951.43</v>
      </c>
      <c r="C54" t="s">
        <v>634</v>
      </c>
      <c r="J54" s="47"/>
      <c r="K54" s="208"/>
      <c r="L54" s="208"/>
      <c r="M54" s="208"/>
      <c r="N54" s="208" t="s">
        <v>488</v>
      </c>
      <c r="O54" s="202"/>
      <c r="Z54">
        <v>1</v>
      </c>
      <c r="AA54" s="118">
        <f t="shared" si="0"/>
        <v>1</v>
      </c>
      <c r="AB54" s="20">
        <f t="shared" si="1"/>
        <v>1</v>
      </c>
      <c r="AC54" s="207"/>
      <c r="AD54" s="207"/>
      <c r="AE54" s="207"/>
    </row>
    <row r="55" spans="1:31" ht="16.5" thickTop="1" thickBot="1">
      <c r="B55" s="231">
        <v>15771.47</v>
      </c>
      <c r="J55" s="47"/>
      <c r="K55" s="208"/>
      <c r="L55" s="208"/>
      <c r="M55" s="208"/>
      <c r="N55" s="208" t="s">
        <v>486</v>
      </c>
      <c r="O55" s="202"/>
      <c r="Z55">
        <v>1</v>
      </c>
      <c r="AA55" s="118">
        <f t="shared" si="0"/>
        <v>1</v>
      </c>
      <c r="AB55" s="20">
        <f t="shared" si="1"/>
        <v>1</v>
      </c>
      <c r="AC55" s="207"/>
      <c r="AD55" s="207"/>
      <c r="AE55" s="207"/>
    </row>
    <row r="56" spans="1:31" ht="16.5" thickTop="1" thickBot="1">
      <c r="B56" s="231">
        <v>17149.34</v>
      </c>
      <c r="J56" s="47"/>
      <c r="K56" s="293" t="s">
        <v>95</v>
      </c>
      <c r="L56" s="293"/>
      <c r="M56" s="293"/>
      <c r="N56" s="293"/>
      <c r="O56" s="202"/>
      <c r="Z56">
        <v>1</v>
      </c>
      <c r="AA56" s="118">
        <f t="shared" si="0"/>
        <v>1</v>
      </c>
      <c r="AB56" s="20">
        <f t="shared" si="1"/>
        <v>1</v>
      </c>
      <c r="AC56" s="259" t="s">
        <v>95</v>
      </c>
      <c r="AD56" s="259"/>
      <c r="AE56" s="259"/>
    </row>
    <row r="57" spans="1:31" ht="16.5" thickTop="1" thickBot="1">
      <c r="B57" s="231">
        <v>18002.72</v>
      </c>
      <c r="J57" s="47"/>
      <c r="K57" s="287" t="s">
        <v>67</v>
      </c>
      <c r="L57" s="287"/>
      <c r="M57" s="287"/>
      <c r="N57" s="287"/>
      <c r="O57" s="202"/>
      <c r="Z57">
        <v>1</v>
      </c>
      <c r="AA57" s="118">
        <f t="shared" si="0"/>
        <v>1</v>
      </c>
      <c r="AB57" s="20">
        <f t="shared" si="1"/>
        <v>1</v>
      </c>
      <c r="AC57" s="259" t="s">
        <v>67</v>
      </c>
      <c r="AD57" s="259"/>
      <c r="AE57" s="259"/>
    </row>
    <row r="58" spans="1:31" ht="16.5" thickTop="1" thickBot="1">
      <c r="B58" s="231">
        <v>18858.91</v>
      </c>
      <c r="J58" s="47"/>
      <c r="K58" s="287" t="s">
        <v>299</v>
      </c>
      <c r="L58" s="287"/>
      <c r="M58" s="287"/>
      <c r="N58" s="287"/>
      <c r="O58" s="202"/>
      <c r="U58" s="114"/>
      <c r="Z58">
        <v>1</v>
      </c>
      <c r="AA58" s="118">
        <f t="shared" si="0"/>
        <v>1</v>
      </c>
      <c r="AB58" s="20">
        <f t="shared" si="1"/>
        <v>1</v>
      </c>
      <c r="AC58" s="258" t="s">
        <v>299</v>
      </c>
      <c r="AD58" s="258"/>
      <c r="AE58" s="258"/>
    </row>
    <row r="59" spans="1:31" ht="16.5" thickTop="1" thickBot="1">
      <c r="B59" s="231">
        <v>19170.88</v>
      </c>
      <c r="K59" s="208"/>
      <c r="L59" s="208"/>
      <c r="M59" s="208"/>
      <c r="N59" s="208" t="s">
        <v>542</v>
      </c>
      <c r="O59" s="202"/>
      <c r="U59" s="114"/>
      <c r="Z59">
        <v>1</v>
      </c>
      <c r="AA59" s="118">
        <f t="shared" si="0"/>
        <v>1</v>
      </c>
      <c r="AB59" s="20">
        <f t="shared" si="1"/>
        <v>1</v>
      </c>
      <c r="AC59" s="207"/>
      <c r="AD59" s="207"/>
      <c r="AE59" s="207"/>
    </row>
    <row r="60" spans="1:31" ht="16.5" thickTop="1" thickBot="1">
      <c r="B60" s="234">
        <v>19736.29</v>
      </c>
      <c r="K60" s="208"/>
      <c r="L60" s="208"/>
      <c r="M60" s="208"/>
      <c r="N60" s="208" t="s">
        <v>479</v>
      </c>
      <c r="O60" s="202"/>
      <c r="U60" s="114"/>
      <c r="Z60">
        <v>1</v>
      </c>
      <c r="AA60" s="118">
        <f t="shared" si="0"/>
        <v>1</v>
      </c>
      <c r="AB60" s="20">
        <f t="shared" si="1"/>
        <v>1</v>
      </c>
      <c r="AC60" s="286" t="s">
        <v>479</v>
      </c>
      <c r="AD60" s="258"/>
      <c r="AE60" s="258"/>
    </row>
    <row r="61" spans="1:31" ht="16.5" thickTop="1" thickBot="1">
      <c r="B61" s="231">
        <v>20332.669999999998</v>
      </c>
      <c r="C61" s="190">
        <v>45079</v>
      </c>
      <c r="D61" s="239"/>
      <c r="K61" s="208"/>
      <c r="L61" s="208"/>
      <c r="M61" s="208"/>
      <c r="N61" s="208" t="s">
        <v>313</v>
      </c>
      <c r="O61" s="202"/>
      <c r="U61" s="114"/>
      <c r="Z61">
        <v>1</v>
      </c>
      <c r="AA61" s="118">
        <f t="shared" si="0"/>
        <v>1</v>
      </c>
      <c r="AB61" s="20">
        <f t="shared" si="1"/>
        <v>1</v>
      </c>
      <c r="AC61" s="207"/>
      <c r="AD61" s="207"/>
      <c r="AE61" s="207"/>
    </row>
    <row r="62" spans="1:31" ht="16.5" thickTop="1" thickBot="1">
      <c r="D62" s="44"/>
      <c r="K62" s="287" t="s">
        <v>481</v>
      </c>
      <c r="L62" s="287"/>
      <c r="M62" s="287"/>
      <c r="N62" s="287"/>
      <c r="O62" s="202"/>
      <c r="U62" s="114"/>
      <c r="Z62">
        <v>1</v>
      </c>
      <c r="AA62" s="118">
        <f t="shared" ref="AA62:AA85" si="2">SUM(O62:Z62)</f>
        <v>1</v>
      </c>
      <c r="AB62" s="20">
        <f t="shared" si="1"/>
        <v>1</v>
      </c>
      <c r="AC62" s="258" t="s">
        <v>264</v>
      </c>
      <c r="AD62" s="258"/>
      <c r="AE62" s="290"/>
    </row>
    <row r="63" spans="1:31" ht="16.5" thickTop="1" thickBot="1">
      <c r="C63" s="190">
        <v>45057</v>
      </c>
      <c r="K63" s="287" t="s">
        <v>387</v>
      </c>
      <c r="L63" s="287"/>
      <c r="M63" s="287"/>
      <c r="N63" s="287"/>
      <c r="O63" s="202"/>
      <c r="Z63">
        <v>1</v>
      </c>
      <c r="AA63" s="118">
        <f t="shared" si="2"/>
        <v>1</v>
      </c>
      <c r="AB63" s="20">
        <f t="shared" si="1"/>
        <v>1</v>
      </c>
      <c r="AC63" s="259" t="s">
        <v>58</v>
      </c>
      <c r="AD63" s="259"/>
      <c r="AE63" s="291"/>
    </row>
    <row r="64" spans="1:31" ht="16.5" thickTop="1" thickBot="1">
      <c r="K64" s="208"/>
      <c r="L64" s="208"/>
      <c r="M64" s="208"/>
      <c r="N64" s="208" t="s">
        <v>478</v>
      </c>
      <c r="O64" s="202"/>
      <c r="Z64">
        <v>1</v>
      </c>
      <c r="AA64" s="118">
        <f t="shared" si="2"/>
        <v>1</v>
      </c>
      <c r="AB64" s="20">
        <f t="shared" si="1"/>
        <v>1</v>
      </c>
      <c r="AC64" s="211"/>
      <c r="AD64" s="149"/>
      <c r="AE64" s="209"/>
    </row>
    <row r="65" spans="8:31" ht="16.5" thickTop="1" thickBot="1">
      <c r="K65" s="287" t="s">
        <v>469</v>
      </c>
      <c r="L65" s="287"/>
      <c r="M65" s="287"/>
      <c r="N65" s="288"/>
      <c r="O65" s="202"/>
      <c r="Z65">
        <v>1</v>
      </c>
      <c r="AA65" s="118">
        <f t="shared" si="2"/>
        <v>1</v>
      </c>
      <c r="AB65" s="20">
        <f t="shared" si="1"/>
        <v>1</v>
      </c>
      <c r="AC65" s="211" t="s">
        <v>59</v>
      </c>
      <c r="AD65" s="149"/>
      <c r="AE65" s="209"/>
    </row>
    <row r="66" spans="8:31" ht="16.5" thickTop="1" thickBot="1">
      <c r="K66" s="292" t="s">
        <v>527</v>
      </c>
      <c r="L66" s="292"/>
      <c r="M66" s="292"/>
      <c r="N66" s="294"/>
      <c r="O66" s="202"/>
      <c r="Z66">
        <v>1</v>
      </c>
      <c r="AA66" s="118">
        <f t="shared" si="2"/>
        <v>1</v>
      </c>
      <c r="AB66" s="20">
        <f t="shared" si="1"/>
        <v>1</v>
      </c>
      <c r="AC66" s="211"/>
      <c r="AD66" s="208" t="s">
        <v>527</v>
      </c>
      <c r="AE66" s="209"/>
    </row>
    <row r="67" spans="8:31" ht="16.5" thickTop="1" thickBot="1">
      <c r="K67" s="292" t="s">
        <v>246</v>
      </c>
      <c r="L67" s="292"/>
      <c r="M67" s="292"/>
      <c r="N67" s="294"/>
      <c r="O67" s="202"/>
      <c r="Z67">
        <v>1</v>
      </c>
      <c r="AA67" s="118">
        <f t="shared" si="2"/>
        <v>1</v>
      </c>
      <c r="AB67" s="20">
        <f t="shared" si="1"/>
        <v>1</v>
      </c>
      <c r="AC67" s="295" t="s">
        <v>246</v>
      </c>
      <c r="AD67" s="295"/>
      <c r="AE67" s="296"/>
    </row>
    <row r="68" spans="8:31" ht="16.5" thickTop="1" thickBot="1">
      <c r="K68" s="208"/>
      <c r="L68" s="208"/>
      <c r="M68" s="208"/>
      <c r="N68" s="208" t="s">
        <v>492</v>
      </c>
      <c r="O68" s="202"/>
      <c r="Z68">
        <v>1</v>
      </c>
      <c r="AA68" s="118">
        <f t="shared" si="2"/>
        <v>1</v>
      </c>
      <c r="AB68" s="20">
        <f t="shared" si="1"/>
        <v>1</v>
      </c>
      <c r="AC68" s="211"/>
      <c r="AD68" s="211"/>
      <c r="AE68" s="216"/>
    </row>
    <row r="69" spans="8:31" ht="16.5" thickTop="1" thickBot="1">
      <c r="K69" s="208"/>
      <c r="L69" s="208"/>
      <c r="M69" s="208"/>
      <c r="N69" s="208" t="s">
        <v>494</v>
      </c>
      <c r="O69" s="202"/>
      <c r="Z69">
        <v>1</v>
      </c>
      <c r="AA69" s="118">
        <f t="shared" si="2"/>
        <v>1</v>
      </c>
      <c r="AB69" s="20">
        <f t="shared" si="1"/>
        <v>1</v>
      </c>
      <c r="AC69" s="211"/>
      <c r="AD69" s="211"/>
      <c r="AE69" s="216"/>
    </row>
    <row r="70" spans="8:31" ht="16.5" thickTop="1" thickBot="1">
      <c r="K70" s="287" t="s">
        <v>268</v>
      </c>
      <c r="L70" s="287"/>
      <c r="M70" s="287"/>
      <c r="N70" s="287"/>
      <c r="O70" s="202"/>
      <c r="Z70">
        <v>1</v>
      </c>
      <c r="AA70" s="118">
        <f t="shared" si="2"/>
        <v>1</v>
      </c>
      <c r="AB70" s="20">
        <f t="shared" si="1"/>
        <v>1</v>
      </c>
      <c r="AC70" s="295" t="s">
        <v>268</v>
      </c>
      <c r="AD70" s="295"/>
      <c r="AE70" s="296"/>
    </row>
    <row r="71" spans="8:31" ht="16.5" thickTop="1" thickBot="1">
      <c r="K71" s="208"/>
      <c r="L71" s="208"/>
      <c r="M71" s="208"/>
      <c r="N71" s="208" t="s">
        <v>559</v>
      </c>
      <c r="O71" s="202"/>
      <c r="Z71">
        <v>1</v>
      </c>
      <c r="AA71" s="118">
        <f t="shared" si="2"/>
        <v>1</v>
      </c>
      <c r="AB71" s="20">
        <f t="shared" si="1"/>
        <v>1</v>
      </c>
      <c r="AC71" s="211"/>
      <c r="AD71" s="211"/>
      <c r="AE71" s="216"/>
    </row>
    <row r="72" spans="8:31" ht="16.5" thickTop="1" thickBot="1">
      <c r="K72" s="208"/>
      <c r="L72" s="208"/>
      <c r="M72" s="208"/>
      <c r="N72" s="208" t="s">
        <v>565</v>
      </c>
      <c r="O72" s="202"/>
      <c r="Z72">
        <v>1</v>
      </c>
      <c r="AA72" s="118">
        <f t="shared" si="2"/>
        <v>1</v>
      </c>
      <c r="AB72" s="20">
        <f t="shared" si="1"/>
        <v>1</v>
      </c>
      <c r="AC72" s="211"/>
      <c r="AD72" s="211"/>
      <c r="AE72" s="216"/>
    </row>
    <row r="73" spans="8:31" ht="16.5" thickTop="1" thickBot="1">
      <c r="K73" s="208"/>
      <c r="L73" s="208"/>
      <c r="M73" s="208"/>
      <c r="N73" s="208" t="s">
        <v>584</v>
      </c>
      <c r="O73" s="202"/>
      <c r="AA73" s="118"/>
      <c r="AB73" s="20"/>
      <c r="AC73" s="211"/>
      <c r="AD73" s="211"/>
      <c r="AE73" s="216"/>
    </row>
    <row r="74" spans="8:31" ht="16.5" thickTop="1" thickBot="1">
      <c r="K74" s="208"/>
      <c r="L74" s="208"/>
      <c r="M74" s="208"/>
      <c r="N74" s="208" t="s">
        <v>585</v>
      </c>
      <c r="O74" s="202"/>
      <c r="AA74" s="118"/>
      <c r="AB74" s="20"/>
      <c r="AC74" s="211"/>
      <c r="AD74" s="211"/>
      <c r="AE74" s="216"/>
    </row>
    <row r="75" spans="8:31" ht="16.5" thickTop="1" thickBot="1">
      <c r="K75" s="208"/>
      <c r="L75" s="208"/>
      <c r="M75" s="208"/>
      <c r="N75" s="208" t="s">
        <v>588</v>
      </c>
      <c r="O75" s="202"/>
      <c r="AA75" s="118"/>
      <c r="AB75" s="20"/>
      <c r="AC75" s="211"/>
      <c r="AD75" s="211"/>
      <c r="AE75" s="216"/>
    </row>
    <row r="76" spans="8:31" ht="16.5" thickTop="1" thickBot="1">
      <c r="K76" s="208"/>
      <c r="L76" s="208"/>
      <c r="M76" s="208"/>
      <c r="N76" s="208" t="s">
        <v>144</v>
      </c>
      <c r="O76" s="202"/>
      <c r="AA76" s="118"/>
      <c r="AB76" s="20"/>
      <c r="AC76" s="211"/>
      <c r="AD76" s="211"/>
      <c r="AE76" s="216"/>
    </row>
    <row r="77" spans="8:31" ht="16.5" thickTop="1" thickBot="1">
      <c r="K77" s="300" t="s">
        <v>6</v>
      </c>
      <c r="L77" s="300"/>
      <c r="M77" s="300"/>
      <c r="N77" s="300"/>
      <c r="O77" s="202"/>
      <c r="Z77">
        <v>1</v>
      </c>
      <c r="AA77" s="118">
        <f t="shared" si="2"/>
        <v>1</v>
      </c>
      <c r="AB77" s="20">
        <f t="shared" si="1"/>
        <v>1</v>
      </c>
      <c r="AC77" s="265" t="s">
        <v>6</v>
      </c>
      <c r="AD77" s="265"/>
      <c r="AE77" s="301"/>
    </row>
    <row r="78" spans="8:31" ht="16.5" thickTop="1" thickBot="1">
      <c r="K78" s="237"/>
      <c r="L78" s="237"/>
      <c r="M78" s="237"/>
      <c r="N78" s="237" t="s">
        <v>571</v>
      </c>
      <c r="O78" s="202"/>
      <c r="Z78">
        <v>1</v>
      </c>
      <c r="AA78" s="118">
        <f t="shared" si="2"/>
        <v>1</v>
      </c>
      <c r="AB78" s="20">
        <f t="shared" si="1"/>
        <v>1</v>
      </c>
      <c r="AC78" s="236"/>
      <c r="AD78" s="236"/>
      <c r="AE78" s="236"/>
    </row>
    <row r="79" spans="8:31" ht="16.5" thickTop="1" thickBot="1">
      <c r="H79" s="62"/>
      <c r="I79" s="158"/>
      <c r="K79" s="302" t="s">
        <v>60</v>
      </c>
      <c r="L79" s="302"/>
      <c r="M79" s="302"/>
      <c r="N79" s="302"/>
      <c r="R79">
        <v>1650</v>
      </c>
      <c r="Z79">
        <v>1</v>
      </c>
      <c r="AA79" s="118">
        <f t="shared" si="2"/>
        <v>1651</v>
      </c>
      <c r="AB79" s="20">
        <f t="shared" si="1"/>
        <v>825.5</v>
      </c>
      <c r="AC79" s="303" t="s">
        <v>60</v>
      </c>
      <c r="AD79" s="303"/>
      <c r="AE79" s="303"/>
    </row>
    <row r="80" spans="8:31" ht="16.5" thickTop="1" thickBot="1">
      <c r="K80" s="300" t="s">
        <v>443</v>
      </c>
      <c r="L80" s="300"/>
      <c r="M80" s="300"/>
      <c r="N80" s="300"/>
      <c r="O80" s="202"/>
      <c r="Z80">
        <v>1</v>
      </c>
      <c r="AA80" s="118">
        <f t="shared" si="2"/>
        <v>1</v>
      </c>
      <c r="AB80" s="20">
        <f t="shared" si="1"/>
        <v>1</v>
      </c>
      <c r="AC80" s="187"/>
      <c r="AD80" s="187"/>
      <c r="AE80" s="187"/>
    </row>
    <row r="81" spans="8:31" ht="16.5" thickTop="1" thickBot="1">
      <c r="K81" s="304" t="s">
        <v>539</v>
      </c>
      <c r="L81" s="305"/>
      <c r="M81" s="305"/>
      <c r="N81" s="306"/>
      <c r="O81" s="202"/>
      <c r="Z81">
        <v>1</v>
      </c>
      <c r="AA81" s="118">
        <f t="shared" si="2"/>
        <v>1</v>
      </c>
      <c r="AB81" s="20">
        <f t="shared" si="1"/>
        <v>1</v>
      </c>
      <c r="AC81" s="187"/>
      <c r="AD81" s="187"/>
      <c r="AE81" s="187"/>
    </row>
    <row r="82" spans="8:31" ht="16.5" thickTop="1" thickBot="1">
      <c r="K82" s="311" t="s">
        <v>540</v>
      </c>
      <c r="L82" s="311"/>
      <c r="M82" s="311"/>
      <c r="N82" s="312"/>
      <c r="O82" s="202"/>
      <c r="Z82">
        <v>1</v>
      </c>
      <c r="AA82" s="118">
        <f t="shared" si="2"/>
        <v>1</v>
      </c>
      <c r="AB82" s="20">
        <f t="shared" si="1"/>
        <v>1</v>
      </c>
      <c r="AC82" s="187"/>
      <c r="AD82" s="187"/>
      <c r="AE82" s="187"/>
    </row>
    <row r="83" spans="8:31" ht="16.5" thickTop="1" thickBot="1">
      <c r="K83" s="313" t="s">
        <v>298</v>
      </c>
      <c r="L83" s="313"/>
      <c r="M83" s="313"/>
      <c r="N83" s="313"/>
      <c r="O83" s="202"/>
      <c r="Z83">
        <v>1</v>
      </c>
      <c r="AA83" s="118">
        <f t="shared" si="2"/>
        <v>1</v>
      </c>
      <c r="AB83" s="20">
        <f t="shared" si="1"/>
        <v>1</v>
      </c>
      <c r="AC83" s="297" t="s">
        <v>298</v>
      </c>
      <c r="AD83" s="297"/>
      <c r="AE83" s="297"/>
    </row>
    <row r="84" spans="8:31" ht="16.5" thickTop="1" thickBot="1">
      <c r="K84" s="215"/>
      <c r="L84" s="215"/>
      <c r="M84" s="215"/>
      <c r="N84" s="215" t="s">
        <v>490</v>
      </c>
      <c r="O84" s="202"/>
      <c r="Z84">
        <v>1</v>
      </c>
      <c r="AA84" s="118">
        <f t="shared" si="2"/>
        <v>1</v>
      </c>
      <c r="AB84" s="20">
        <f t="shared" si="1"/>
        <v>1</v>
      </c>
      <c r="AC84" s="214"/>
      <c r="AD84" s="214"/>
      <c r="AE84" s="214"/>
    </row>
    <row r="85" spans="8:31" ht="16.5" thickTop="1" thickBot="1">
      <c r="H85" s="62"/>
      <c r="I85" s="158"/>
      <c r="K85" s="287" t="s">
        <v>297</v>
      </c>
      <c r="L85" s="287"/>
      <c r="M85" s="287"/>
      <c r="N85" s="287"/>
      <c r="O85" s="203"/>
      <c r="Z85">
        <v>1</v>
      </c>
      <c r="AA85" s="118">
        <f t="shared" si="2"/>
        <v>1</v>
      </c>
      <c r="AB85" s="20">
        <f t="shared" si="1"/>
        <v>1</v>
      </c>
      <c r="AC85" s="258" t="s">
        <v>297</v>
      </c>
      <c r="AD85" s="258"/>
      <c r="AE85" s="258"/>
    </row>
    <row r="86" spans="8:31" ht="16.5" thickTop="1" thickBot="1">
      <c r="K86" s="208"/>
      <c r="L86" s="208"/>
      <c r="M86" s="208"/>
      <c r="N86" s="208" t="s">
        <v>383</v>
      </c>
      <c r="O86" s="235"/>
      <c r="P86" s="235" t="e">
        <f>E2+#REF!+E4+E7+E26+E10+E11+E12+E13+E15+E17+E23+E8+E6+E27</f>
        <v>#REF!</v>
      </c>
      <c r="Q86" s="235" t="e">
        <f>E2+#REF!+E4+E7+E26+E10+E11+E12+E13+E15+E17+E23+E8+E6+E27</f>
        <v>#REF!</v>
      </c>
      <c r="R86" s="235" t="e">
        <f>E2+#REF!+E4+E7+E26+E10+E11+E12+E13+E15+E17+E23+E8+E6+E27</f>
        <v>#REF!</v>
      </c>
      <c r="S86" s="235" t="e">
        <f>E2+#REF!+E4+E7+E26+E10+E11+E12+E13+E15+E17+E23+E8+E6+E27</f>
        <v>#REF!</v>
      </c>
      <c r="T86" s="235" t="e">
        <f>E2+#REF!+E4+E7+E26+E10+E11+E12+E13+E15+E17+E23+E8+E6+E27</f>
        <v>#REF!</v>
      </c>
      <c r="U86" s="235" t="e">
        <f>E2+#REF!+E4+E7+E26+E10+E11+E12+E13+E15+E17+E23+E8+E6+E27</f>
        <v>#REF!</v>
      </c>
      <c r="V86" s="235">
        <f>C2+E3+C4+C5+C26+C10+C11+C12+C17+C16+C22+C8+C6+C34</f>
        <v>32892.58</v>
      </c>
      <c r="W86" s="235" t="e">
        <f>E2+#REF!+E4+E7+E26+E10+E11+E12+E13+E15+E17+E23+E8+E6+E27</f>
        <v>#REF!</v>
      </c>
      <c r="X86" s="235" t="e">
        <f>E2+#REF!+E4+E7+E26+E10+E11+E12+E13+E15+E17+E23+E8+E6+E27</f>
        <v>#REF!</v>
      </c>
      <c r="Y86" s="235" t="e">
        <f>E2+#REF!+E4+E7+E26+E10+E11+E12+E13+E15+E17+E23+E8+E6+E27</f>
        <v>#REF!</v>
      </c>
      <c r="Z86" s="235" t="e">
        <f>E2+#REF!+E4+E7+E26+E10+E11+E12+E13+E15+E17+E23+E8+E6+E27</f>
        <v>#REF!</v>
      </c>
      <c r="AA86" s="118"/>
      <c r="AB86" s="20" t="e">
        <f t="shared" si="1"/>
        <v>#REF!</v>
      </c>
      <c r="AC86" s="207"/>
      <c r="AD86" s="207"/>
      <c r="AE86" s="207"/>
    </row>
    <row r="87" spans="8:31" ht="16.5" thickTop="1" thickBot="1">
      <c r="K87" s="298" t="s">
        <v>300</v>
      </c>
      <c r="L87" s="298"/>
      <c r="M87" s="298"/>
      <c r="N87" s="299"/>
      <c r="O87" s="115">
        <f>SUM(O6:O86)</f>
        <v>0</v>
      </c>
      <c r="P87" s="115" t="e">
        <f>SUM(P6:P86)</f>
        <v>#REF!</v>
      </c>
      <c r="Q87" s="115">
        <f>SUM(Q5:Q85)</f>
        <v>0</v>
      </c>
      <c r="R87" s="115">
        <f>SUM(R5:R85)</f>
        <v>1650</v>
      </c>
      <c r="S87" s="115">
        <f>SUM(S5:S85)</f>
        <v>0</v>
      </c>
      <c r="T87" s="115">
        <f>SUM(T5:T85)</f>
        <v>0</v>
      </c>
      <c r="U87" s="115">
        <f>SUM(U5:U85)</f>
        <v>0</v>
      </c>
      <c r="V87" s="115">
        <f>SUM(V5:V86)</f>
        <v>32892.58</v>
      </c>
      <c r="W87" s="115">
        <f>SUM(W5:W85)</f>
        <v>0</v>
      </c>
      <c r="X87" s="115">
        <f>SUM(X5:X85)</f>
        <v>0</v>
      </c>
      <c r="Y87" s="115">
        <f>SUM(Y5:Y85)</f>
        <v>0</v>
      </c>
      <c r="Z87" s="115">
        <f>SUM(Z5:Z85)</f>
        <v>75</v>
      </c>
      <c r="AA87" s="145">
        <f>SUM(AA5:AA85)+AA2-AA4</f>
        <v>547473.14</v>
      </c>
      <c r="AB87" s="146">
        <f>SUM(AB5:AB85)+AB2-AB4</f>
        <v>43088.404666666669</v>
      </c>
    </row>
    <row r="88" spans="8:31" ht="15.75" thickBot="1">
      <c r="K88" s="307" t="s">
        <v>61</v>
      </c>
      <c r="L88" s="307"/>
      <c r="M88" s="307"/>
      <c r="N88" s="308"/>
      <c r="O88" s="141">
        <f>O2+O3-SUM(O5:O85)-O4</f>
        <v>45106.879999999997</v>
      </c>
      <c r="P88" s="141">
        <f>P2+P3-SUM(P5:P85)-P4</f>
        <v>42235.28</v>
      </c>
      <c r="Q88" s="141">
        <f>Q2+Q3-SUM(Q5:Q85)-Q4</f>
        <v>43501.909999999996</v>
      </c>
      <c r="R88" s="141">
        <f>R2+R3-SUM(R5:R85)-R4</f>
        <v>41619.839999999997</v>
      </c>
      <c r="S88" s="141">
        <f>S2+S3-SUM(S5:S85)-S4</f>
        <v>42825.279999999999</v>
      </c>
      <c r="T88" s="142">
        <f>T2+SUM(T5:T85)-T4</f>
        <v>45060.4</v>
      </c>
      <c r="U88" s="142">
        <f>U2+SUM(U5:U85)-U4</f>
        <v>48929.4</v>
      </c>
      <c r="V88" s="141">
        <f>V2-V87-V4+V3</f>
        <v>1414.7599999999984</v>
      </c>
      <c r="W88" s="141">
        <f>W2+SUM(W5:W85)-W4</f>
        <v>48929.4</v>
      </c>
      <c r="X88" s="141">
        <f>X2+SUM(X5:X85)-X4</f>
        <v>48929.4</v>
      </c>
      <c r="Y88" s="141">
        <f>Y2+SUM(Y5:Y85)-Y4</f>
        <v>48929.4</v>
      </c>
      <c r="Z88" s="143">
        <f>Z2+SUM(Z5:Z85)-Z4</f>
        <v>49004.4</v>
      </c>
    </row>
    <row r="89" spans="8:31">
      <c r="K89" s="309" t="s">
        <v>62</v>
      </c>
      <c r="L89" s="309"/>
      <c r="M89" s="309"/>
      <c r="N89" s="309"/>
      <c r="O89" s="61">
        <f>O88</f>
        <v>45106.879999999997</v>
      </c>
      <c r="P89" s="61">
        <f>SUM(O88:P88)</f>
        <v>87342.16</v>
      </c>
      <c r="Q89" s="61">
        <f>SUM(O88:Q88)</f>
        <v>130844.07</v>
      </c>
      <c r="R89" s="61">
        <f>SUM(O88:R88)</f>
        <v>172463.91</v>
      </c>
      <c r="S89" s="61">
        <f>SUM(O88:S88)</f>
        <v>215289.19</v>
      </c>
      <c r="T89" s="61">
        <f>SUM(O88:T88)</f>
        <v>260349.59</v>
      </c>
      <c r="U89" s="61">
        <f>SUM(O88:U88)</f>
        <v>309278.99</v>
      </c>
      <c r="V89" s="61">
        <f>SUM(O88:V88)</f>
        <v>310693.75</v>
      </c>
      <c r="W89" s="61">
        <f>SUM(O88:W88)</f>
        <v>359623.15</v>
      </c>
      <c r="X89" s="61">
        <f>SUM(O88:X88)</f>
        <v>408552.55000000005</v>
      </c>
      <c r="Y89" s="61">
        <f>SUM(O88:Y88)</f>
        <v>457481.95000000007</v>
      </c>
      <c r="Z89" s="61">
        <f>SUM(O88:Z88)</f>
        <v>506486.35000000009</v>
      </c>
    </row>
    <row r="90" spans="8:31">
      <c r="K90" s="47"/>
      <c r="L90" s="47"/>
      <c r="M90" s="57"/>
      <c r="N90" s="57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8:31">
      <c r="K91" s="47"/>
      <c r="L91" s="47"/>
      <c r="M91" s="47"/>
      <c r="N91" s="47"/>
    </row>
    <row r="92" spans="8:31">
      <c r="K92" s="47"/>
      <c r="L92" s="47"/>
      <c r="M92" s="47"/>
      <c r="N92" s="47"/>
      <c r="P92" s="310"/>
      <c r="Q92" s="310"/>
      <c r="R92" s="310"/>
      <c r="S92" s="310"/>
      <c r="T92" s="310"/>
    </row>
    <row r="93" spans="8:31">
      <c r="K93" s="47"/>
      <c r="L93" s="47"/>
      <c r="M93" s="47"/>
      <c r="N93" s="47"/>
      <c r="P93" s="310"/>
      <c r="Q93" s="310"/>
      <c r="R93" s="310"/>
      <c r="S93" s="310"/>
      <c r="T93" s="310"/>
    </row>
    <row r="94" spans="8:31">
      <c r="K94" s="47"/>
      <c r="L94" s="47"/>
      <c r="M94" s="47"/>
      <c r="N94" s="47"/>
      <c r="AA94" s="47"/>
      <c r="AB94" s="47"/>
    </row>
    <row r="95" spans="8:31">
      <c r="K95" s="47"/>
      <c r="L95" s="47"/>
      <c r="M95" s="47"/>
      <c r="N95" s="47"/>
      <c r="AA95" s="47"/>
      <c r="AB95" s="47"/>
    </row>
    <row r="96" spans="8:31">
      <c r="K96" s="47"/>
      <c r="L96" s="47"/>
      <c r="M96" s="47"/>
      <c r="N96" s="47"/>
      <c r="AA96" s="47"/>
      <c r="AB96" s="47"/>
    </row>
    <row r="97" spans="11:28">
      <c r="K97" s="47"/>
      <c r="L97" s="47"/>
      <c r="M97" s="47"/>
      <c r="N97" s="47"/>
      <c r="AA97" s="47"/>
      <c r="AB97" s="47"/>
    </row>
    <row r="98" spans="11:28"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B98" s="47"/>
    </row>
    <row r="99" spans="11:28" ht="15.75" thickBot="1">
      <c r="K99">
        <v>2023</v>
      </c>
      <c r="Z99" s="47"/>
      <c r="AB99" s="47"/>
    </row>
    <row r="100" spans="11:28" ht="19.5" thickBot="1">
      <c r="K100" s="24" t="s">
        <v>620</v>
      </c>
      <c r="L100" s="61" t="s">
        <v>31</v>
      </c>
      <c r="M100" s="61" t="s">
        <v>32</v>
      </c>
      <c r="N100" s="61" t="s">
        <v>33</v>
      </c>
      <c r="O100" s="61" t="s">
        <v>34</v>
      </c>
      <c r="P100" s="61" t="s">
        <v>35</v>
      </c>
      <c r="Q100" s="61" t="s">
        <v>36</v>
      </c>
      <c r="R100" s="221" t="s">
        <v>37</v>
      </c>
      <c r="S100" s="61" t="s">
        <v>38</v>
      </c>
      <c r="T100" s="61" t="s">
        <v>39</v>
      </c>
      <c r="U100" s="61" t="s">
        <v>40</v>
      </c>
      <c r="V100" s="61" t="s">
        <v>29</v>
      </c>
      <c r="W100" s="61" t="s">
        <v>30</v>
      </c>
      <c r="X100" s="47"/>
      <c r="Y100" s="98" t="s">
        <v>159</v>
      </c>
      <c r="AB100" s="47"/>
    </row>
    <row r="101" spans="11:28" ht="15.75" thickTop="1">
      <c r="K101" s="52" t="s">
        <v>140</v>
      </c>
      <c r="L101" s="93">
        <v>300</v>
      </c>
      <c r="M101" s="93">
        <v>1750</v>
      </c>
      <c r="N101" s="93">
        <v>1750</v>
      </c>
      <c r="O101" s="93">
        <v>1750</v>
      </c>
      <c r="P101" s="93">
        <v>1750</v>
      </c>
      <c r="Q101" s="93">
        <v>2000</v>
      </c>
      <c r="R101" s="93">
        <v>2000</v>
      </c>
      <c r="S101" s="93">
        <v>2000</v>
      </c>
      <c r="T101" s="93">
        <v>2000</v>
      </c>
      <c r="U101" s="93">
        <v>2000</v>
      </c>
      <c r="V101" s="93">
        <v>-3000</v>
      </c>
      <c r="W101" s="93">
        <v>2000</v>
      </c>
      <c r="X101" s="47"/>
      <c r="Y101" s="100">
        <v>120000</v>
      </c>
      <c r="AB101" s="47"/>
    </row>
    <row r="102" spans="11:28" ht="15.75" thickBot="1">
      <c r="K102" s="52" t="s">
        <v>42</v>
      </c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47"/>
      <c r="Y102" s="62">
        <f>W103</f>
        <v>16300</v>
      </c>
      <c r="AB102" s="47"/>
    </row>
    <row r="103" spans="11:28" ht="15.75" thickBot="1">
      <c r="K103" s="52" t="s">
        <v>43</v>
      </c>
      <c r="L103" s="96">
        <f>L101+H85</f>
        <v>300</v>
      </c>
      <c r="M103" s="96">
        <f t="shared" ref="M103:Q103" si="3">L103+M101+M102</f>
        <v>2050</v>
      </c>
      <c r="N103" s="96">
        <f t="shared" si="3"/>
        <v>3800</v>
      </c>
      <c r="O103" s="96">
        <f t="shared" si="3"/>
        <v>5550</v>
      </c>
      <c r="P103" s="96">
        <f t="shared" si="3"/>
        <v>7300</v>
      </c>
      <c r="Q103" s="96">
        <f t="shared" si="3"/>
        <v>9300</v>
      </c>
      <c r="R103" s="96">
        <f>Q103+R101+R102</f>
        <v>11300</v>
      </c>
      <c r="S103" s="96">
        <f t="shared" ref="S103:W103" si="4">R103+S101+S102</f>
        <v>13300</v>
      </c>
      <c r="T103" s="96">
        <f t="shared" si="4"/>
        <v>15300</v>
      </c>
      <c r="U103" s="96">
        <f t="shared" si="4"/>
        <v>17300</v>
      </c>
      <c r="V103" s="96">
        <f t="shared" si="4"/>
        <v>14300</v>
      </c>
      <c r="W103" s="96">
        <f t="shared" si="4"/>
        <v>16300</v>
      </c>
      <c r="X103" s="47"/>
      <c r="Y103" s="103">
        <f>Y101-W103</f>
        <v>103700</v>
      </c>
      <c r="AB103" s="47"/>
    </row>
    <row r="104" spans="11:28">
      <c r="AB104" s="47"/>
    </row>
    <row r="105" spans="11:28">
      <c r="AB105" s="47"/>
    </row>
    <row r="106" spans="11:28">
      <c r="AB106" s="47"/>
    </row>
    <row r="107" spans="11:28" ht="15.75" thickBot="1">
      <c r="K107">
        <v>2022</v>
      </c>
      <c r="AB107" s="47"/>
    </row>
    <row r="108" spans="11:28" ht="19.5" thickBot="1">
      <c r="K108" s="88" t="s">
        <v>139</v>
      </c>
      <c r="L108" s="61" t="s">
        <v>31</v>
      </c>
      <c r="M108" s="61" t="s">
        <v>32</v>
      </c>
      <c r="N108" s="61" t="s">
        <v>33</v>
      </c>
      <c r="O108" s="61" t="s">
        <v>34</v>
      </c>
      <c r="P108" s="61" t="s">
        <v>35</v>
      </c>
      <c r="Q108" s="61" t="s">
        <v>36</v>
      </c>
      <c r="R108" s="221" t="s">
        <v>37</v>
      </c>
      <c r="S108" s="61" t="s">
        <v>38</v>
      </c>
      <c r="T108" s="61" t="s">
        <v>39</v>
      </c>
      <c r="U108" s="61" t="s">
        <v>40</v>
      </c>
      <c r="V108" s="61" t="s">
        <v>29</v>
      </c>
      <c r="W108" s="61" t="s">
        <v>30</v>
      </c>
      <c r="X108" s="47"/>
      <c r="Y108" s="98" t="s">
        <v>159</v>
      </c>
      <c r="AB108" s="47"/>
    </row>
    <row r="109" spans="11:28" ht="15.75" thickTop="1">
      <c r="K109" s="52" t="s">
        <v>140</v>
      </c>
      <c r="L109" s="93">
        <v>1000</v>
      </c>
      <c r="M109" s="93">
        <v>500</v>
      </c>
      <c r="N109" s="93">
        <v>250</v>
      </c>
      <c r="O109" s="93">
        <v>250</v>
      </c>
      <c r="P109" s="93">
        <v>250</v>
      </c>
      <c r="Q109" s="93">
        <v>250</v>
      </c>
      <c r="R109" s="93">
        <v>250</v>
      </c>
      <c r="S109" s="93">
        <v>250</v>
      </c>
      <c r="T109" s="93">
        <v>250</v>
      </c>
      <c r="U109" s="93">
        <v>250</v>
      </c>
      <c r="V109" s="93">
        <v>250</v>
      </c>
      <c r="W109" s="93">
        <v>250</v>
      </c>
      <c r="X109" s="47"/>
      <c r="Y109" s="100">
        <v>120000</v>
      </c>
      <c r="AB109" s="47"/>
    </row>
    <row r="110" spans="11:28" ht="15.75" thickBot="1">
      <c r="K110" s="52" t="s">
        <v>42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 s="94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47"/>
      <c r="Y110" s="62">
        <f>W111</f>
        <v>4000</v>
      </c>
    </row>
    <row r="111" spans="11:28" ht="15.75" thickBot="1">
      <c r="K111" s="52" t="s">
        <v>43</v>
      </c>
      <c r="L111" s="96">
        <f>L109+H93</f>
        <v>1000</v>
      </c>
      <c r="M111" s="96">
        <f t="shared" ref="M111:W111" si="5">L111+M109+M110</f>
        <v>1500</v>
      </c>
      <c r="N111" s="96">
        <f t="shared" si="5"/>
        <v>1750</v>
      </c>
      <c r="O111" s="96">
        <f t="shared" si="5"/>
        <v>2000</v>
      </c>
      <c r="P111" s="96">
        <f t="shared" si="5"/>
        <v>2250</v>
      </c>
      <c r="Q111" s="96">
        <f t="shared" si="5"/>
        <v>2500</v>
      </c>
      <c r="R111" s="96">
        <f t="shared" si="5"/>
        <v>2750</v>
      </c>
      <c r="S111" s="96">
        <f t="shared" si="5"/>
        <v>3000</v>
      </c>
      <c r="T111" s="96">
        <f t="shared" si="5"/>
        <v>3250</v>
      </c>
      <c r="U111" s="96">
        <f t="shared" si="5"/>
        <v>3500</v>
      </c>
      <c r="V111" s="96">
        <f t="shared" si="5"/>
        <v>3750</v>
      </c>
      <c r="W111" s="96">
        <f t="shared" si="5"/>
        <v>4000</v>
      </c>
      <c r="X111" s="47"/>
      <c r="Y111" s="103">
        <f>Y109-W111</f>
        <v>116000</v>
      </c>
    </row>
  </sheetData>
  <mergeCells count="60">
    <mergeCell ref="K88:N88"/>
    <mergeCell ref="K89:N89"/>
    <mergeCell ref="P92:T92"/>
    <mergeCell ref="P93:T93"/>
    <mergeCell ref="K82:N82"/>
    <mergeCell ref="K83:N83"/>
    <mergeCell ref="AC83:AE83"/>
    <mergeCell ref="K85:N85"/>
    <mergeCell ref="AC85:AE85"/>
    <mergeCell ref="K87:N87"/>
    <mergeCell ref="K77:N77"/>
    <mergeCell ref="AC77:AE77"/>
    <mergeCell ref="K79:N79"/>
    <mergeCell ref="AC79:AE79"/>
    <mergeCell ref="K80:N80"/>
    <mergeCell ref="K81:N81"/>
    <mergeCell ref="K65:N65"/>
    <mergeCell ref="K66:N66"/>
    <mergeCell ref="K67:N67"/>
    <mergeCell ref="AC67:AE67"/>
    <mergeCell ref="K70:N70"/>
    <mergeCell ref="AC70:AE70"/>
    <mergeCell ref="K63:N63"/>
    <mergeCell ref="AC63:AE63"/>
    <mergeCell ref="K51:N51"/>
    <mergeCell ref="AC51:AE51"/>
    <mergeCell ref="K56:N56"/>
    <mergeCell ref="AC56:AE56"/>
    <mergeCell ref="K57:N57"/>
    <mergeCell ref="AC57:AE57"/>
    <mergeCell ref="K58:N58"/>
    <mergeCell ref="AC58:AE58"/>
    <mergeCell ref="AC60:AE60"/>
    <mergeCell ref="K62:N62"/>
    <mergeCell ref="AC62:AE62"/>
    <mergeCell ref="K49:N49"/>
    <mergeCell ref="AC49:AE49"/>
    <mergeCell ref="K29:N29"/>
    <mergeCell ref="AC29:AE29"/>
    <mergeCell ref="K33:N33"/>
    <mergeCell ref="K37:N37"/>
    <mergeCell ref="AC37:AE37"/>
    <mergeCell ref="AC42:AE42"/>
    <mergeCell ref="K43:N43"/>
    <mergeCell ref="AC43:AE43"/>
    <mergeCell ref="K48:N48"/>
    <mergeCell ref="AC48:AE48"/>
    <mergeCell ref="K5:N5"/>
    <mergeCell ref="AC5:AE5"/>
    <mergeCell ref="AC6:AE6"/>
    <mergeCell ref="AC23:AE23"/>
    <mergeCell ref="K26:N26"/>
    <mergeCell ref="AC26:AE26"/>
    <mergeCell ref="K4:N4"/>
    <mergeCell ref="AC4:AE4"/>
    <mergeCell ref="A1:B1"/>
    <mergeCell ref="K1:N1"/>
    <mergeCell ref="K2:N2"/>
    <mergeCell ref="AC3:AE3"/>
    <mergeCell ref="A2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9423-65C6-41E5-9225-5D345367A685}">
  <dimension ref="A1:AE111"/>
  <sheetViews>
    <sheetView workbookViewId="0">
      <selection activeCell="B5" sqref="B5"/>
    </sheetView>
  </sheetViews>
  <sheetFormatPr defaultRowHeight="15"/>
  <cols>
    <col min="1" max="1" width="14.85546875" bestFit="1" customWidth="1"/>
    <col min="2" max="2" width="19.140625" customWidth="1"/>
    <col min="3" max="3" width="20.5703125" customWidth="1"/>
    <col min="6" max="6" width="38.5703125" bestFit="1" customWidth="1"/>
    <col min="10" max="10" width="15.28515625" bestFit="1" customWidth="1"/>
    <col min="13" max="13" width="12.7109375" customWidth="1"/>
    <col min="21" max="21" width="9.7109375" bestFit="1" customWidth="1"/>
    <col min="22" max="22" width="10.85546875" bestFit="1" customWidth="1"/>
    <col min="23" max="23" width="9" bestFit="1" customWidth="1"/>
    <col min="24" max="24" width="10.42578125" bestFit="1" customWidth="1"/>
    <col min="25" max="25" width="10.140625" bestFit="1" customWidth="1"/>
    <col min="27" max="27" width="12" bestFit="1" customWidth="1"/>
  </cols>
  <sheetData>
    <row r="1" spans="1:30" ht="16.5" thickTop="1" thickBot="1">
      <c r="A1" s="268" t="s">
        <v>237</v>
      </c>
      <c r="B1" s="269"/>
      <c r="C1" s="138" t="s">
        <v>1</v>
      </c>
      <c r="D1" s="138"/>
      <c r="E1" s="138"/>
      <c r="F1" s="138"/>
      <c r="G1" s="180" t="s">
        <v>582</v>
      </c>
      <c r="H1" s="180"/>
      <c r="I1" s="180"/>
      <c r="J1" s="276" t="s">
        <v>52</v>
      </c>
      <c r="K1" s="276"/>
      <c r="L1" s="276"/>
      <c r="M1" s="277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/>
      <c r="C2" s="191">
        <v>373.56</v>
      </c>
      <c r="D2" s="191"/>
      <c r="E2" s="191">
        <v>373.56</v>
      </c>
      <c r="F2" s="191" t="s">
        <v>465</v>
      </c>
      <c r="G2" s="274">
        <f>C33+C34</f>
        <v>30018.85</v>
      </c>
      <c r="H2" s="274"/>
      <c r="I2" s="274"/>
      <c r="J2" s="278" t="s">
        <v>543</v>
      </c>
      <c r="K2" s="278"/>
      <c r="L2" s="278"/>
      <c r="M2" s="278"/>
      <c r="N2" s="47">
        <v>46239.28</v>
      </c>
      <c r="O2" s="47">
        <v>46239.28</v>
      </c>
      <c r="P2" s="47">
        <v>46239.28</v>
      </c>
      <c r="Q2" s="47">
        <v>46239.28</v>
      </c>
      <c r="R2" s="47">
        <v>46239.28</v>
      </c>
      <c r="S2" s="47">
        <v>48929.4</v>
      </c>
      <c r="T2" s="47">
        <v>48929.4</v>
      </c>
      <c r="U2" s="47">
        <v>48929.4</v>
      </c>
      <c r="V2" s="47">
        <v>48929.4</v>
      </c>
      <c r="W2" s="47">
        <v>48929.4</v>
      </c>
      <c r="X2" s="47">
        <v>48929.4</v>
      </c>
      <c r="Y2" s="47">
        <v>48929.4</v>
      </c>
      <c r="Z2" s="118">
        <f>SUM(N2:Y2)</f>
        <v>573702.20000000007</v>
      </c>
      <c r="AA2" s="20">
        <f>AVERAGE(N2:Y2)</f>
        <v>47808.51666666667</v>
      </c>
    </row>
    <row r="3" spans="1:30" ht="16.5" thickTop="1" thickBot="1">
      <c r="A3" s="26"/>
      <c r="B3" s="47">
        <v>48929.4</v>
      </c>
      <c r="C3" s="191">
        <v>2891.88</v>
      </c>
      <c r="D3" s="191"/>
      <c r="E3" s="191">
        <v>2581.31</v>
      </c>
      <c r="F3" s="191" t="s">
        <v>278</v>
      </c>
      <c r="H3" s="47"/>
      <c r="I3" s="47"/>
      <c r="J3" s="217"/>
      <c r="K3" s="217"/>
      <c r="L3" s="217"/>
      <c r="M3" s="217" t="s">
        <v>580</v>
      </c>
      <c r="N3" s="47"/>
      <c r="O3" s="47"/>
      <c r="P3" s="47"/>
      <c r="Q3" s="47"/>
      <c r="R3">
        <v>1268.44</v>
      </c>
      <c r="S3" s="47">
        <v>1083.7</v>
      </c>
      <c r="T3" s="47"/>
      <c r="U3" s="47"/>
      <c r="V3" s="47"/>
      <c r="W3" s="47">
        <v>538.20000000000005</v>
      </c>
      <c r="X3" s="47">
        <f>372.1+230</f>
        <v>602.1</v>
      </c>
      <c r="Y3" s="47">
        <f>385.9+230</f>
        <v>615.9</v>
      </c>
      <c r="Z3" s="118"/>
      <c r="AA3" s="20"/>
      <c r="AB3" s="279" t="s">
        <v>480</v>
      </c>
      <c r="AC3" s="280"/>
      <c r="AD3" s="280"/>
    </row>
    <row r="4" spans="1:30" ht="16.5" thickTop="1" thickBot="1">
      <c r="A4" s="47"/>
      <c r="B4" s="47">
        <v>48929.4</v>
      </c>
      <c r="C4" s="191">
        <v>1945.33</v>
      </c>
      <c r="D4" s="191"/>
      <c r="E4" s="191">
        <v>1945.33</v>
      </c>
      <c r="F4" s="191" t="s">
        <v>453</v>
      </c>
      <c r="J4" s="270" t="s">
        <v>504</v>
      </c>
      <c r="K4" s="314"/>
      <c r="L4" s="314"/>
      <c r="M4" s="315"/>
      <c r="N4" s="56">
        <v>2009</v>
      </c>
      <c r="O4" s="56">
        <v>4004</v>
      </c>
      <c r="P4" s="56" t="s">
        <v>579</v>
      </c>
      <c r="Q4" s="56" t="s">
        <v>578</v>
      </c>
      <c r="R4" s="56">
        <v>3414</v>
      </c>
      <c r="S4" s="56">
        <v>3869</v>
      </c>
      <c r="T4" s="56"/>
      <c r="U4" s="56">
        <f>8000+6622.06</f>
        <v>14622.060000000001</v>
      </c>
      <c r="V4" s="56"/>
      <c r="W4" s="56"/>
      <c r="X4" s="56"/>
      <c r="Y4" s="56"/>
      <c r="Z4" s="118">
        <f>SUM(N4:Y4)</f>
        <v>27918.06</v>
      </c>
      <c r="AA4" s="20">
        <f>AVERAGE(N4:Y4)</f>
        <v>5583.6120000000001</v>
      </c>
      <c r="AB4" s="272" t="s">
        <v>63</v>
      </c>
      <c r="AC4" s="272"/>
      <c r="AD4" s="273"/>
    </row>
    <row r="5" spans="1:30" ht="16.5" thickTop="1" thickBot="1">
      <c r="A5" s="125" t="s">
        <v>503</v>
      </c>
      <c r="B5" s="47">
        <f>B3*0.3</f>
        <v>14678.82</v>
      </c>
      <c r="C5" s="191">
        <v>754.37</v>
      </c>
      <c r="D5" s="191"/>
      <c r="E5" s="191">
        <v>694</v>
      </c>
      <c r="F5" s="191" t="s">
        <v>576</v>
      </c>
      <c r="J5" s="283" t="s">
        <v>149</v>
      </c>
      <c r="K5" s="283"/>
      <c r="L5" s="283"/>
      <c r="M5" s="283"/>
      <c r="N5" s="202"/>
      <c r="Y5">
        <v>1</v>
      </c>
      <c r="Z5" s="118">
        <f>SUM(N5:Y5)</f>
        <v>1</v>
      </c>
      <c r="AA5" s="20">
        <f>AVERAGE(N5:Y5)</f>
        <v>1</v>
      </c>
      <c r="AB5" s="257"/>
      <c r="AC5" s="257"/>
      <c r="AD5" s="257"/>
    </row>
    <row r="6" spans="1:30" ht="16.5" thickTop="1" thickBot="1">
      <c r="A6" s="125"/>
      <c r="B6" s="47"/>
      <c r="C6" s="191"/>
      <c r="D6" s="191"/>
      <c r="E6" s="191"/>
      <c r="F6" s="191"/>
      <c r="J6" s="213"/>
      <c r="K6" s="213"/>
      <c r="L6" s="213"/>
      <c r="M6" s="213" t="s">
        <v>480</v>
      </c>
      <c r="N6" s="202"/>
      <c r="Y6">
        <v>1</v>
      </c>
      <c r="Z6" s="118"/>
      <c r="AA6" s="20"/>
      <c r="AB6" s="285"/>
      <c r="AC6" s="257"/>
      <c r="AD6" s="257"/>
    </row>
    <row r="7" spans="1:30" ht="16.5" thickTop="1" thickBot="1">
      <c r="A7" s="47"/>
      <c r="B7" s="47"/>
      <c r="C7" s="191"/>
      <c r="D7" s="191"/>
      <c r="E7" s="191">
        <v>868</v>
      </c>
      <c r="F7" s="191" t="s">
        <v>138</v>
      </c>
      <c r="J7" s="213"/>
      <c r="K7" s="213"/>
      <c r="L7" s="213"/>
      <c r="M7" s="213" t="s">
        <v>512</v>
      </c>
      <c r="N7" s="202"/>
      <c r="Y7">
        <v>1</v>
      </c>
      <c r="Z7" s="118"/>
      <c r="AA7" s="20"/>
      <c r="AB7" s="225"/>
      <c r="AC7" s="224"/>
      <c r="AD7" s="224"/>
    </row>
    <row r="8" spans="1:30" ht="16.5" thickTop="1" thickBot="1">
      <c r="A8" s="47"/>
      <c r="B8" s="47"/>
      <c r="C8" s="191">
        <v>777</v>
      </c>
      <c r="D8" s="191"/>
      <c r="E8" s="191">
        <v>777</v>
      </c>
      <c r="F8" s="191" t="s">
        <v>144</v>
      </c>
      <c r="J8" s="213"/>
      <c r="K8" s="213"/>
      <c r="L8" s="213"/>
      <c r="M8" s="213" t="s">
        <v>511</v>
      </c>
      <c r="N8" s="202"/>
      <c r="Y8">
        <v>1</v>
      </c>
      <c r="Z8" s="118"/>
      <c r="AA8" s="20"/>
      <c r="AB8" s="225"/>
      <c r="AC8" s="224"/>
      <c r="AD8" s="224"/>
    </row>
    <row r="9" spans="1:30" ht="16.5" thickTop="1" thickBot="1">
      <c r="A9" s="47"/>
      <c r="B9" s="47"/>
      <c r="C9" s="191"/>
      <c r="D9" s="191"/>
      <c r="E9" s="191"/>
      <c r="F9" s="191"/>
      <c r="J9" s="213"/>
      <c r="K9" s="213"/>
      <c r="L9" s="213"/>
      <c r="M9" s="213" t="s">
        <v>570</v>
      </c>
      <c r="N9" s="202"/>
      <c r="Y9">
        <v>1</v>
      </c>
      <c r="Z9" s="118"/>
      <c r="AA9" s="20"/>
      <c r="AB9" s="225"/>
      <c r="AC9" s="224"/>
      <c r="AD9" s="224"/>
    </row>
    <row r="10" spans="1:30" ht="16.5" thickTop="1" thickBot="1">
      <c r="A10" s="47"/>
      <c r="B10" s="47"/>
      <c r="C10" s="191">
        <v>610</v>
      </c>
      <c r="D10" s="191"/>
      <c r="E10" s="191">
        <v>598</v>
      </c>
      <c r="F10" s="191" t="s">
        <v>464</v>
      </c>
      <c r="J10" s="213"/>
      <c r="K10" s="213"/>
      <c r="L10" s="213"/>
      <c r="M10" s="213" t="s">
        <v>587</v>
      </c>
      <c r="N10" s="202"/>
      <c r="U10">
        <v>800</v>
      </c>
      <c r="Z10" s="118"/>
      <c r="AA10" s="20"/>
      <c r="AB10" s="225"/>
      <c r="AC10" s="224"/>
      <c r="AD10" s="224"/>
    </row>
    <row r="11" spans="1:30" ht="16.5" thickTop="1" thickBot="1">
      <c r="A11" s="47"/>
      <c r="B11" s="47" t="s">
        <v>7</v>
      </c>
      <c r="C11" s="191">
        <v>312.8</v>
      </c>
      <c r="D11" s="191"/>
      <c r="E11" s="191">
        <v>312.8</v>
      </c>
      <c r="F11" s="191" t="s">
        <v>455</v>
      </c>
      <c r="J11" s="213"/>
      <c r="K11" s="213"/>
      <c r="L11" s="213"/>
      <c r="M11" s="213" t="s">
        <v>572</v>
      </c>
      <c r="N11" s="202"/>
      <c r="Y11">
        <v>1</v>
      </c>
      <c r="Z11" s="118"/>
      <c r="AA11" s="20"/>
      <c r="AB11" s="225"/>
      <c r="AC11" s="224"/>
      <c r="AD11" s="224"/>
    </row>
    <row r="12" spans="1:30" ht="16.5" thickTop="1" thickBot="1">
      <c r="A12" s="47"/>
      <c r="B12" s="47"/>
      <c r="C12" s="191">
        <f>57+50+56+166+166</f>
        <v>495</v>
      </c>
      <c r="D12" s="191"/>
      <c r="E12" s="191">
        <f>57+50+56+166+166</f>
        <v>495</v>
      </c>
      <c r="F12" s="191" t="s">
        <v>445</v>
      </c>
      <c r="J12" s="213"/>
      <c r="K12" s="213"/>
      <c r="L12" s="213"/>
      <c r="M12" s="213" t="s">
        <v>535</v>
      </c>
      <c r="N12" s="202"/>
      <c r="Y12">
        <v>1</v>
      </c>
      <c r="Z12" s="118"/>
      <c r="AA12" s="20"/>
      <c r="AB12" s="225"/>
      <c r="AC12" s="224"/>
      <c r="AD12" s="224"/>
    </row>
    <row r="13" spans="1:30" ht="16.5" thickTop="1" thickBot="1">
      <c r="A13" s="47"/>
      <c r="B13" s="47"/>
      <c r="C13" s="192">
        <v>3000</v>
      </c>
      <c r="D13" s="192"/>
      <c r="E13" s="192"/>
      <c r="F13" s="192" t="s">
        <v>595</v>
      </c>
      <c r="G13" t="s">
        <v>604</v>
      </c>
      <c r="J13" s="213"/>
      <c r="K13" s="213"/>
      <c r="L13" s="213"/>
      <c r="M13" s="213" t="s">
        <v>536</v>
      </c>
      <c r="N13" s="202"/>
      <c r="Y13">
        <v>1</v>
      </c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34">
        <v>500</v>
      </c>
      <c r="D14" s="134"/>
      <c r="E14" s="134"/>
      <c r="F14" s="134" t="s">
        <v>601</v>
      </c>
      <c r="G14" s="47"/>
      <c r="J14" s="213"/>
      <c r="K14" s="213"/>
      <c r="L14" s="213"/>
      <c r="M14" s="213" t="s">
        <v>526</v>
      </c>
      <c r="N14" s="202"/>
      <c r="Y14">
        <v>1</v>
      </c>
      <c r="Z14" s="118"/>
      <c r="AA14" s="20"/>
      <c r="AB14" s="225"/>
      <c r="AC14" s="224"/>
      <c r="AD14" s="224"/>
    </row>
    <row r="15" spans="1:30" ht="16.5" thickTop="1" thickBot="1">
      <c r="A15" s="47"/>
      <c r="B15" s="47"/>
      <c r="C15" s="134"/>
      <c r="D15" s="134"/>
      <c r="E15" s="134">
        <v>3036</v>
      </c>
      <c r="F15" s="134" t="s">
        <v>554</v>
      </c>
      <c r="J15" s="213"/>
      <c r="K15" s="213"/>
      <c r="L15" s="213"/>
      <c r="M15" s="213" t="s">
        <v>531</v>
      </c>
      <c r="N15" s="202"/>
      <c r="Y15">
        <v>1</v>
      </c>
      <c r="Z15" s="118"/>
      <c r="AA15" s="20"/>
      <c r="AB15" s="225"/>
      <c r="AC15" s="224"/>
      <c r="AD15" s="224"/>
    </row>
    <row r="16" spans="1:30" ht="16.5" thickTop="1" thickBot="1">
      <c r="A16" s="47"/>
      <c r="B16" s="47"/>
      <c r="C16" s="134"/>
      <c r="D16" s="134"/>
      <c r="E16" s="134">
        <v>1000</v>
      </c>
      <c r="F16" s="134" t="s">
        <v>575</v>
      </c>
      <c r="J16" s="213"/>
      <c r="K16" s="213"/>
      <c r="L16" s="213"/>
      <c r="M16" s="213" t="s">
        <v>530</v>
      </c>
      <c r="N16" s="202"/>
      <c r="U16">
        <v>165.4</v>
      </c>
      <c r="Y16">
        <v>1</v>
      </c>
      <c r="Z16" s="118"/>
      <c r="AA16" s="20"/>
      <c r="AB16" s="225"/>
      <c r="AC16" s="224"/>
      <c r="AD16" s="224"/>
    </row>
    <row r="17" spans="1:30" ht="16.5" thickTop="1" thickBot="1">
      <c r="A17" s="47"/>
      <c r="C17" s="134">
        <f>C49</f>
        <v>1000</v>
      </c>
      <c r="D17" s="134"/>
      <c r="E17" s="134">
        <v>1000</v>
      </c>
      <c r="F17" s="134" t="s">
        <v>555</v>
      </c>
      <c r="J17" s="213"/>
      <c r="K17" s="213"/>
      <c r="L17" s="213"/>
      <c r="M17" s="213" t="s">
        <v>590</v>
      </c>
      <c r="N17" s="202"/>
      <c r="U17">
        <v>210</v>
      </c>
      <c r="Y17">
        <v>1</v>
      </c>
      <c r="Z17" s="118"/>
      <c r="AA17" s="20"/>
      <c r="AB17" s="225"/>
      <c r="AC17" s="224"/>
      <c r="AD17" s="224"/>
    </row>
    <row r="18" spans="1:30" ht="16.5" thickTop="1" thickBot="1">
      <c r="A18" s="47"/>
      <c r="B18" s="47"/>
      <c r="C18" s="134">
        <v>750</v>
      </c>
      <c r="D18" s="134"/>
      <c r="E18" s="134">
        <v>750</v>
      </c>
      <c r="F18" s="134" t="s">
        <v>17</v>
      </c>
      <c r="J18" s="213"/>
      <c r="K18" s="213"/>
      <c r="L18" s="213"/>
      <c r="M18" s="213" t="s">
        <v>533</v>
      </c>
      <c r="N18" s="202"/>
      <c r="Y18">
        <v>1</v>
      </c>
      <c r="Z18" s="118"/>
      <c r="AA18" s="20"/>
      <c r="AB18" s="225"/>
      <c r="AC18" s="224"/>
      <c r="AD18" s="224"/>
    </row>
    <row r="19" spans="1:30" ht="16.5" thickTop="1" thickBot="1">
      <c r="A19" s="47"/>
      <c r="B19" s="47"/>
      <c r="C19" s="194"/>
      <c r="D19" s="194"/>
      <c r="E19" s="194"/>
      <c r="F19" s="194"/>
      <c r="J19" s="213"/>
      <c r="K19" s="213"/>
      <c r="L19" s="213"/>
      <c r="M19" s="213" t="s">
        <v>573</v>
      </c>
      <c r="N19" s="202"/>
      <c r="Y19">
        <v>1</v>
      </c>
      <c r="Z19" s="118"/>
      <c r="AA19" s="20"/>
      <c r="AB19" s="225"/>
      <c r="AC19" s="224"/>
      <c r="AD19" s="224"/>
    </row>
    <row r="20" spans="1:30" ht="16.5" thickTop="1" thickBot="1">
      <c r="A20" s="47"/>
      <c r="B20" s="47"/>
      <c r="C20" s="194">
        <v>5000</v>
      </c>
      <c r="D20" s="194"/>
      <c r="E20" s="194">
        <v>5000</v>
      </c>
      <c r="F20" s="194" t="s">
        <v>605</v>
      </c>
      <c r="J20" s="213"/>
      <c r="K20" s="213"/>
      <c r="L20" s="213"/>
      <c r="M20" s="213" t="s">
        <v>541</v>
      </c>
      <c r="N20" s="202"/>
      <c r="Y20">
        <v>1</v>
      </c>
      <c r="Z20" s="118"/>
      <c r="AA20" s="20"/>
      <c r="AB20" s="225"/>
      <c r="AC20" s="224"/>
      <c r="AD20" s="224"/>
    </row>
    <row r="21" spans="1:30" ht="16.5" thickTop="1" thickBot="1">
      <c r="A21" s="47"/>
      <c r="B21" s="47"/>
      <c r="C21" s="194">
        <v>1500</v>
      </c>
      <c r="D21" s="194"/>
      <c r="E21" s="194">
        <v>1300</v>
      </c>
      <c r="F21" s="194" t="s">
        <v>440</v>
      </c>
      <c r="H21" s="47"/>
      <c r="I21" s="47"/>
      <c r="J21" s="213"/>
      <c r="K21" s="213"/>
      <c r="L21" s="213"/>
      <c r="M21" s="213" t="s">
        <v>591</v>
      </c>
      <c r="U21">
        <v>130</v>
      </c>
      <c r="Z21" s="118"/>
      <c r="AA21" s="20"/>
      <c r="AB21" s="225"/>
      <c r="AC21" s="224"/>
      <c r="AD21" s="224"/>
    </row>
    <row r="22" spans="1:30" ht="16.5" thickTop="1" thickBot="1">
      <c r="A22" s="47"/>
      <c r="B22" s="47"/>
      <c r="C22" s="194">
        <v>2600</v>
      </c>
      <c r="D22" s="194"/>
      <c r="E22" s="194">
        <v>2600</v>
      </c>
      <c r="F22" s="194" t="s">
        <v>6</v>
      </c>
      <c r="H22" s="47"/>
      <c r="I22" s="47"/>
      <c r="J22" s="213"/>
      <c r="K22" s="213"/>
      <c r="L22" s="213"/>
      <c r="M22" s="213" t="s">
        <v>589</v>
      </c>
      <c r="U22">
        <v>110</v>
      </c>
      <c r="Y22">
        <v>1</v>
      </c>
      <c r="Z22" s="118"/>
      <c r="AA22" s="20"/>
      <c r="AB22" s="225"/>
      <c r="AC22" s="224"/>
      <c r="AD22" s="224"/>
    </row>
    <row r="23" spans="1:30" ht="16.5" thickTop="1" thickBot="1">
      <c r="A23" s="47"/>
      <c r="B23" s="47"/>
      <c r="C23" s="194"/>
      <c r="D23" s="194"/>
      <c r="E23" s="194">
        <v>176</v>
      </c>
      <c r="F23" s="194" t="s">
        <v>13</v>
      </c>
      <c r="H23" s="47"/>
      <c r="I23" s="47"/>
      <c r="J23" s="208"/>
      <c r="K23" s="208"/>
      <c r="L23" s="208"/>
      <c r="M23" s="218" t="s">
        <v>471</v>
      </c>
      <c r="U23">
        <v>1057.4000000000001</v>
      </c>
      <c r="Y23">
        <v>1</v>
      </c>
      <c r="Z23" s="118"/>
      <c r="AA23" s="20"/>
      <c r="AB23" s="286" t="s">
        <v>471</v>
      </c>
      <c r="AC23" s="258"/>
      <c r="AD23" s="258"/>
    </row>
    <row r="24" spans="1:30" ht="16.5" thickTop="1" thickBot="1">
      <c r="A24" s="47"/>
      <c r="C24" s="194">
        <v>4000</v>
      </c>
      <c r="D24" s="194"/>
      <c r="E24" s="194">
        <v>4000</v>
      </c>
      <c r="F24" s="194" t="s">
        <v>454</v>
      </c>
      <c r="H24" s="47"/>
      <c r="I24" s="47"/>
      <c r="J24" s="208"/>
      <c r="K24" s="208"/>
      <c r="L24" s="208"/>
      <c r="M24" s="218" t="s">
        <v>491</v>
      </c>
      <c r="Y24">
        <v>1</v>
      </c>
      <c r="Z24" s="118"/>
      <c r="AA24" s="20"/>
      <c r="AB24" s="207"/>
      <c r="AC24" s="207"/>
      <c r="AD24" s="207"/>
    </row>
    <row r="25" spans="1:30" ht="16.5" thickTop="1" thickBot="1">
      <c r="A25" s="47"/>
      <c r="C25" s="194">
        <v>159</v>
      </c>
      <c r="D25" s="194"/>
      <c r="E25" s="194">
        <v>140</v>
      </c>
      <c r="F25" s="194" t="s">
        <v>248</v>
      </c>
      <c r="H25" s="220"/>
      <c r="I25" s="47"/>
      <c r="J25" s="208"/>
      <c r="K25" s="208"/>
      <c r="L25" s="208"/>
      <c r="M25" s="218" t="s">
        <v>497</v>
      </c>
      <c r="Y25">
        <v>1</v>
      </c>
      <c r="Z25" s="118"/>
      <c r="AA25" s="20"/>
      <c r="AB25" s="207"/>
      <c r="AC25" s="207"/>
      <c r="AD25" s="207"/>
    </row>
    <row r="26" spans="1:30" ht="16.5" thickTop="1" thickBot="1">
      <c r="A26" s="47"/>
      <c r="B26" s="47"/>
      <c r="C26" s="194">
        <v>1000</v>
      </c>
      <c r="D26" s="194"/>
      <c r="E26" s="194"/>
      <c r="F26" s="194" t="s">
        <v>583</v>
      </c>
      <c r="H26" s="47"/>
      <c r="I26" s="47"/>
      <c r="J26" s="287" t="s">
        <v>586</v>
      </c>
      <c r="K26" s="287"/>
      <c r="L26" s="287"/>
      <c r="M26" s="288"/>
      <c r="U26">
        <v>69.900000000000006</v>
      </c>
      <c r="Y26">
        <v>1</v>
      </c>
      <c r="Z26" s="118">
        <f>SUM(N26:Y26)</f>
        <v>70.900000000000006</v>
      </c>
      <c r="AA26" s="20">
        <f>AVERAGE(N26:Y26)</f>
        <v>35.450000000000003</v>
      </c>
      <c r="AB26" s="258" t="s">
        <v>276</v>
      </c>
      <c r="AC26" s="258"/>
      <c r="AD26" s="258"/>
    </row>
    <row r="27" spans="1:30" ht="16.5" thickTop="1" thickBot="1">
      <c r="A27" s="231">
        <v>18002.72</v>
      </c>
      <c r="B27" s="231">
        <v>17149.34</v>
      </c>
      <c r="C27" s="231">
        <v>18858.91</v>
      </c>
      <c r="D27" s="231">
        <v>16318.55</v>
      </c>
      <c r="E27" s="231">
        <v>15771.47</v>
      </c>
      <c r="F27" s="232" t="s">
        <v>412</v>
      </c>
      <c r="J27" s="208"/>
      <c r="K27" s="208"/>
      <c r="L27" s="208"/>
      <c r="M27" s="218" t="s">
        <v>569</v>
      </c>
      <c r="Y27">
        <v>1</v>
      </c>
      <c r="Z27" s="118"/>
      <c r="AA27" s="20"/>
      <c r="AB27" s="207"/>
      <c r="AC27" s="207"/>
      <c r="AD27" s="207"/>
    </row>
    <row r="28" spans="1:30" ht="16.5" thickTop="1" thickBot="1">
      <c r="A28" s="47"/>
      <c r="H28" t="s">
        <v>538</v>
      </c>
      <c r="J28" s="208"/>
      <c r="K28" s="208"/>
      <c r="L28" s="208"/>
      <c r="M28" s="218" t="s">
        <v>561</v>
      </c>
      <c r="Y28">
        <v>1</v>
      </c>
      <c r="Z28" s="118"/>
      <c r="AA28" s="20"/>
      <c r="AB28" s="207"/>
      <c r="AC28" s="207"/>
      <c r="AD28" s="207"/>
    </row>
    <row r="29" spans="1:30" ht="16.5" thickTop="1" thickBot="1">
      <c r="A29" s="47"/>
      <c r="B29" s="230" t="s">
        <v>20</v>
      </c>
      <c r="C29" s="230"/>
      <c r="D29" s="118"/>
      <c r="E29" s="118"/>
      <c r="F29" s="230"/>
      <c r="H29">
        <f>C27-E27</f>
        <v>3087.4400000000005</v>
      </c>
      <c r="J29" s="287" t="s">
        <v>386</v>
      </c>
      <c r="K29" s="287"/>
      <c r="L29" s="287"/>
      <c r="M29" s="287"/>
      <c r="N29" s="202"/>
      <c r="Y29">
        <v>1</v>
      </c>
      <c r="Z29" s="118">
        <f>SUM(N29:Y29)</f>
        <v>1</v>
      </c>
      <c r="AA29" s="20">
        <f>AVERAGE(N29:Y29)</f>
        <v>1</v>
      </c>
      <c r="AB29" s="259" t="s">
        <v>65</v>
      </c>
      <c r="AC29" s="259"/>
      <c r="AD29" s="259"/>
    </row>
    <row r="30" spans="1:30" ht="16.5" thickTop="1" thickBot="1">
      <c r="A30" s="47"/>
      <c r="B30" s="205" t="s">
        <v>461</v>
      </c>
      <c r="C30" s="206">
        <v>1500</v>
      </c>
      <c r="D30" s="206"/>
      <c r="E30" s="206">
        <v>500</v>
      </c>
      <c r="F30" s="47"/>
      <c r="J30" s="24"/>
      <c r="K30" s="208"/>
      <c r="L30" s="208"/>
      <c r="M30" s="208" t="s">
        <v>493</v>
      </c>
      <c r="N30" s="202"/>
      <c r="Y30">
        <v>1</v>
      </c>
      <c r="Z30" s="118"/>
      <c r="AA30" s="20"/>
      <c r="AB30" s="149"/>
      <c r="AC30" s="149"/>
      <c r="AD30" s="149"/>
    </row>
    <row r="31" spans="1:30" ht="16.5" thickTop="1" thickBot="1">
      <c r="A31" s="47"/>
      <c r="B31" s="133" t="s">
        <v>558</v>
      </c>
      <c r="C31" s="134">
        <f>SUM(C14:C18)</f>
        <v>2250</v>
      </c>
      <c r="D31" s="134"/>
      <c r="E31" s="134">
        <f>SUM(E13:E18)</f>
        <v>5786</v>
      </c>
      <c r="J31" s="24"/>
      <c r="K31" s="208"/>
      <c r="L31" s="208"/>
      <c r="M31" s="208" t="s">
        <v>568</v>
      </c>
      <c r="N31" s="202"/>
      <c r="Y31">
        <v>1</v>
      </c>
      <c r="Z31" s="118"/>
      <c r="AA31" s="20"/>
      <c r="AB31" s="149"/>
      <c r="AC31" s="149"/>
      <c r="AD31" s="149"/>
    </row>
    <row r="32" spans="1:30" ht="16.5" thickTop="1" thickBot="1">
      <c r="A32" s="47"/>
      <c r="B32" s="195" t="s">
        <v>456</v>
      </c>
      <c r="C32" s="196">
        <f>SUM(C19:C26)</f>
        <v>14259</v>
      </c>
      <c r="D32" s="196"/>
      <c r="E32" s="196">
        <f>SUM(E19:E25)</f>
        <v>13216</v>
      </c>
      <c r="F32" s="47"/>
      <c r="G32" s="180" t="s">
        <v>582</v>
      </c>
      <c r="H32" s="180"/>
      <c r="I32" s="180"/>
      <c r="J32" s="208"/>
      <c r="K32" s="208"/>
      <c r="L32" s="208"/>
      <c r="M32" s="208" t="s">
        <v>560</v>
      </c>
      <c r="N32" s="202"/>
      <c r="Y32">
        <v>1</v>
      </c>
      <c r="Z32" s="118"/>
      <c r="AA32" s="20"/>
      <c r="AB32" s="149"/>
      <c r="AC32" s="149"/>
      <c r="AD32" s="149"/>
    </row>
    <row r="33" spans="1:31" ht="16.5" thickTop="1" thickBot="1">
      <c r="A33" s="47"/>
      <c r="B33" s="199" t="s">
        <v>458</v>
      </c>
      <c r="C33" s="200">
        <f>SUM(C2:C13)</f>
        <v>11159.94</v>
      </c>
      <c r="D33" s="200"/>
      <c r="E33" s="200">
        <f>SUM(E2:E13)</f>
        <v>8645</v>
      </c>
      <c r="G33" s="274">
        <f>C33+C34</f>
        <v>30018.85</v>
      </c>
      <c r="H33" s="274"/>
      <c r="I33" s="274"/>
      <c r="J33" s="287" t="s">
        <v>500</v>
      </c>
      <c r="K33" s="293"/>
      <c r="L33" s="293"/>
      <c r="M33" s="293"/>
      <c r="N33" s="202"/>
      <c r="U33">
        <v>230</v>
      </c>
      <c r="Y33">
        <v>1</v>
      </c>
      <c r="Z33" s="118"/>
      <c r="AA33" s="20"/>
      <c r="AB33" s="149"/>
      <c r="AC33" s="149"/>
      <c r="AD33" s="149"/>
    </row>
    <row r="34" spans="1:31" ht="16.5" thickTop="1" thickBot="1">
      <c r="A34" s="47"/>
      <c r="B34" s="233" t="s">
        <v>462</v>
      </c>
      <c r="C34" s="234">
        <f>C27</f>
        <v>18858.91</v>
      </c>
      <c r="D34" s="234">
        <f>D27</f>
        <v>16318.55</v>
      </c>
      <c r="E34" s="234">
        <f>E27</f>
        <v>15771.47</v>
      </c>
      <c r="F34" s="47"/>
      <c r="H34" s="47"/>
      <c r="I34" s="47"/>
      <c r="J34" s="208"/>
      <c r="K34" s="212"/>
      <c r="L34" s="212"/>
      <c r="M34" s="208" t="s">
        <v>567</v>
      </c>
      <c r="N34" s="202"/>
      <c r="P34">
        <v>127</v>
      </c>
      <c r="Y34">
        <v>1</v>
      </c>
      <c r="Z34" s="118"/>
      <c r="AA34" s="20"/>
      <c r="AB34" s="149"/>
      <c r="AC34" s="149"/>
      <c r="AD34" s="149"/>
    </row>
    <row r="35" spans="1:31" ht="16.5" thickTop="1" thickBot="1">
      <c r="A35" s="47"/>
      <c r="B35" s="57" t="s">
        <v>25</v>
      </c>
      <c r="C35" s="47"/>
      <c r="D35" s="47"/>
      <c r="E35" s="47"/>
      <c r="F35" s="47"/>
      <c r="H35">
        <f>G33-C6-C13</f>
        <v>27018.85</v>
      </c>
      <c r="I35" s="47"/>
      <c r="J35" s="208"/>
      <c r="K35" s="212"/>
      <c r="L35" s="212"/>
      <c r="M35" s="208" t="s">
        <v>563</v>
      </c>
      <c r="N35" s="202"/>
      <c r="Y35">
        <v>1</v>
      </c>
      <c r="Z35" s="118"/>
      <c r="AA35" s="20"/>
      <c r="AB35" s="149"/>
      <c r="AC35" s="149"/>
      <c r="AD35" s="149"/>
    </row>
    <row r="36" spans="1:31" ht="16.5" thickTop="1" thickBot="1">
      <c r="A36" s="47"/>
      <c r="B36" s="90" t="s">
        <v>26</v>
      </c>
      <c r="C36" s="90">
        <f>SUM(C30:C35)</f>
        <v>48027.850000000006</v>
      </c>
      <c r="D36" s="90"/>
      <c r="E36" s="90">
        <f>SUM(E30:E35)</f>
        <v>43918.47</v>
      </c>
      <c r="F36" s="47">
        <f>C36-C34</f>
        <v>29168.940000000006</v>
      </c>
      <c r="H36" s="47"/>
      <c r="I36" s="47"/>
      <c r="J36" s="208"/>
      <c r="K36" s="212"/>
      <c r="L36" s="212"/>
      <c r="M36" s="208" t="s">
        <v>566</v>
      </c>
      <c r="N36" s="202"/>
      <c r="P36">
        <v>220</v>
      </c>
      <c r="Y36">
        <v>1</v>
      </c>
      <c r="Z36" s="118"/>
      <c r="AA36" s="20"/>
      <c r="AB36" s="149"/>
      <c r="AC36" s="149"/>
      <c r="AD36" s="149"/>
    </row>
    <row r="37" spans="1:31" ht="16.5" thickTop="1" thickBot="1">
      <c r="A37" s="47"/>
      <c r="B37" s="18" t="s">
        <v>463</v>
      </c>
      <c r="C37" s="144">
        <f>B4-C36</f>
        <v>901.54999999999563</v>
      </c>
      <c r="D37" s="144"/>
      <c r="E37" s="144">
        <f>B4-E36+E29</f>
        <v>5010.93</v>
      </c>
      <c r="F37" s="47"/>
      <c r="H37" s="47"/>
      <c r="I37" s="47"/>
      <c r="J37" s="278" t="s">
        <v>489</v>
      </c>
      <c r="K37" s="278"/>
      <c r="L37" s="278"/>
      <c r="M37" s="288"/>
      <c r="N37" s="202"/>
      <c r="Y37">
        <v>1</v>
      </c>
      <c r="Z37" s="118">
        <f>SUM(N37:Y37)</f>
        <v>1</v>
      </c>
      <c r="AA37" s="20">
        <f>AVERAGE(N37:Y37)</f>
        <v>1</v>
      </c>
      <c r="AB37" s="259" t="s">
        <v>105</v>
      </c>
      <c r="AC37" s="259"/>
      <c r="AD37" s="291"/>
    </row>
    <row r="38" spans="1:31" ht="16.5" thickTop="1" thickBot="1">
      <c r="A38" s="47"/>
      <c r="B38" s="47"/>
      <c r="C38" s="47"/>
      <c r="D38" s="47"/>
      <c r="E38" s="47"/>
      <c r="F38" s="47"/>
      <c r="G38" s="47"/>
      <c r="H38" s="47"/>
      <c r="I38" s="47"/>
      <c r="J38" s="217"/>
      <c r="K38" s="217"/>
      <c r="L38" s="217"/>
      <c r="M38" s="208" t="s">
        <v>496</v>
      </c>
      <c r="N38" s="202"/>
      <c r="Y38">
        <v>1</v>
      </c>
      <c r="Z38" s="118"/>
      <c r="AA38" s="20"/>
      <c r="AB38" s="149"/>
      <c r="AC38" s="149"/>
      <c r="AD38" s="209"/>
    </row>
    <row r="39" spans="1:31" ht="16.5" thickTop="1" thickBot="1">
      <c r="A39" s="47"/>
      <c r="C39" s="131"/>
      <c r="D39" s="131"/>
      <c r="E39" s="131"/>
      <c r="F39" s="47"/>
      <c r="G39" s="47"/>
      <c r="H39" s="47"/>
      <c r="I39" s="47"/>
      <c r="J39" s="217"/>
      <c r="K39" s="217"/>
      <c r="L39" s="217"/>
      <c r="M39" s="208" t="s">
        <v>495</v>
      </c>
      <c r="N39" s="202"/>
      <c r="Y39">
        <v>1</v>
      </c>
      <c r="Z39" s="118"/>
      <c r="AA39" s="20"/>
      <c r="AB39" s="149"/>
      <c r="AC39" s="149"/>
      <c r="AD39" s="209"/>
    </row>
    <row r="40" spans="1:31" ht="16.5" thickTop="1" thickBot="1">
      <c r="A40" s="47"/>
      <c r="F40" s="47"/>
      <c r="G40" s="47"/>
      <c r="H40" s="47"/>
      <c r="I40" s="47"/>
      <c r="J40" s="212"/>
      <c r="K40" s="212"/>
      <c r="L40" s="212"/>
      <c r="M40" s="208" t="s">
        <v>487</v>
      </c>
      <c r="N40" s="202"/>
      <c r="Y40">
        <v>1</v>
      </c>
      <c r="Z40" s="118"/>
      <c r="AA40" s="20"/>
      <c r="AB40" s="149"/>
      <c r="AC40" s="149"/>
      <c r="AD40" s="209"/>
    </row>
    <row r="41" spans="1:31" ht="16.5" thickTop="1" thickBot="1">
      <c r="A41" s="47"/>
      <c r="B41" s="47">
        <v>62826693104</v>
      </c>
      <c r="C41" s="47"/>
      <c r="D41" s="47"/>
      <c r="E41" s="47"/>
      <c r="F41" s="47"/>
      <c r="G41" s="47"/>
      <c r="H41" s="47"/>
      <c r="I41" s="47"/>
      <c r="J41" s="238"/>
      <c r="K41" s="238"/>
      <c r="L41" s="238"/>
      <c r="M41" s="238" t="s">
        <v>528</v>
      </c>
      <c r="N41" s="202"/>
      <c r="U41">
        <v>1014</v>
      </c>
      <c r="Y41">
        <v>1</v>
      </c>
      <c r="Z41" s="118"/>
      <c r="AA41" s="20"/>
      <c r="AB41" s="240"/>
      <c r="AC41" s="238" t="s">
        <v>528</v>
      </c>
      <c r="AD41" s="241"/>
    </row>
    <row r="42" spans="1:31" ht="16.5" thickTop="1" thickBot="1">
      <c r="A42" s="47"/>
      <c r="B42" s="47"/>
      <c r="C42" s="47"/>
      <c r="D42" s="47"/>
      <c r="E42" s="47"/>
      <c r="F42" s="47"/>
      <c r="G42" s="47"/>
      <c r="H42" s="47"/>
      <c r="I42" s="47"/>
      <c r="J42" s="212"/>
      <c r="K42" s="212"/>
      <c r="L42" s="212"/>
      <c r="M42" s="208" t="s">
        <v>499</v>
      </c>
      <c r="N42" s="202"/>
      <c r="Y42">
        <v>1</v>
      </c>
      <c r="Z42" s="118"/>
      <c r="AA42" s="20"/>
      <c r="AB42" s="286" t="s">
        <v>499</v>
      </c>
      <c r="AC42" s="258"/>
      <c r="AD42" s="290"/>
    </row>
    <row r="43" spans="1:31" ht="16.5" thickTop="1" thickBot="1">
      <c r="A43" s="47"/>
      <c r="B43" s="47"/>
      <c r="C43" s="47"/>
      <c r="D43" s="47"/>
      <c r="E43" s="47"/>
      <c r="F43" s="47"/>
      <c r="G43" s="47"/>
      <c r="H43" s="47"/>
      <c r="I43" s="47"/>
      <c r="J43" s="287" t="s">
        <v>263</v>
      </c>
      <c r="K43" s="287"/>
      <c r="L43" s="287"/>
      <c r="M43" s="287"/>
      <c r="N43" s="202"/>
      <c r="U43">
        <v>384.98</v>
      </c>
      <c r="Y43">
        <v>1</v>
      </c>
      <c r="Z43" s="118">
        <f>SUM(N43:Y43)</f>
        <v>385.98</v>
      </c>
      <c r="AA43" s="20">
        <f>AVERAGE(N43:Y43)</f>
        <v>192.99</v>
      </c>
      <c r="AB43" s="258" t="s">
        <v>291</v>
      </c>
      <c r="AC43" s="258"/>
      <c r="AD43" s="290"/>
    </row>
    <row r="44" spans="1:31" ht="16.5" thickTop="1" thickBot="1">
      <c r="A44" t="s">
        <v>581</v>
      </c>
      <c r="B44" s="47"/>
      <c r="C44" s="47"/>
      <c r="F44" s="47"/>
      <c r="G44" s="47"/>
      <c r="H44" s="47"/>
      <c r="I44" s="47"/>
      <c r="J44" s="208"/>
      <c r="K44" s="208"/>
      <c r="L44" s="208"/>
      <c r="M44" s="208" t="s">
        <v>529</v>
      </c>
      <c r="N44" s="202"/>
      <c r="Y44">
        <v>1</v>
      </c>
      <c r="Z44" s="118"/>
      <c r="AA44" s="20"/>
      <c r="AB44" s="207"/>
      <c r="AC44" s="207"/>
      <c r="AD44" s="210"/>
    </row>
    <row r="45" spans="1:31" ht="16.5" thickTop="1" thickBot="1">
      <c r="A45" t="s">
        <v>514</v>
      </c>
      <c r="B45" s="47"/>
      <c r="C45" t="s">
        <v>516</v>
      </c>
      <c r="D45" s="47"/>
      <c r="E45" s="47"/>
      <c r="F45" s="47" t="s">
        <v>515</v>
      </c>
      <c r="G45" s="47"/>
      <c r="H45" s="47"/>
      <c r="I45" s="47"/>
      <c r="J45" s="208"/>
      <c r="K45" s="208"/>
      <c r="L45" s="208"/>
      <c r="M45" s="208" t="s">
        <v>532</v>
      </c>
      <c r="N45" s="202"/>
      <c r="Y45">
        <v>1</v>
      </c>
      <c r="Z45" s="118"/>
      <c r="AA45" s="20"/>
      <c r="AB45" s="207"/>
      <c r="AC45" s="207"/>
      <c r="AD45" s="210"/>
    </row>
    <row r="46" spans="1:31" ht="16.5" thickTop="1" thickBot="1">
      <c r="B46" s="47"/>
      <c r="C46" s="47">
        <v>4</v>
      </c>
      <c r="D46" s="47">
        <v>5</v>
      </c>
      <c r="E46" s="47"/>
      <c r="F46" s="47">
        <f>C47*2</f>
        <v>0</v>
      </c>
      <c r="G46" s="47">
        <v>5</v>
      </c>
      <c r="H46" s="47"/>
      <c r="I46" s="47"/>
      <c r="J46" s="208"/>
      <c r="K46" s="208"/>
      <c r="L46" s="208"/>
      <c r="M46" s="208" t="s">
        <v>484</v>
      </c>
      <c r="N46" s="202"/>
      <c r="Y46">
        <v>1</v>
      </c>
      <c r="Z46" s="118"/>
      <c r="AA46" s="20"/>
      <c r="AB46" s="207"/>
      <c r="AC46" s="207"/>
      <c r="AD46" s="210"/>
    </row>
    <row r="47" spans="1:31" ht="16.5" thickTop="1" thickBot="1">
      <c r="B47" s="47"/>
      <c r="C47" s="47"/>
      <c r="D47" s="47"/>
      <c r="E47" s="47"/>
      <c r="F47" s="47"/>
      <c r="G47" s="47">
        <v>1620</v>
      </c>
      <c r="H47" s="47"/>
      <c r="I47" s="47"/>
      <c r="J47" s="238"/>
      <c r="K47" s="238"/>
      <c r="L47" s="238"/>
      <c r="M47" s="238" t="s">
        <v>470</v>
      </c>
      <c r="N47" s="202"/>
      <c r="U47">
        <f>162.98+1226.93+267.94+425.27+572.21</f>
        <v>2655.33</v>
      </c>
      <c r="Y47">
        <v>1</v>
      </c>
      <c r="Z47" s="118"/>
      <c r="AA47" s="20"/>
      <c r="AB47" s="207"/>
      <c r="AC47" s="207" t="s">
        <v>243</v>
      </c>
      <c r="AD47" s="210"/>
      <c r="AE47" t="s">
        <v>592</v>
      </c>
    </row>
    <row r="48" spans="1:31" ht="16.5" thickTop="1" thickBot="1">
      <c r="B48" s="24">
        <v>250</v>
      </c>
      <c r="C48" s="24">
        <f>C46*B48</f>
        <v>1000</v>
      </c>
      <c r="D48" s="47">
        <f>B48*D46</f>
        <v>1250</v>
      </c>
      <c r="E48" s="47"/>
      <c r="F48" s="47"/>
      <c r="G48" s="47">
        <v>1125</v>
      </c>
      <c r="H48" t="s">
        <v>524</v>
      </c>
      <c r="I48" s="47"/>
      <c r="J48" s="287" t="s">
        <v>475</v>
      </c>
      <c r="K48" s="287"/>
      <c r="L48" s="287"/>
      <c r="M48" s="287"/>
      <c r="N48" s="202"/>
      <c r="U48">
        <f>95.11+60.96+74.98</f>
        <v>231.05</v>
      </c>
      <c r="Y48">
        <v>1</v>
      </c>
      <c r="Z48" s="118">
        <f t="shared" ref="Z48:Z61" si="0">SUM(N48:Y48)</f>
        <v>232.05</v>
      </c>
      <c r="AA48" s="20">
        <f t="shared" ref="AA48:AA61" si="1">AVERAGE(N48:Y48)</f>
        <v>116.02500000000001</v>
      </c>
      <c r="AB48" s="258" t="s">
        <v>475</v>
      </c>
      <c r="AC48" s="258"/>
      <c r="AD48" s="290"/>
      <c r="AE48">
        <f>U22+U23+U33+U48+U55+U49+U47+U10</f>
        <v>5579.6</v>
      </c>
    </row>
    <row r="49" spans="2:30" ht="16.5" thickTop="1" thickBot="1">
      <c r="B49" s="47">
        <v>250</v>
      </c>
      <c r="C49" s="47">
        <f>B49*C46</f>
        <v>1000</v>
      </c>
      <c r="D49" s="47"/>
      <c r="E49" s="47"/>
      <c r="F49" s="47"/>
      <c r="H49" t="s">
        <v>523</v>
      </c>
      <c r="I49" s="47"/>
      <c r="J49" s="289" t="s">
        <v>476</v>
      </c>
      <c r="K49" s="289"/>
      <c r="L49" s="289"/>
      <c r="M49" s="289"/>
      <c r="N49" s="202"/>
      <c r="U49">
        <f>148.96+124.99</f>
        <v>273.95</v>
      </c>
      <c r="Y49">
        <v>1</v>
      </c>
      <c r="Z49" s="118">
        <f t="shared" si="0"/>
        <v>274.95</v>
      </c>
      <c r="AA49" s="20">
        <f t="shared" si="1"/>
        <v>137.47499999999999</v>
      </c>
      <c r="AB49" s="258" t="s">
        <v>477</v>
      </c>
      <c r="AC49" s="258"/>
      <c r="AD49" s="290"/>
    </row>
    <row r="50" spans="2:30" ht="16.5" thickTop="1" thickBot="1">
      <c r="B50" s="47"/>
      <c r="C50" s="47"/>
      <c r="I50" s="47"/>
      <c r="J50" s="208"/>
      <c r="K50" s="208"/>
      <c r="L50" s="208"/>
      <c r="M50" s="208" t="s">
        <v>314</v>
      </c>
      <c r="N50" s="202"/>
      <c r="Y50">
        <v>1</v>
      </c>
      <c r="Z50" s="118">
        <f t="shared" si="0"/>
        <v>1</v>
      </c>
      <c r="AA50" s="20">
        <f t="shared" si="1"/>
        <v>1</v>
      </c>
      <c r="AB50" s="207"/>
      <c r="AC50" s="207"/>
      <c r="AD50" s="210"/>
    </row>
    <row r="51" spans="2:30" ht="16.5" thickTop="1" thickBot="1">
      <c r="B51" s="47"/>
      <c r="C51" s="47">
        <f>9*180</f>
        <v>1620</v>
      </c>
      <c r="I51" s="47"/>
      <c r="J51" s="292" t="s">
        <v>301</v>
      </c>
      <c r="K51" s="292"/>
      <c r="L51" s="292"/>
      <c r="M51" s="292"/>
      <c r="N51" s="202"/>
      <c r="U51">
        <v>922.33</v>
      </c>
      <c r="Y51">
        <v>1</v>
      </c>
      <c r="Z51" s="118">
        <f t="shared" si="0"/>
        <v>923.33</v>
      </c>
      <c r="AA51" s="20">
        <f t="shared" si="1"/>
        <v>461.66500000000002</v>
      </c>
      <c r="AB51" s="258" t="s">
        <v>301</v>
      </c>
      <c r="AC51" s="258"/>
      <c r="AD51" s="290"/>
    </row>
    <row r="52" spans="2:30" ht="16.5" thickTop="1" thickBot="1">
      <c r="B52" s="47"/>
      <c r="C52" s="47"/>
      <c r="I52" s="47"/>
      <c r="J52" s="208"/>
      <c r="K52" s="208"/>
      <c r="L52" s="208"/>
      <c r="M52" s="208" t="s">
        <v>485</v>
      </c>
      <c r="N52" s="202"/>
      <c r="Y52">
        <v>1</v>
      </c>
      <c r="Z52" s="118">
        <f t="shared" si="0"/>
        <v>1</v>
      </c>
      <c r="AA52" s="20">
        <f t="shared" si="1"/>
        <v>1</v>
      </c>
      <c r="AB52" s="207"/>
      <c r="AC52" s="207"/>
      <c r="AD52" s="207"/>
    </row>
    <row r="53" spans="2:30" ht="16.5" thickTop="1" thickBot="1">
      <c r="B53" s="47"/>
      <c r="C53" s="47"/>
      <c r="I53" s="47"/>
      <c r="J53" s="208"/>
      <c r="K53" s="208"/>
      <c r="L53" s="208"/>
      <c r="M53" s="208" t="s">
        <v>483</v>
      </c>
      <c r="N53" s="202"/>
      <c r="Y53">
        <v>1</v>
      </c>
      <c r="Z53" s="118">
        <f t="shared" si="0"/>
        <v>1</v>
      </c>
      <c r="AA53" s="20">
        <f t="shared" si="1"/>
        <v>1</v>
      </c>
      <c r="AB53" s="207"/>
      <c r="AC53" s="207"/>
      <c r="AD53" s="207"/>
    </row>
    <row r="54" spans="2:30" ht="16.5" thickTop="1" thickBot="1">
      <c r="I54" s="47"/>
      <c r="J54" s="208"/>
      <c r="K54" s="208"/>
      <c r="L54" s="208"/>
      <c r="M54" s="208" t="s">
        <v>488</v>
      </c>
      <c r="N54" s="202"/>
      <c r="Y54">
        <v>1</v>
      </c>
      <c r="Z54" s="118">
        <f t="shared" si="0"/>
        <v>1</v>
      </c>
      <c r="AA54" s="20">
        <f t="shared" si="1"/>
        <v>1</v>
      </c>
      <c r="AB54" s="207"/>
      <c r="AC54" s="207"/>
      <c r="AD54" s="207"/>
    </row>
    <row r="55" spans="2:30" ht="16.5" thickTop="1" thickBot="1">
      <c r="I55" s="47"/>
      <c r="J55" s="208"/>
      <c r="K55" s="208"/>
      <c r="L55" s="208"/>
      <c r="M55" s="208" t="s">
        <v>486</v>
      </c>
      <c r="N55" s="202"/>
      <c r="U55">
        <v>221.87</v>
      </c>
      <c r="Y55">
        <v>1</v>
      </c>
      <c r="Z55" s="118">
        <f t="shared" si="0"/>
        <v>222.87</v>
      </c>
      <c r="AA55" s="20">
        <f t="shared" si="1"/>
        <v>111.435</v>
      </c>
      <c r="AB55" s="207"/>
      <c r="AC55" s="207"/>
      <c r="AD55" s="207"/>
    </row>
    <row r="56" spans="2:30" ht="16.5" thickTop="1" thickBot="1">
      <c r="I56" s="47"/>
      <c r="J56" s="293" t="s">
        <v>95</v>
      </c>
      <c r="K56" s="293"/>
      <c r="L56" s="293"/>
      <c r="M56" s="293"/>
      <c r="N56" s="202"/>
      <c r="Y56">
        <v>1</v>
      </c>
      <c r="Z56" s="118">
        <f t="shared" si="0"/>
        <v>1</v>
      </c>
      <c r="AA56" s="20">
        <f t="shared" si="1"/>
        <v>1</v>
      </c>
      <c r="AB56" s="259" t="s">
        <v>95</v>
      </c>
      <c r="AC56" s="259"/>
      <c r="AD56" s="259"/>
    </row>
    <row r="57" spans="2:30" ht="16.5" thickTop="1" thickBot="1">
      <c r="I57" s="47"/>
      <c r="J57" s="287" t="s">
        <v>67</v>
      </c>
      <c r="K57" s="287"/>
      <c r="L57" s="287"/>
      <c r="M57" s="287"/>
      <c r="N57" s="202"/>
      <c r="U57">
        <v>700</v>
      </c>
      <c r="Y57">
        <v>1</v>
      </c>
      <c r="Z57" s="118">
        <f t="shared" si="0"/>
        <v>701</v>
      </c>
      <c r="AA57" s="20">
        <f t="shared" si="1"/>
        <v>350.5</v>
      </c>
      <c r="AB57" s="259" t="s">
        <v>67</v>
      </c>
      <c r="AC57" s="259"/>
      <c r="AD57" s="259"/>
    </row>
    <row r="58" spans="2:30" ht="16.5" thickTop="1" thickBot="1">
      <c r="I58" s="47"/>
      <c r="J58" s="287" t="s">
        <v>299</v>
      </c>
      <c r="K58" s="287"/>
      <c r="L58" s="287"/>
      <c r="M58" s="287"/>
      <c r="N58" s="202"/>
      <c r="T58" s="114"/>
      <c r="Y58">
        <v>1</v>
      </c>
      <c r="Z58" s="118">
        <f t="shared" si="0"/>
        <v>1</v>
      </c>
      <c r="AA58" s="20">
        <f t="shared" si="1"/>
        <v>1</v>
      </c>
      <c r="AB58" s="258" t="s">
        <v>299</v>
      </c>
      <c r="AC58" s="258"/>
      <c r="AD58" s="258"/>
    </row>
    <row r="59" spans="2:30" ht="16.5" thickTop="1" thickBot="1">
      <c r="J59" s="208"/>
      <c r="K59" s="208"/>
      <c r="L59" s="208"/>
      <c r="M59" s="208" t="s">
        <v>542</v>
      </c>
      <c r="N59" s="202"/>
      <c r="T59" s="114"/>
      <c r="Y59">
        <v>1</v>
      </c>
      <c r="Z59" s="118">
        <f t="shared" si="0"/>
        <v>1</v>
      </c>
      <c r="AA59" s="20">
        <f t="shared" si="1"/>
        <v>1</v>
      </c>
      <c r="AB59" s="207"/>
      <c r="AC59" s="207"/>
      <c r="AD59" s="207"/>
    </row>
    <row r="60" spans="2:30" ht="16.5" thickTop="1" thickBot="1">
      <c r="J60" s="208"/>
      <c r="K60" s="208"/>
      <c r="L60" s="208"/>
      <c r="M60" s="208" t="s">
        <v>479</v>
      </c>
      <c r="N60" s="202"/>
      <c r="T60" s="114"/>
      <c r="Y60">
        <v>1</v>
      </c>
      <c r="Z60" s="118">
        <f t="shared" si="0"/>
        <v>1</v>
      </c>
      <c r="AA60" s="20">
        <f t="shared" si="1"/>
        <v>1</v>
      </c>
      <c r="AB60" s="286" t="s">
        <v>479</v>
      </c>
      <c r="AC60" s="258"/>
      <c r="AD60" s="258"/>
    </row>
    <row r="61" spans="2:30" ht="16.5" thickTop="1" thickBot="1">
      <c r="D61" s="239"/>
      <c r="J61" s="208"/>
      <c r="K61" s="208"/>
      <c r="L61" s="208"/>
      <c r="M61" s="208" t="s">
        <v>313</v>
      </c>
      <c r="N61" s="202"/>
      <c r="T61" s="114"/>
      <c r="Y61">
        <v>1</v>
      </c>
      <c r="Z61" s="118">
        <f t="shared" si="0"/>
        <v>1</v>
      </c>
      <c r="AA61" s="20">
        <f t="shared" si="1"/>
        <v>1</v>
      </c>
      <c r="AB61" s="207"/>
      <c r="AC61" s="207"/>
      <c r="AD61" s="207"/>
    </row>
    <row r="62" spans="2:30" ht="16.5" thickTop="1" thickBot="1">
      <c r="D62" s="44"/>
      <c r="J62" s="287" t="s">
        <v>481</v>
      </c>
      <c r="K62" s="287"/>
      <c r="L62" s="287"/>
      <c r="M62" s="287"/>
      <c r="N62" s="202"/>
      <c r="T62" s="114"/>
      <c r="U62">
        <f>130+112+50</f>
        <v>292</v>
      </c>
      <c r="Y62">
        <v>1</v>
      </c>
      <c r="Z62" s="118">
        <f t="shared" ref="Z62:Z85" si="2">SUM(N62:Y62)</f>
        <v>293</v>
      </c>
      <c r="AA62" s="20">
        <f t="shared" ref="AA62:AA86" si="3">AVERAGE(N62:Y62)</f>
        <v>146.5</v>
      </c>
      <c r="AB62" s="258" t="s">
        <v>264</v>
      </c>
      <c r="AC62" s="258"/>
      <c r="AD62" s="290"/>
    </row>
    <row r="63" spans="2:30" ht="16.5" thickTop="1" thickBot="1">
      <c r="J63" s="287" t="s">
        <v>387</v>
      </c>
      <c r="K63" s="287"/>
      <c r="L63" s="287"/>
      <c r="M63" s="287"/>
      <c r="N63" s="202"/>
      <c r="U63">
        <v>97.6</v>
      </c>
      <c r="Y63">
        <v>1</v>
      </c>
      <c r="Z63" s="118">
        <f t="shared" si="2"/>
        <v>98.6</v>
      </c>
      <c r="AA63" s="20">
        <f t="shared" si="3"/>
        <v>49.3</v>
      </c>
      <c r="AB63" s="259" t="s">
        <v>58</v>
      </c>
      <c r="AC63" s="259"/>
      <c r="AD63" s="291"/>
    </row>
    <row r="64" spans="2:30" ht="16.5" thickTop="1" thickBot="1">
      <c r="J64" s="208"/>
      <c r="K64" s="208"/>
      <c r="L64" s="208"/>
      <c r="M64" s="208" t="s">
        <v>478</v>
      </c>
      <c r="N64" s="202"/>
      <c r="Y64">
        <v>1</v>
      </c>
      <c r="Z64" s="118">
        <f t="shared" si="2"/>
        <v>1</v>
      </c>
      <c r="AA64" s="20">
        <f t="shared" si="3"/>
        <v>1</v>
      </c>
      <c r="AB64" s="211"/>
      <c r="AC64" s="149"/>
      <c r="AD64" s="209"/>
    </row>
    <row r="65" spans="8:30" ht="16.5" thickTop="1" thickBot="1">
      <c r="J65" s="287" t="s">
        <v>469</v>
      </c>
      <c r="K65" s="287"/>
      <c r="L65" s="287"/>
      <c r="M65" s="288"/>
      <c r="N65" s="202"/>
      <c r="Y65">
        <v>1</v>
      </c>
      <c r="Z65" s="118">
        <f t="shared" si="2"/>
        <v>1</v>
      </c>
      <c r="AA65" s="20">
        <f t="shared" si="3"/>
        <v>1</v>
      </c>
      <c r="AB65" s="211" t="s">
        <v>59</v>
      </c>
      <c r="AC65" s="149"/>
      <c r="AD65" s="209"/>
    </row>
    <row r="66" spans="8:30" ht="16.5" thickTop="1" thickBot="1">
      <c r="J66" s="292" t="s">
        <v>527</v>
      </c>
      <c r="K66" s="292"/>
      <c r="L66" s="292"/>
      <c r="M66" s="294"/>
      <c r="N66" s="202"/>
      <c r="U66">
        <v>272.39</v>
      </c>
      <c r="Y66">
        <v>1</v>
      </c>
      <c r="Z66" s="118">
        <f t="shared" si="2"/>
        <v>273.39</v>
      </c>
      <c r="AA66" s="20">
        <f t="shared" si="3"/>
        <v>136.69499999999999</v>
      </c>
      <c r="AB66" s="211"/>
      <c r="AC66" s="208" t="s">
        <v>527</v>
      </c>
      <c r="AD66" s="209"/>
    </row>
    <row r="67" spans="8:30" ht="16.5" thickTop="1" thickBot="1">
      <c r="J67" s="292" t="s">
        <v>246</v>
      </c>
      <c r="K67" s="292"/>
      <c r="L67" s="292"/>
      <c r="M67" s="294"/>
      <c r="N67" s="202"/>
      <c r="U67">
        <f>323.75+568.73</f>
        <v>892.48</v>
      </c>
      <c r="Y67">
        <v>1</v>
      </c>
      <c r="Z67" s="118">
        <f t="shared" si="2"/>
        <v>893.48</v>
      </c>
      <c r="AA67" s="20">
        <f t="shared" si="3"/>
        <v>446.74</v>
      </c>
      <c r="AB67" s="295" t="s">
        <v>246</v>
      </c>
      <c r="AC67" s="295"/>
      <c r="AD67" s="296"/>
    </row>
    <row r="68" spans="8:30" ht="16.5" thickTop="1" thickBot="1">
      <c r="J68" s="208"/>
      <c r="K68" s="208"/>
      <c r="L68" s="208"/>
      <c r="M68" s="208" t="s">
        <v>492</v>
      </c>
      <c r="N68" s="202"/>
      <c r="Y68">
        <v>1</v>
      </c>
      <c r="Z68" s="118">
        <f t="shared" si="2"/>
        <v>1</v>
      </c>
      <c r="AA68" s="20">
        <f t="shared" si="3"/>
        <v>1</v>
      </c>
      <c r="AB68" s="211"/>
      <c r="AC68" s="211"/>
      <c r="AD68" s="216"/>
    </row>
    <row r="69" spans="8:30" ht="16.5" thickTop="1" thickBot="1">
      <c r="J69" s="208"/>
      <c r="K69" s="208"/>
      <c r="L69" s="208"/>
      <c r="M69" s="208" t="s">
        <v>494</v>
      </c>
      <c r="N69" s="202"/>
      <c r="Y69">
        <v>1</v>
      </c>
      <c r="Z69" s="118">
        <f t="shared" si="2"/>
        <v>1</v>
      </c>
      <c r="AA69" s="20">
        <f t="shared" si="3"/>
        <v>1</v>
      </c>
      <c r="AB69" s="211"/>
      <c r="AC69" s="211"/>
      <c r="AD69" s="216"/>
    </row>
    <row r="70" spans="8:30" ht="16.5" thickTop="1" thickBot="1">
      <c r="J70" s="287" t="s">
        <v>268</v>
      </c>
      <c r="K70" s="287"/>
      <c r="L70" s="287"/>
      <c r="M70" s="287"/>
      <c r="N70" s="202"/>
      <c r="Y70">
        <v>1</v>
      </c>
      <c r="Z70" s="118">
        <f t="shared" si="2"/>
        <v>1</v>
      </c>
      <c r="AA70" s="20">
        <f t="shared" si="3"/>
        <v>1</v>
      </c>
      <c r="AB70" s="295" t="s">
        <v>268</v>
      </c>
      <c r="AC70" s="295"/>
      <c r="AD70" s="296"/>
    </row>
    <row r="71" spans="8:30" ht="16.5" thickTop="1" thickBot="1">
      <c r="J71" s="208"/>
      <c r="K71" s="208"/>
      <c r="L71" s="208"/>
      <c r="M71" s="208" t="s">
        <v>559</v>
      </c>
      <c r="N71" s="202"/>
      <c r="Y71">
        <v>1</v>
      </c>
      <c r="Z71" s="118">
        <f t="shared" si="2"/>
        <v>1</v>
      </c>
      <c r="AA71" s="20">
        <f t="shared" si="3"/>
        <v>1</v>
      </c>
      <c r="AB71" s="211"/>
      <c r="AC71" s="211"/>
      <c r="AD71" s="216"/>
    </row>
    <row r="72" spans="8:30" ht="16.5" thickTop="1" thickBot="1">
      <c r="J72" s="208"/>
      <c r="K72" s="208"/>
      <c r="L72" s="208"/>
      <c r="M72" s="208" t="s">
        <v>565</v>
      </c>
      <c r="N72" s="202"/>
      <c r="Y72">
        <v>1</v>
      </c>
      <c r="Z72" s="118">
        <f t="shared" si="2"/>
        <v>1</v>
      </c>
      <c r="AA72" s="20">
        <f t="shared" si="3"/>
        <v>1</v>
      </c>
      <c r="AB72" s="211"/>
      <c r="AC72" s="211"/>
      <c r="AD72" s="216"/>
    </row>
    <row r="73" spans="8:30" ht="16.5" thickTop="1" thickBot="1">
      <c r="J73" s="208"/>
      <c r="K73" s="208"/>
      <c r="L73" s="208"/>
      <c r="M73" s="208" t="s">
        <v>584</v>
      </c>
      <c r="N73" s="202"/>
      <c r="U73">
        <v>112</v>
      </c>
      <c r="Z73" s="118"/>
      <c r="AA73" s="20"/>
      <c r="AB73" s="211"/>
      <c r="AC73" s="211"/>
      <c r="AD73" s="216"/>
    </row>
    <row r="74" spans="8:30" ht="16.5" thickTop="1" thickBot="1">
      <c r="J74" s="208"/>
      <c r="K74" s="208"/>
      <c r="L74" s="208"/>
      <c r="M74" s="208" t="s">
        <v>585</v>
      </c>
      <c r="N74" s="202"/>
      <c r="U74">
        <v>463.7</v>
      </c>
      <c r="Z74" s="118"/>
      <c r="AA74" s="20"/>
      <c r="AB74" s="211"/>
      <c r="AC74" s="211"/>
      <c r="AD74" s="216"/>
    </row>
    <row r="75" spans="8:30" ht="16.5" thickTop="1" thickBot="1">
      <c r="J75" s="208"/>
      <c r="K75" s="208"/>
      <c r="L75" s="208"/>
      <c r="M75" s="208" t="s">
        <v>588</v>
      </c>
      <c r="N75" s="202"/>
      <c r="U75">
        <v>850</v>
      </c>
      <c r="Z75" s="118"/>
      <c r="AA75" s="20"/>
      <c r="AB75" s="211"/>
      <c r="AC75" s="211"/>
      <c r="AD75" s="216"/>
    </row>
    <row r="76" spans="8:30" ht="16.5" thickTop="1" thickBot="1">
      <c r="J76" s="208"/>
      <c r="K76" s="208"/>
      <c r="L76" s="208"/>
      <c r="M76" s="208" t="s">
        <v>144</v>
      </c>
      <c r="N76" s="202"/>
      <c r="U76">
        <v>777</v>
      </c>
      <c r="Z76" s="118"/>
      <c r="AA76" s="20"/>
      <c r="AB76" s="211"/>
      <c r="AC76" s="211"/>
      <c r="AD76" s="216"/>
    </row>
    <row r="77" spans="8:30" ht="16.5" thickTop="1" thickBot="1">
      <c r="J77" s="300" t="s">
        <v>6</v>
      </c>
      <c r="K77" s="300"/>
      <c r="L77" s="300"/>
      <c r="M77" s="300"/>
      <c r="N77" s="202"/>
      <c r="U77">
        <f>157.99+1236.88+32+54.9+58.9+44</f>
        <v>1584.6700000000003</v>
      </c>
      <c r="Y77">
        <v>1</v>
      </c>
      <c r="Z77" s="118">
        <f t="shared" si="2"/>
        <v>1585.6700000000003</v>
      </c>
      <c r="AA77" s="20">
        <f t="shared" si="3"/>
        <v>792.83500000000015</v>
      </c>
      <c r="AB77" s="265" t="s">
        <v>6</v>
      </c>
      <c r="AC77" s="265"/>
      <c r="AD77" s="301"/>
    </row>
    <row r="78" spans="8:30" ht="16.5" thickTop="1" thickBot="1">
      <c r="J78" s="237"/>
      <c r="K78" s="237"/>
      <c r="L78" s="237"/>
      <c r="M78" s="237" t="s">
        <v>571</v>
      </c>
      <c r="N78" s="202"/>
      <c r="Y78">
        <v>1</v>
      </c>
      <c r="Z78" s="118">
        <f t="shared" si="2"/>
        <v>1</v>
      </c>
      <c r="AA78" s="20">
        <f t="shared" si="3"/>
        <v>1</v>
      </c>
      <c r="AB78" s="236"/>
      <c r="AC78" s="236"/>
      <c r="AD78" s="236"/>
    </row>
    <row r="79" spans="8:30" ht="16.5" thickTop="1" thickBot="1">
      <c r="H79" s="62"/>
      <c r="J79" s="302" t="s">
        <v>60</v>
      </c>
      <c r="K79" s="302"/>
      <c r="L79" s="302"/>
      <c r="M79" s="302"/>
      <c r="Y79">
        <v>1</v>
      </c>
      <c r="Z79" s="118">
        <f t="shared" si="2"/>
        <v>1</v>
      </c>
      <c r="AA79" s="20">
        <f t="shared" si="3"/>
        <v>1</v>
      </c>
      <c r="AB79" s="303" t="s">
        <v>60</v>
      </c>
      <c r="AC79" s="303"/>
      <c r="AD79" s="303"/>
    </row>
    <row r="80" spans="8:30" ht="16.5" thickTop="1" thickBot="1">
      <c r="J80" s="300" t="s">
        <v>443</v>
      </c>
      <c r="K80" s="300"/>
      <c r="L80" s="300"/>
      <c r="M80" s="300"/>
      <c r="N80" s="202"/>
      <c r="Y80">
        <v>1</v>
      </c>
      <c r="Z80" s="118">
        <f t="shared" si="2"/>
        <v>1</v>
      </c>
      <c r="AA80" s="20">
        <f t="shared" si="3"/>
        <v>1</v>
      </c>
      <c r="AB80" s="187"/>
      <c r="AC80" s="187"/>
      <c r="AD80" s="187"/>
    </row>
    <row r="81" spans="8:30" ht="16.5" thickTop="1" thickBot="1">
      <c r="J81" s="304" t="s">
        <v>539</v>
      </c>
      <c r="K81" s="305"/>
      <c r="L81" s="305"/>
      <c r="M81" s="306"/>
      <c r="N81" s="202"/>
      <c r="U81">
        <f>75.3+9.2</f>
        <v>84.5</v>
      </c>
      <c r="Y81">
        <v>1</v>
      </c>
      <c r="Z81" s="118">
        <f t="shared" si="2"/>
        <v>85.5</v>
      </c>
      <c r="AA81" s="20">
        <f t="shared" si="3"/>
        <v>42.75</v>
      </c>
      <c r="AB81" s="187"/>
      <c r="AC81" s="187"/>
      <c r="AD81" s="187"/>
    </row>
    <row r="82" spans="8:30" ht="16.5" thickTop="1" thickBot="1">
      <c r="J82" s="311" t="s">
        <v>540</v>
      </c>
      <c r="K82" s="311"/>
      <c r="L82" s="311"/>
      <c r="M82" s="312"/>
      <c r="N82" s="202"/>
      <c r="Y82">
        <v>1</v>
      </c>
      <c r="Z82" s="118">
        <f t="shared" si="2"/>
        <v>1</v>
      </c>
      <c r="AA82" s="20">
        <f t="shared" si="3"/>
        <v>1</v>
      </c>
      <c r="AB82" s="187"/>
      <c r="AC82" s="187"/>
      <c r="AD82" s="187"/>
    </row>
    <row r="83" spans="8:30" ht="16.5" thickTop="1" thickBot="1">
      <c r="J83" s="313" t="s">
        <v>298</v>
      </c>
      <c r="K83" s="313"/>
      <c r="L83" s="313"/>
      <c r="M83" s="313"/>
      <c r="N83" s="202"/>
      <c r="Y83">
        <v>1</v>
      </c>
      <c r="Z83" s="118">
        <f t="shared" si="2"/>
        <v>1</v>
      </c>
      <c r="AA83" s="20">
        <f t="shared" si="3"/>
        <v>1</v>
      </c>
      <c r="AB83" s="297" t="s">
        <v>298</v>
      </c>
      <c r="AC83" s="297"/>
      <c r="AD83" s="297"/>
    </row>
    <row r="84" spans="8:30" ht="16.5" thickTop="1" thickBot="1">
      <c r="J84" s="215"/>
      <c r="K84" s="215"/>
      <c r="L84" s="215"/>
      <c r="M84" s="215" t="s">
        <v>490</v>
      </c>
      <c r="N84" s="202"/>
      <c r="U84">
        <v>715.81</v>
      </c>
      <c r="Y84">
        <v>1</v>
      </c>
      <c r="Z84" s="118">
        <f t="shared" si="2"/>
        <v>716.81</v>
      </c>
      <c r="AA84" s="20">
        <f t="shared" si="3"/>
        <v>358.40499999999997</v>
      </c>
      <c r="AB84" s="214"/>
      <c r="AC84" s="214"/>
      <c r="AD84" s="214"/>
    </row>
    <row r="85" spans="8:30" ht="16.5" thickTop="1" thickBot="1">
      <c r="H85" s="62"/>
      <c r="J85" s="287" t="s">
        <v>297</v>
      </c>
      <c r="K85" s="287"/>
      <c r="L85" s="287"/>
      <c r="M85" s="287"/>
      <c r="N85" s="203"/>
      <c r="Y85">
        <v>1</v>
      </c>
      <c r="Z85" s="118">
        <f t="shared" si="2"/>
        <v>1</v>
      </c>
      <c r="AA85" s="20">
        <f t="shared" si="3"/>
        <v>1</v>
      </c>
      <c r="AB85" s="258" t="s">
        <v>297</v>
      </c>
      <c r="AC85" s="258"/>
      <c r="AD85" s="258"/>
    </row>
    <row r="86" spans="8:30" ht="16.5" thickTop="1" thickBot="1">
      <c r="J86" s="208"/>
      <c r="K86" s="208"/>
      <c r="L86" s="208"/>
      <c r="M86" s="208" t="s">
        <v>383</v>
      </c>
      <c r="N86" s="235"/>
      <c r="O86" s="235">
        <f>E2+E3+E4+E7+E26+E10+E11+E12+E13+E15+E17+E23+E8+E25+E27</f>
        <v>28074.47</v>
      </c>
      <c r="P86" s="235">
        <f>E2+E3+E4+E7+E26+E10+E11+E12+E13+E15+E17+E23+E8+E25+E27</f>
        <v>28074.47</v>
      </c>
      <c r="Q86" s="235">
        <f>E2+E3+E4+E7+E26+E10+E11+E12+E13+E15+E17+E23+E8+E25+E27</f>
        <v>28074.47</v>
      </c>
      <c r="R86" s="235">
        <f>E2+E3+E4+E7+E26+E10+E11+E12+E13+E15+E17+E23+E8+E25+E27</f>
        <v>28074.47</v>
      </c>
      <c r="S86" s="235">
        <f>E2+E3+E4+E7+E26+E10+E11+E12+E13+E15+E17+E23+E8+E25+E27</f>
        <v>28074.47</v>
      </c>
      <c r="T86" s="235">
        <f>E2+E3+E4+E7+E26+E10+E11+E12+E13+E15+E17+E23+E8+E25+E27</f>
        <v>28074.47</v>
      </c>
      <c r="U86" s="235">
        <f>C2+C3+C4+C5+C26+C10+C11+C12+C17+C16+C22+C8+C25+C34</f>
        <v>31777.85</v>
      </c>
      <c r="V86" s="235">
        <f>E2+E3+E4+E7+E26+E10+E11+E12+E13+E15+E17+E23+E8+E25+E27</f>
        <v>28074.47</v>
      </c>
      <c r="W86" s="235">
        <f>E2+E3+E4+E7+E26+E10+E11+E12+E13+E15+E17+E23+E8+E25+E27</f>
        <v>28074.47</v>
      </c>
      <c r="X86" s="235">
        <f>E2+E3+E4+E7+E26+E10+E11+E12+E13+E15+E17+E23+E8+E25+E27</f>
        <v>28074.47</v>
      </c>
      <c r="Y86" s="235">
        <f>E2+E3+E4+E7+E26+E10+E11+E12+E13+E15+E17+E23+E8+E25+E27</f>
        <v>28074.47</v>
      </c>
      <c r="Z86" s="118"/>
      <c r="AA86" s="20">
        <f t="shared" si="3"/>
        <v>28411.140909090915</v>
      </c>
      <c r="AB86" s="207"/>
      <c r="AC86" s="207"/>
      <c r="AD86" s="207"/>
    </row>
    <row r="87" spans="8:30" ht="16.5" thickTop="1" thickBot="1">
      <c r="J87" s="298" t="s">
        <v>300</v>
      </c>
      <c r="K87" s="298"/>
      <c r="L87" s="298"/>
      <c r="M87" s="299"/>
      <c r="N87" s="115">
        <f>SUM(N6:N86)</f>
        <v>0</v>
      </c>
      <c r="O87" s="115">
        <f>SUM(O6:O86)</f>
        <v>28074.47</v>
      </c>
      <c r="P87" s="115">
        <f>SUM(P5:P85)</f>
        <v>347</v>
      </c>
      <c r="Q87" s="115">
        <f>SUM(Q5:Q85)</f>
        <v>0</v>
      </c>
      <c r="R87" s="115">
        <f>SUM(R5:R85)</f>
        <v>0</v>
      </c>
      <c r="S87" s="115">
        <f>SUM(S5:S85)</f>
        <v>0</v>
      </c>
      <c r="T87" s="115">
        <f>SUM(T5:T85)</f>
        <v>0</v>
      </c>
      <c r="U87" s="115">
        <f>SUM(U5:U86)</f>
        <v>47096.21</v>
      </c>
      <c r="V87" s="115">
        <f>SUM(V5:V85)</f>
        <v>0</v>
      </c>
      <c r="W87" s="115">
        <f>SUM(W5:W85)</f>
        <v>0</v>
      </c>
      <c r="X87" s="115">
        <f>SUM(X5:X85)</f>
        <v>0</v>
      </c>
      <c r="Y87" s="115">
        <f>SUM(Y5:Y85)</f>
        <v>75</v>
      </c>
      <c r="Z87" s="145">
        <f>SUM(Z5:Z85)+Z2-Z4</f>
        <v>552566.67000000004</v>
      </c>
      <c r="AA87" s="146">
        <f>SUM(AA5:AA85)+AA2-AA4</f>
        <v>45628.669666666668</v>
      </c>
    </row>
    <row r="88" spans="8:30" ht="15.75" thickBot="1">
      <c r="J88" s="307" t="s">
        <v>61</v>
      </c>
      <c r="K88" s="307"/>
      <c r="L88" s="307"/>
      <c r="M88" s="308"/>
      <c r="N88" s="141">
        <f>N2+N3-SUM(N5:N85)-N4</f>
        <v>44230.28</v>
      </c>
      <c r="O88" s="141">
        <f>O2+O3-SUM(O5:O85)-O4</f>
        <v>42235.28</v>
      </c>
      <c r="P88" s="141">
        <f>P2+P3-SUM(P5:P85)-P4</f>
        <v>43154.909999999996</v>
      </c>
      <c r="Q88" s="141">
        <f>Q2+Q3-SUM(Q5:Q85)-Q4</f>
        <v>43269.84</v>
      </c>
      <c r="R88" s="141">
        <f>R2+R3-SUM(R5:R85)-R4</f>
        <v>44093.72</v>
      </c>
      <c r="S88" s="142">
        <f>S2+SUM(S5:S85)-S4</f>
        <v>45060.4</v>
      </c>
      <c r="T88" s="142">
        <f>T2+SUM(T5:T85)-T4</f>
        <v>48929.4</v>
      </c>
      <c r="U88" s="141">
        <f>U2-U87-U4+U3</f>
        <v>-12788.869999999999</v>
      </c>
      <c r="V88" s="141">
        <f>V2+SUM(V5:V85)-V4</f>
        <v>48929.4</v>
      </c>
      <c r="W88" s="141">
        <f>W2+SUM(W5:W85)-W4</f>
        <v>48929.4</v>
      </c>
      <c r="X88" s="141">
        <f>X2+SUM(X5:X85)-X4</f>
        <v>48929.4</v>
      </c>
      <c r="Y88" s="143">
        <f>Y2+SUM(Y5:Y85)-Y4</f>
        <v>49004.4</v>
      </c>
    </row>
    <row r="89" spans="8:30">
      <c r="J89" s="309" t="s">
        <v>62</v>
      </c>
      <c r="K89" s="309"/>
      <c r="L89" s="309"/>
      <c r="M89" s="309"/>
      <c r="N89" s="61">
        <f>N88</f>
        <v>44230.28</v>
      </c>
      <c r="O89" s="61">
        <f>SUM(N88:O88)</f>
        <v>86465.56</v>
      </c>
      <c r="P89" s="61">
        <f>SUM(N88:P88)</f>
        <v>129620.47</v>
      </c>
      <c r="Q89" s="61">
        <f>SUM(N88:Q88)</f>
        <v>172890.31</v>
      </c>
      <c r="R89" s="61">
        <f>SUM(N88:R88)</f>
        <v>216984.03</v>
      </c>
      <c r="S89" s="61">
        <f>SUM(N88:S88)</f>
        <v>262044.43</v>
      </c>
      <c r="T89" s="61">
        <f>SUM(N88:T88)</f>
        <v>310973.83</v>
      </c>
      <c r="U89" s="61">
        <f>SUM(N88:U88)</f>
        <v>298184.96000000002</v>
      </c>
      <c r="V89" s="61">
        <f>SUM(N88:V88)</f>
        <v>347114.36000000004</v>
      </c>
      <c r="W89" s="61">
        <f>SUM(N88:W88)</f>
        <v>396043.76000000007</v>
      </c>
      <c r="X89" s="61">
        <f>SUM(N88:X88)</f>
        <v>444973.16000000009</v>
      </c>
      <c r="Y89" s="61">
        <f>SUM(N88:Y88)</f>
        <v>493977.56000000011</v>
      </c>
    </row>
    <row r="90" spans="8:30">
      <c r="J90" s="47"/>
      <c r="K90" s="47"/>
      <c r="L90" s="57"/>
      <c r="M90" s="57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</row>
    <row r="91" spans="8:30">
      <c r="J91" s="47"/>
      <c r="K91" s="47"/>
      <c r="L91" s="47"/>
      <c r="M91" s="47"/>
    </row>
    <row r="92" spans="8:30">
      <c r="J92" s="47"/>
      <c r="K92" s="47"/>
      <c r="L92" s="47"/>
      <c r="M92" s="47"/>
      <c r="O92" s="310"/>
      <c r="P92" s="310"/>
      <c r="Q92" s="310"/>
      <c r="R92" s="310"/>
      <c r="S92" s="310"/>
    </row>
    <row r="93" spans="8:30">
      <c r="J93" s="47"/>
      <c r="K93" s="47"/>
      <c r="L93" s="47"/>
      <c r="M93" s="47"/>
      <c r="O93" s="310"/>
      <c r="P93" s="310"/>
      <c r="Q93" s="310"/>
      <c r="R93" s="310"/>
      <c r="S93" s="310"/>
    </row>
    <row r="94" spans="8:30">
      <c r="J94" s="47"/>
      <c r="K94" s="47"/>
      <c r="L94" s="47"/>
      <c r="M94" s="47"/>
      <c r="Z94" s="47"/>
      <c r="AA94" s="47"/>
    </row>
    <row r="95" spans="8:30">
      <c r="J95" s="47"/>
      <c r="K95" s="47"/>
      <c r="L95" s="47"/>
      <c r="M95" s="47"/>
      <c r="Z95" s="47"/>
      <c r="AA95" s="47"/>
    </row>
    <row r="96" spans="8:30">
      <c r="J96" s="47"/>
      <c r="K96" s="47"/>
      <c r="L96" s="47"/>
      <c r="M96" s="47"/>
      <c r="Z96" s="47"/>
      <c r="AA96" s="47"/>
    </row>
    <row r="97" spans="10:27">
      <c r="J97" s="47"/>
      <c r="K97" s="47"/>
      <c r="L97" s="47"/>
      <c r="M97" s="47"/>
      <c r="Z97" s="47"/>
      <c r="AA97" s="47"/>
    </row>
    <row r="98" spans="10:27"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AA98" s="47"/>
    </row>
    <row r="99" spans="10:27" ht="15.75" thickBot="1">
      <c r="J99">
        <v>2022</v>
      </c>
      <c r="Y99" s="47"/>
      <c r="AA99" s="47"/>
    </row>
    <row r="100" spans="10:27" ht="19.5" thickBot="1">
      <c r="J100" s="88" t="s">
        <v>139</v>
      </c>
      <c r="K100" s="61" t="s">
        <v>31</v>
      </c>
      <c r="L100" s="61" t="s">
        <v>32</v>
      </c>
      <c r="M100" s="61" t="s">
        <v>33</v>
      </c>
      <c r="N100" s="61" t="s">
        <v>34</v>
      </c>
      <c r="O100" s="61" t="s">
        <v>35</v>
      </c>
      <c r="P100" s="61" t="s">
        <v>36</v>
      </c>
      <c r="Q100" s="221" t="s">
        <v>37</v>
      </c>
      <c r="R100" s="61" t="s">
        <v>38</v>
      </c>
      <c r="S100" s="61" t="s">
        <v>39</v>
      </c>
      <c r="T100" s="61" t="s">
        <v>40</v>
      </c>
      <c r="U100" s="61" t="s">
        <v>29</v>
      </c>
      <c r="V100" s="61" t="s">
        <v>30</v>
      </c>
      <c r="W100" s="47"/>
      <c r="X100" s="98" t="s">
        <v>159</v>
      </c>
      <c r="AA100" s="47"/>
    </row>
    <row r="101" spans="10:27" ht="15.75" thickTop="1">
      <c r="J101" s="52" t="s">
        <v>140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1000</v>
      </c>
      <c r="R101" s="93">
        <v>1000</v>
      </c>
      <c r="S101" s="93">
        <v>1000</v>
      </c>
      <c r="T101" s="93">
        <v>1000</v>
      </c>
      <c r="U101" s="93">
        <v>1000</v>
      </c>
      <c r="V101" s="93">
        <v>1000</v>
      </c>
      <c r="W101" s="47"/>
      <c r="X101" s="100">
        <v>120000</v>
      </c>
      <c r="AA101" s="47"/>
    </row>
    <row r="102" spans="10:27" ht="15.75" thickBot="1">
      <c r="J102" s="52" t="s">
        <v>42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47"/>
      <c r="X102" s="62">
        <f>V103</f>
        <v>6000</v>
      </c>
      <c r="AA102" s="47"/>
    </row>
    <row r="103" spans="10:27" ht="15.75" thickBot="1">
      <c r="J103" s="52" t="s">
        <v>43</v>
      </c>
      <c r="K103" s="96">
        <f>K101+H85</f>
        <v>0</v>
      </c>
      <c r="L103" s="96">
        <f t="shared" ref="L103:P103" si="4">K103+L101+L102</f>
        <v>0</v>
      </c>
      <c r="M103" s="96">
        <f t="shared" si="4"/>
        <v>0</v>
      </c>
      <c r="N103" s="96">
        <f t="shared" si="4"/>
        <v>0</v>
      </c>
      <c r="O103" s="96">
        <f t="shared" si="4"/>
        <v>0</v>
      </c>
      <c r="P103" s="96">
        <f t="shared" si="4"/>
        <v>0</v>
      </c>
      <c r="Q103" s="96">
        <f>P103+Q101+Q102</f>
        <v>1000</v>
      </c>
      <c r="R103" s="96">
        <f t="shared" ref="R103:V103" si="5">Q103+R101+R102</f>
        <v>2000</v>
      </c>
      <c r="S103" s="96">
        <f t="shared" si="5"/>
        <v>3000</v>
      </c>
      <c r="T103" s="96">
        <f t="shared" si="5"/>
        <v>4000</v>
      </c>
      <c r="U103" s="96">
        <f t="shared" si="5"/>
        <v>5000</v>
      </c>
      <c r="V103" s="96">
        <f t="shared" si="5"/>
        <v>6000</v>
      </c>
      <c r="W103" s="47"/>
      <c r="X103" s="103">
        <f>X101-V103</f>
        <v>114000</v>
      </c>
      <c r="AA103" s="47"/>
    </row>
    <row r="104" spans="10:27">
      <c r="AA104" s="47"/>
    </row>
    <row r="105" spans="10:27">
      <c r="AA105" s="47"/>
    </row>
    <row r="106" spans="10:27">
      <c r="AA106" s="47"/>
    </row>
    <row r="107" spans="10:27" ht="15.75" thickBot="1">
      <c r="J107">
        <v>2022</v>
      </c>
      <c r="AA107" s="47"/>
    </row>
    <row r="108" spans="10:27" ht="19.5" thickBot="1">
      <c r="J108" s="88" t="s">
        <v>139</v>
      </c>
      <c r="K108" s="61" t="s">
        <v>31</v>
      </c>
      <c r="L108" s="61" t="s">
        <v>32</v>
      </c>
      <c r="M108" s="61" t="s">
        <v>33</v>
      </c>
      <c r="N108" s="61" t="s">
        <v>34</v>
      </c>
      <c r="O108" s="61" t="s">
        <v>35</v>
      </c>
      <c r="P108" s="61" t="s">
        <v>36</v>
      </c>
      <c r="Q108" s="221" t="s">
        <v>37</v>
      </c>
      <c r="R108" s="61" t="s">
        <v>38</v>
      </c>
      <c r="S108" s="61" t="s">
        <v>39</v>
      </c>
      <c r="T108" s="61" t="s">
        <v>40</v>
      </c>
      <c r="U108" s="61" t="s">
        <v>29</v>
      </c>
      <c r="V108" s="61" t="s">
        <v>30</v>
      </c>
      <c r="W108" s="47"/>
      <c r="X108" s="98" t="s">
        <v>159</v>
      </c>
      <c r="AA108" s="47"/>
    </row>
    <row r="109" spans="10:27" ht="15.75" thickTop="1">
      <c r="J109" s="52" t="s">
        <v>140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500</v>
      </c>
      <c r="R109" s="93">
        <v>500</v>
      </c>
      <c r="S109" s="93">
        <v>500</v>
      </c>
      <c r="T109" s="93">
        <v>500</v>
      </c>
      <c r="U109" s="93">
        <v>500</v>
      </c>
      <c r="V109" s="93">
        <v>500</v>
      </c>
      <c r="W109" s="47"/>
      <c r="X109" s="100">
        <v>120000</v>
      </c>
      <c r="AA109" s="47"/>
    </row>
    <row r="110" spans="10:27" ht="15.75" thickBot="1">
      <c r="J110" s="52" t="s">
        <v>42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47"/>
      <c r="X110" s="62">
        <f>V111</f>
        <v>3000</v>
      </c>
    </row>
    <row r="111" spans="10:27" ht="15.75" thickBot="1">
      <c r="J111" s="52" t="s">
        <v>43</v>
      </c>
      <c r="K111" s="96">
        <f>K109+H93</f>
        <v>0</v>
      </c>
      <c r="L111" s="96">
        <f t="shared" ref="L111" si="6">K111+L109+L110</f>
        <v>0</v>
      </c>
      <c r="M111" s="96">
        <f t="shared" ref="M111" si="7">L111+M109+M110</f>
        <v>0</v>
      </c>
      <c r="N111" s="96">
        <f t="shared" ref="N111" si="8">M111+N109+N110</f>
        <v>0</v>
      </c>
      <c r="O111" s="96">
        <f t="shared" ref="O111" si="9">N111+O109+O110</f>
        <v>0</v>
      </c>
      <c r="P111" s="96">
        <f t="shared" ref="P111" si="10">O111+P109+P110</f>
        <v>0</v>
      </c>
      <c r="Q111" s="96">
        <f t="shared" ref="Q111" si="11">P111+Q109+Q110</f>
        <v>500</v>
      </c>
      <c r="R111" s="96">
        <f t="shared" ref="R111" si="12">Q111+R109+R110</f>
        <v>1000</v>
      </c>
      <c r="S111" s="96">
        <f t="shared" ref="S111" si="13">R111+S109+S110</f>
        <v>1500</v>
      </c>
      <c r="T111" s="96">
        <f t="shared" ref="T111" si="14">S111+T109+T110</f>
        <v>2000</v>
      </c>
      <c r="U111" s="96">
        <f t="shared" ref="U111" si="15">T111+U109+U110</f>
        <v>2500</v>
      </c>
      <c r="V111" s="96">
        <f t="shared" ref="V111" si="16">U111+V109+V110</f>
        <v>3000</v>
      </c>
      <c r="W111" s="47"/>
      <c r="X111" s="103">
        <f>X109-V111</f>
        <v>117000</v>
      </c>
    </row>
  </sheetData>
  <mergeCells count="61">
    <mergeCell ref="J83:M83"/>
    <mergeCell ref="AB83:AD83"/>
    <mergeCell ref="J66:M66"/>
    <mergeCell ref="J67:M67"/>
    <mergeCell ref="AB67:AD67"/>
    <mergeCell ref="J70:M70"/>
    <mergeCell ref="AB70:AD70"/>
    <mergeCell ref="J79:M79"/>
    <mergeCell ref="AB79:AD79"/>
    <mergeCell ref="J80:M80"/>
    <mergeCell ref="AB77:AD77"/>
    <mergeCell ref="O93:S93"/>
    <mergeCell ref="J85:M85"/>
    <mergeCell ref="AB85:AD85"/>
    <mergeCell ref="J87:M87"/>
    <mergeCell ref="J88:M88"/>
    <mergeCell ref="J89:M89"/>
    <mergeCell ref="O92:S92"/>
    <mergeCell ref="G33:I33"/>
    <mergeCell ref="G2:I2"/>
    <mergeCell ref="J81:M81"/>
    <mergeCell ref="J82:M82"/>
    <mergeCell ref="J65:M65"/>
    <mergeCell ref="J56:M56"/>
    <mergeCell ref="J77:M77"/>
    <mergeCell ref="J48:M48"/>
    <mergeCell ref="J33:M33"/>
    <mergeCell ref="J37:M37"/>
    <mergeCell ref="J5:M5"/>
    <mergeCell ref="AB56:AD56"/>
    <mergeCell ref="J57:M57"/>
    <mergeCell ref="AB57:AD57"/>
    <mergeCell ref="J58:M58"/>
    <mergeCell ref="AB58:AD58"/>
    <mergeCell ref="AB60:AD60"/>
    <mergeCell ref="J62:M62"/>
    <mergeCell ref="AB62:AD62"/>
    <mergeCell ref="J63:M63"/>
    <mergeCell ref="AB63:AD63"/>
    <mergeCell ref="AB48:AD48"/>
    <mergeCell ref="J49:M49"/>
    <mergeCell ref="AB49:AD49"/>
    <mergeCell ref="J51:M51"/>
    <mergeCell ref="AB51:AD51"/>
    <mergeCell ref="AB37:AD37"/>
    <mergeCell ref="AB42:AD42"/>
    <mergeCell ref="J43:M43"/>
    <mergeCell ref="AB43:AD43"/>
    <mergeCell ref="AB6:AD6"/>
    <mergeCell ref="AB23:AD23"/>
    <mergeCell ref="J26:M26"/>
    <mergeCell ref="AB26:AD26"/>
    <mergeCell ref="J29:M29"/>
    <mergeCell ref="AB29:AD29"/>
    <mergeCell ref="AB5:AD5"/>
    <mergeCell ref="A1:B1"/>
    <mergeCell ref="J1:M1"/>
    <mergeCell ref="J2:M2"/>
    <mergeCell ref="J4:M4"/>
    <mergeCell ref="AB4:AD4"/>
    <mergeCell ref="AB3:AD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3C23-2631-4156-B8EB-A987D771E1C9}">
  <dimension ref="A1:AD102"/>
  <sheetViews>
    <sheetView workbookViewId="0">
      <selection activeCell="B4" sqref="B4"/>
    </sheetView>
  </sheetViews>
  <sheetFormatPr defaultRowHeight="15"/>
  <cols>
    <col min="2" max="2" width="19.140625" customWidth="1"/>
    <col min="3" max="3" width="20.5703125" customWidth="1"/>
    <col min="6" max="6" width="38.5703125" bestFit="1" customWidth="1"/>
  </cols>
  <sheetData>
    <row r="1" spans="1:30" ht="16.5" thickTop="1" thickBot="1">
      <c r="A1" s="268" t="s">
        <v>237</v>
      </c>
      <c r="B1" s="269"/>
      <c r="C1" s="138" t="s">
        <v>1</v>
      </c>
      <c r="D1" s="138"/>
      <c r="E1" s="138"/>
      <c r="F1" s="138"/>
      <c r="G1" s="47"/>
      <c r="H1" s="47"/>
      <c r="I1" s="47"/>
      <c r="J1" s="276" t="s">
        <v>52</v>
      </c>
      <c r="K1" s="276"/>
      <c r="L1" s="276"/>
      <c r="M1" s="277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>
        <v>31519.33</v>
      </c>
      <c r="C2" s="191">
        <v>337.01</v>
      </c>
      <c r="D2" s="191"/>
      <c r="E2" s="191">
        <v>350.73</v>
      </c>
      <c r="F2" s="191" t="s">
        <v>465</v>
      </c>
      <c r="H2" s="47"/>
      <c r="I2" s="47"/>
      <c r="J2" s="278" t="s">
        <v>543</v>
      </c>
      <c r="K2" s="278"/>
      <c r="L2" s="278"/>
      <c r="M2" s="278"/>
      <c r="N2" s="47">
        <f>43178.75</f>
        <v>43178.75</v>
      </c>
      <c r="O2" s="24"/>
      <c r="P2" s="24">
        <v>43939.01</v>
      </c>
      <c r="Q2" s="24"/>
      <c r="R2" s="24"/>
      <c r="S2" s="24"/>
      <c r="T2" s="24"/>
      <c r="U2" s="24"/>
      <c r="V2" s="24"/>
      <c r="W2" s="24"/>
      <c r="X2" s="24"/>
      <c r="Y2" s="24"/>
      <c r="Z2" s="118">
        <f>SUM(N2:Y2)</f>
        <v>87117.760000000009</v>
      </c>
      <c r="AA2" s="20">
        <f>AVERAGE(N2:Y2)</f>
        <v>43558.880000000005</v>
      </c>
    </row>
    <row r="3" spans="1:30" ht="17.25" thickTop="1" thickBot="1">
      <c r="A3" s="26" t="s">
        <v>411</v>
      </c>
      <c r="B3" s="189">
        <f>43178.75+(6728)</f>
        <v>49906.75</v>
      </c>
      <c r="C3" s="191">
        <f>2335.11</f>
        <v>2335.11</v>
      </c>
      <c r="D3" s="191"/>
      <c r="E3" s="191">
        <f>2335.11</f>
        <v>2335.11</v>
      </c>
      <c r="F3" s="191" t="s">
        <v>278</v>
      </c>
      <c r="H3" s="47"/>
      <c r="I3" s="47"/>
      <c r="J3" s="270" t="s">
        <v>504</v>
      </c>
      <c r="K3" s="314"/>
      <c r="L3" s="314"/>
      <c r="M3" s="315"/>
      <c r="N3" s="56">
        <v>3929</v>
      </c>
      <c r="O3" s="56">
        <v>1080</v>
      </c>
      <c r="P3" s="56">
        <v>3017</v>
      </c>
      <c r="Q3" s="56"/>
      <c r="R3" s="56"/>
      <c r="S3" s="56"/>
      <c r="T3" s="56"/>
      <c r="U3" s="56"/>
      <c r="V3" s="56"/>
      <c r="W3" s="56"/>
      <c r="X3" s="56"/>
      <c r="Y3" s="56"/>
      <c r="Z3" s="118">
        <f>SUM(N3:Y3)</f>
        <v>8026</v>
      </c>
      <c r="AA3" s="20">
        <f>AVERAGE(N3:Y3)</f>
        <v>2675.3333333333335</v>
      </c>
      <c r="AB3" s="272" t="s">
        <v>63</v>
      </c>
      <c r="AC3" s="272"/>
      <c r="AD3" s="273"/>
    </row>
    <row r="4" spans="1:30" ht="16.5" thickTop="1" thickBot="1">
      <c r="A4" s="47"/>
      <c r="B4" s="47">
        <f>45893.11</f>
        <v>45893.11</v>
      </c>
      <c r="C4" s="191">
        <f>1607.71</f>
        <v>1607.71</v>
      </c>
      <c r="D4" s="191"/>
      <c r="E4" s="191">
        <f>1768.48</f>
        <v>1768.48</v>
      </c>
      <c r="F4" s="191" t="s">
        <v>453</v>
      </c>
      <c r="J4" s="283" t="s">
        <v>149</v>
      </c>
      <c r="K4" s="283"/>
      <c r="L4" s="283"/>
      <c r="M4" s="283"/>
      <c r="N4" s="202"/>
      <c r="O4" s="118">
        <v>55000</v>
      </c>
      <c r="Z4" s="118">
        <f>SUM(N4:Y4)</f>
        <v>55000</v>
      </c>
      <c r="AA4" s="20">
        <f>AVERAGE(N4:Y4)</f>
        <v>55000</v>
      </c>
      <c r="AB4" s="257" t="s">
        <v>149</v>
      </c>
      <c r="AC4" s="257"/>
      <c r="AD4" s="257"/>
    </row>
    <row r="5" spans="1:30" ht="16.5" thickTop="1" thickBot="1">
      <c r="A5" s="125" t="s">
        <v>503</v>
      </c>
      <c r="B5" s="47">
        <f>B3*0.3</f>
        <v>14972.025</v>
      </c>
      <c r="C5" s="191"/>
      <c r="D5" s="191"/>
      <c r="E5" s="191"/>
      <c r="F5" s="191" t="s">
        <v>4</v>
      </c>
      <c r="J5" s="213"/>
      <c r="K5" s="213"/>
      <c r="L5" s="213"/>
      <c r="M5" s="213" t="s">
        <v>480</v>
      </c>
      <c r="N5" s="202">
        <f>336</f>
        <v>336</v>
      </c>
      <c r="Z5" s="118"/>
      <c r="AA5" s="20"/>
      <c r="AB5" s="285" t="s">
        <v>480</v>
      </c>
      <c r="AC5" s="257"/>
      <c r="AD5" s="257"/>
    </row>
    <row r="6" spans="1:30" ht="16.5" thickTop="1" thickBot="1">
      <c r="A6" s="47"/>
      <c r="B6" s="47"/>
      <c r="C6" s="191">
        <v>855.55</v>
      </c>
      <c r="D6" s="191"/>
      <c r="E6" s="191">
        <v>789.58</v>
      </c>
      <c r="F6" s="191" t="s">
        <v>138</v>
      </c>
      <c r="J6" s="213"/>
      <c r="K6" s="213"/>
      <c r="L6" s="213"/>
      <c r="M6" s="213" t="s">
        <v>512</v>
      </c>
      <c r="N6" s="202"/>
      <c r="Z6" s="118"/>
      <c r="AA6" s="20"/>
      <c r="AB6" s="225"/>
      <c r="AC6" s="224"/>
      <c r="AD6" s="224"/>
    </row>
    <row r="7" spans="1:30" ht="16.5" thickTop="1" thickBot="1">
      <c r="A7" s="47"/>
      <c r="B7" s="47"/>
      <c r="C7" s="191"/>
      <c r="D7" s="191"/>
      <c r="E7" s="191"/>
      <c r="F7" s="191" t="s">
        <v>268</v>
      </c>
      <c r="J7" s="213"/>
      <c r="K7" s="213"/>
      <c r="L7" s="213"/>
      <c r="M7" s="213" t="s">
        <v>511</v>
      </c>
      <c r="N7" s="202"/>
      <c r="Z7" s="118"/>
      <c r="AA7" s="20"/>
      <c r="AB7" s="225"/>
      <c r="AC7" s="224"/>
      <c r="AD7" s="224"/>
    </row>
    <row r="8" spans="1:30" ht="16.5" thickTop="1" thickBot="1">
      <c r="A8" s="47"/>
      <c r="B8" s="47"/>
      <c r="C8" s="191">
        <v>140</v>
      </c>
      <c r="D8" s="191"/>
      <c r="E8" s="191">
        <v>150</v>
      </c>
      <c r="F8" s="191" t="s">
        <v>459</v>
      </c>
      <c r="J8" s="213"/>
      <c r="K8" s="213"/>
      <c r="L8" s="213"/>
      <c r="M8" s="213" t="s">
        <v>570</v>
      </c>
      <c r="N8" s="202">
        <v>109</v>
      </c>
      <c r="Z8" s="118"/>
      <c r="AA8" s="20"/>
      <c r="AB8" s="225"/>
      <c r="AC8" s="224"/>
      <c r="AD8" s="224"/>
    </row>
    <row r="9" spans="1:30" ht="16.5" thickTop="1" thickBot="1">
      <c r="A9" s="47"/>
      <c r="B9" s="47"/>
      <c r="C9" s="191">
        <v>608.35</v>
      </c>
      <c r="D9" s="191"/>
      <c r="E9" s="191">
        <v>542.87</v>
      </c>
      <c r="F9" s="191" t="s">
        <v>464</v>
      </c>
      <c r="J9" s="213"/>
      <c r="K9" s="213"/>
      <c r="L9" s="213"/>
      <c r="M9" s="213" t="s">
        <v>572</v>
      </c>
      <c r="N9" s="202">
        <v>198</v>
      </c>
      <c r="Z9" s="118"/>
      <c r="AA9" s="20"/>
      <c r="AB9" s="225"/>
      <c r="AC9" s="224"/>
      <c r="AD9" s="224"/>
    </row>
    <row r="10" spans="1:30" ht="16.5" thickTop="1" thickBot="1">
      <c r="A10" s="47"/>
      <c r="B10" s="191" t="s">
        <v>7</v>
      </c>
      <c r="C10" s="191">
        <v>299</v>
      </c>
      <c r="D10" s="191"/>
      <c r="E10" s="191">
        <v>299</v>
      </c>
      <c r="F10" s="191" t="s">
        <v>455</v>
      </c>
      <c r="J10" s="213"/>
      <c r="K10" s="213"/>
      <c r="L10" s="213"/>
      <c r="M10" s="213" t="s">
        <v>535</v>
      </c>
      <c r="N10" s="202"/>
      <c r="Z10" s="118"/>
      <c r="AA10" s="20"/>
      <c r="AB10" s="225"/>
      <c r="AC10" s="224"/>
      <c r="AD10" s="224"/>
    </row>
    <row r="11" spans="1:30" ht="16.5" thickTop="1" thickBot="1">
      <c r="A11" s="47"/>
      <c r="B11" s="47"/>
      <c r="C11" s="191">
        <v>606.25</v>
      </c>
      <c r="D11" s="191"/>
      <c r="E11" s="191">
        <f>156+156+57.25+50</f>
        <v>419.25</v>
      </c>
      <c r="F11" s="191" t="s">
        <v>445</v>
      </c>
      <c r="J11" s="213"/>
      <c r="K11" s="213"/>
      <c r="L11" s="213"/>
      <c r="M11" s="213" t="s">
        <v>536</v>
      </c>
      <c r="N11" s="202"/>
      <c r="Z11" s="118"/>
      <c r="AA11" s="20"/>
      <c r="AB11" s="225"/>
      <c r="AC11" s="224"/>
      <c r="AD11" s="224"/>
    </row>
    <row r="12" spans="1:30" ht="16.5" thickTop="1" thickBot="1">
      <c r="A12" s="47"/>
      <c r="B12" s="204"/>
      <c r="C12" s="134">
        <v>2615</v>
      </c>
      <c r="D12" s="134"/>
      <c r="E12" s="134">
        <v>2615</v>
      </c>
      <c r="F12" s="134" t="s">
        <v>554</v>
      </c>
      <c r="G12" s="47" t="s">
        <v>137</v>
      </c>
      <c r="H12" t="s">
        <v>538</v>
      </c>
      <c r="J12" s="213"/>
      <c r="K12" s="213"/>
      <c r="L12" s="213"/>
      <c r="M12" s="213" t="s">
        <v>526</v>
      </c>
      <c r="N12" s="202">
        <v>390</v>
      </c>
      <c r="Z12" s="118"/>
      <c r="AA12" s="20"/>
      <c r="AB12" s="225"/>
      <c r="AC12" s="224"/>
      <c r="AD12" s="224"/>
    </row>
    <row r="13" spans="1:30" ht="16.5" thickTop="1" thickBot="1">
      <c r="A13" s="47"/>
      <c r="C13" s="134">
        <f>C56+G54</f>
        <v>2520</v>
      </c>
      <c r="D13" s="134"/>
      <c r="E13" s="134">
        <f>C55</f>
        <v>780</v>
      </c>
      <c r="F13" s="134" t="s">
        <v>513</v>
      </c>
      <c r="J13" s="213"/>
      <c r="K13" s="213"/>
      <c r="L13" s="213"/>
      <c r="M13" s="213" t="s">
        <v>531</v>
      </c>
      <c r="N13" s="202"/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34"/>
      <c r="D14" s="134"/>
      <c r="E14" s="134">
        <f>C56</f>
        <v>900</v>
      </c>
      <c r="F14" s="134" t="s">
        <v>555</v>
      </c>
      <c r="J14" s="213"/>
      <c r="K14" s="213"/>
      <c r="L14" s="213"/>
      <c r="M14" s="213" t="s">
        <v>530</v>
      </c>
      <c r="N14" s="202"/>
      <c r="Z14" s="118"/>
      <c r="AA14" s="20"/>
      <c r="AB14" s="225"/>
      <c r="AC14" s="224"/>
      <c r="AD14" s="224"/>
    </row>
    <row r="15" spans="1:30" ht="16.5" thickTop="1" thickBot="1">
      <c r="A15" s="47"/>
      <c r="C15" s="134">
        <v>2000</v>
      </c>
      <c r="D15" s="134"/>
      <c r="E15" s="134">
        <v>2000</v>
      </c>
      <c r="F15" s="134" t="s">
        <v>17</v>
      </c>
      <c r="J15" s="213"/>
      <c r="K15" s="213"/>
      <c r="L15" s="213"/>
      <c r="M15" s="213" t="s">
        <v>534</v>
      </c>
      <c r="N15" s="202"/>
      <c r="Z15" s="118"/>
      <c r="AA15" s="20"/>
      <c r="AB15" s="225"/>
      <c r="AC15" s="224"/>
      <c r="AD15" s="224"/>
    </row>
    <row r="16" spans="1:30" ht="16.5" thickTop="1" thickBot="1">
      <c r="A16" s="47"/>
      <c r="B16" s="47"/>
      <c r="C16" s="134">
        <v>3500</v>
      </c>
      <c r="D16" s="134"/>
      <c r="E16" s="134">
        <v>4000</v>
      </c>
      <c r="F16" s="134" t="s">
        <v>557</v>
      </c>
      <c r="H16" s="47"/>
      <c r="J16" s="213"/>
      <c r="K16" s="213"/>
      <c r="L16" s="213"/>
      <c r="M16" s="213" t="s">
        <v>533</v>
      </c>
      <c r="N16" s="202"/>
      <c r="Z16" s="118"/>
      <c r="AA16" s="20"/>
      <c r="AB16" s="225"/>
      <c r="AC16" s="224"/>
      <c r="AD16" s="224"/>
    </row>
    <row r="17" spans="1:30" ht="16.5" thickTop="1" thickBot="1">
      <c r="A17" s="47"/>
      <c r="B17" s="47"/>
      <c r="C17" s="194">
        <v>1600</v>
      </c>
      <c r="D17" s="194"/>
      <c r="E17" s="194">
        <v>1600</v>
      </c>
      <c r="F17" s="194" t="s">
        <v>6</v>
      </c>
      <c r="J17" s="213"/>
      <c r="K17" s="213"/>
      <c r="L17" s="213"/>
      <c r="M17" s="213" t="s">
        <v>573</v>
      </c>
      <c r="N17" s="202">
        <v>74</v>
      </c>
      <c r="Z17" s="118"/>
      <c r="AA17" s="20"/>
      <c r="AB17" s="225"/>
      <c r="AC17" s="224"/>
      <c r="AD17" s="224"/>
    </row>
    <row r="18" spans="1:30" ht="16.5" thickTop="1" thickBot="1">
      <c r="A18" s="47"/>
      <c r="B18" s="47"/>
      <c r="C18" s="194"/>
      <c r="D18" s="194"/>
      <c r="E18" s="194">
        <v>99</v>
      </c>
      <c r="F18" s="194" t="s">
        <v>249</v>
      </c>
      <c r="H18" s="47"/>
      <c r="I18" s="47"/>
      <c r="J18" s="213"/>
      <c r="K18" s="213"/>
      <c r="L18" s="213"/>
      <c r="M18" s="213" t="s">
        <v>541</v>
      </c>
      <c r="N18" s="202"/>
      <c r="Z18" s="118"/>
      <c r="AA18" s="20"/>
      <c r="AB18" s="225"/>
      <c r="AC18" s="224"/>
      <c r="AD18" s="224"/>
    </row>
    <row r="19" spans="1:30" ht="16.5" thickTop="1" thickBot="1">
      <c r="A19" s="47"/>
      <c r="B19" s="47"/>
      <c r="C19" s="194">
        <v>2500</v>
      </c>
      <c r="D19" s="194"/>
      <c r="E19" s="194">
        <v>1500</v>
      </c>
      <c r="F19" s="194" t="s">
        <v>440</v>
      </c>
      <c r="H19" s="47"/>
      <c r="I19" s="47"/>
      <c r="J19" s="213"/>
      <c r="K19" s="213"/>
      <c r="L19" s="213"/>
      <c r="M19" s="213" t="s">
        <v>574</v>
      </c>
      <c r="N19">
        <v>5900</v>
      </c>
      <c r="Z19" s="118"/>
      <c r="AA19" s="20"/>
      <c r="AB19" s="225"/>
      <c r="AC19" s="224"/>
      <c r="AD19" s="224"/>
    </row>
    <row r="20" spans="1:30" ht="16.5" thickTop="1" thickBot="1">
      <c r="A20" s="47"/>
      <c r="B20" s="47"/>
      <c r="C20" s="194">
        <v>134.55000000000001</v>
      </c>
      <c r="D20" s="194"/>
      <c r="E20" s="194">
        <v>134.55000000000001</v>
      </c>
      <c r="F20" s="194" t="s">
        <v>13</v>
      </c>
      <c r="H20" s="47"/>
      <c r="I20" s="47"/>
      <c r="J20" s="208"/>
      <c r="K20" s="208"/>
      <c r="L20" s="208"/>
      <c r="M20" s="218" t="s">
        <v>471</v>
      </c>
      <c r="O20">
        <f>916.7</f>
        <v>916.7</v>
      </c>
      <c r="Z20" s="118"/>
      <c r="AA20" s="20"/>
      <c r="AB20" s="286" t="s">
        <v>471</v>
      </c>
      <c r="AC20" s="258"/>
      <c r="AD20" s="258"/>
    </row>
    <row r="21" spans="1:30" ht="16.5" thickTop="1" thickBot="1">
      <c r="A21" s="47"/>
      <c r="C21" s="194">
        <v>1227</v>
      </c>
      <c r="D21" s="194"/>
      <c r="E21" s="194">
        <f>39+39+917</f>
        <v>995</v>
      </c>
      <c r="F21" s="194" t="s">
        <v>144</v>
      </c>
      <c r="H21" s="47"/>
      <c r="I21" s="47"/>
      <c r="J21" s="208"/>
      <c r="K21" s="208"/>
      <c r="L21" s="208"/>
      <c r="M21" s="218" t="s">
        <v>491</v>
      </c>
      <c r="Z21" s="118"/>
      <c r="AA21" s="20"/>
      <c r="AB21" s="207"/>
      <c r="AC21" s="207"/>
      <c r="AD21" s="207"/>
    </row>
    <row r="22" spans="1:30" ht="16.5" thickTop="1" thickBot="1">
      <c r="A22" s="47"/>
      <c r="C22" s="194">
        <v>140</v>
      </c>
      <c r="D22" s="194"/>
      <c r="E22" s="194">
        <v>140</v>
      </c>
      <c r="F22" s="194" t="s">
        <v>248</v>
      </c>
      <c r="H22" s="220"/>
      <c r="I22" s="47"/>
      <c r="J22" s="208"/>
      <c r="K22" s="208"/>
      <c r="L22" s="208"/>
      <c r="M22" s="218" t="s">
        <v>497</v>
      </c>
      <c r="Z22" s="118"/>
      <c r="AA22" s="20"/>
      <c r="AB22" s="207"/>
      <c r="AC22" s="207"/>
      <c r="AD22" s="207"/>
    </row>
    <row r="23" spans="1:30" ht="16.5" thickTop="1" thickBot="1">
      <c r="A23" s="47"/>
      <c r="B23" s="47"/>
      <c r="C23" s="194">
        <v>3500</v>
      </c>
      <c r="D23" s="194"/>
      <c r="E23" s="194">
        <v>3500</v>
      </c>
      <c r="F23" s="194" t="s">
        <v>454</v>
      </c>
      <c r="H23" s="47"/>
      <c r="I23" s="47"/>
      <c r="J23" s="287" t="s">
        <v>498</v>
      </c>
      <c r="K23" s="287"/>
      <c r="L23" s="287"/>
      <c r="M23" s="288"/>
      <c r="Z23" s="118">
        <f>SUM(N23:Y23)</f>
        <v>0</v>
      </c>
      <c r="AA23" s="20" t="e">
        <f>AVERAGE(N23:Y23)</f>
        <v>#DIV/0!</v>
      </c>
      <c r="AB23" s="258" t="s">
        <v>276</v>
      </c>
      <c r="AC23" s="258"/>
      <c r="AD23" s="258"/>
    </row>
    <row r="24" spans="1:30" ht="16.5" thickTop="1" thickBot="1">
      <c r="A24" s="47"/>
      <c r="B24" s="47"/>
      <c r="C24" s="204">
        <v>100</v>
      </c>
      <c r="D24" s="204"/>
      <c r="E24" s="204"/>
      <c r="F24" s="204" t="s">
        <v>544</v>
      </c>
      <c r="H24" s="47"/>
      <c r="I24" s="47"/>
      <c r="J24" s="208"/>
      <c r="K24" s="208"/>
      <c r="L24" s="208"/>
      <c r="M24" s="218" t="s">
        <v>569</v>
      </c>
      <c r="N24">
        <v>415</v>
      </c>
      <c r="Z24" s="118"/>
      <c r="AA24" s="20"/>
      <c r="AB24" s="207"/>
      <c r="AC24" s="207"/>
      <c r="AD24" s="207"/>
    </row>
    <row r="25" spans="1:30" ht="16.5" thickTop="1" thickBot="1">
      <c r="A25" s="47"/>
      <c r="B25" s="47"/>
      <c r="C25" s="204">
        <v>632.35</v>
      </c>
      <c r="D25" s="204"/>
      <c r="E25" s="204">
        <v>632.35</v>
      </c>
      <c r="F25" s="204" t="s">
        <v>467</v>
      </c>
      <c r="H25" s="47"/>
      <c r="I25" s="47"/>
      <c r="J25" s="208"/>
      <c r="K25" s="208"/>
      <c r="L25" s="208"/>
      <c r="M25" s="218" t="s">
        <v>561</v>
      </c>
      <c r="N25">
        <v>1330</v>
      </c>
      <c r="O25">
        <f>248</f>
        <v>248</v>
      </c>
      <c r="Z25" s="118"/>
      <c r="AA25" s="20"/>
      <c r="AB25" s="207"/>
      <c r="AC25" s="207"/>
      <c r="AD25" s="207"/>
    </row>
    <row r="26" spans="1:30" ht="16.5" thickTop="1" thickBot="1">
      <c r="A26" s="47"/>
      <c r="B26" s="47"/>
      <c r="C26" s="204">
        <v>160</v>
      </c>
      <c r="D26" s="204"/>
      <c r="E26" s="204">
        <v>160</v>
      </c>
      <c r="F26" s="204" t="s">
        <v>66</v>
      </c>
      <c r="J26" s="287" t="s">
        <v>386</v>
      </c>
      <c r="K26" s="287"/>
      <c r="L26" s="287"/>
      <c r="M26" s="287"/>
      <c r="N26" s="202"/>
      <c r="Z26" s="118">
        <f>SUM(N26:Y26)</f>
        <v>0</v>
      </c>
      <c r="AA26" s="20" t="e">
        <f>AVERAGE(N26:Y26)</f>
        <v>#DIV/0!</v>
      </c>
      <c r="AB26" s="259" t="s">
        <v>65</v>
      </c>
      <c r="AC26" s="259"/>
      <c r="AD26" s="259"/>
    </row>
    <row r="27" spans="1:30" ht="16.5" thickTop="1" thickBot="1">
      <c r="A27" s="47"/>
      <c r="B27" s="47"/>
      <c r="C27" s="193">
        <v>20</v>
      </c>
      <c r="D27" s="193"/>
      <c r="E27" s="193">
        <v>20</v>
      </c>
      <c r="F27" s="193" t="s">
        <v>547</v>
      </c>
      <c r="J27" s="24"/>
      <c r="K27" s="208"/>
      <c r="L27" s="208"/>
      <c r="M27" s="208" t="s">
        <v>493</v>
      </c>
      <c r="N27" s="202"/>
      <c r="Z27" s="118"/>
      <c r="AA27" s="20"/>
      <c r="AB27" s="149"/>
      <c r="AC27" s="149"/>
      <c r="AD27" s="149"/>
    </row>
    <row r="28" spans="1:30" ht="16.5" thickTop="1" thickBot="1">
      <c r="A28" s="47"/>
      <c r="B28" s="47"/>
      <c r="C28" s="193">
        <v>49.56</v>
      </c>
      <c r="D28" s="193"/>
      <c r="E28" s="193">
        <v>49.56</v>
      </c>
      <c r="F28" s="193" t="s">
        <v>548</v>
      </c>
      <c r="J28" s="24"/>
      <c r="K28" s="208"/>
      <c r="L28" s="208"/>
      <c r="M28" s="208" t="s">
        <v>568</v>
      </c>
      <c r="N28" s="202">
        <v>560</v>
      </c>
      <c r="Z28" s="118"/>
      <c r="AA28" s="20"/>
      <c r="AB28" s="149"/>
      <c r="AC28" s="149"/>
      <c r="AD28" s="149"/>
    </row>
    <row r="29" spans="1:30" ht="16.5" thickTop="1" thickBot="1">
      <c r="A29" s="47"/>
      <c r="B29" s="47"/>
      <c r="C29" s="193">
        <v>26.09</v>
      </c>
      <c r="D29" s="193"/>
      <c r="E29" s="193">
        <v>26.09</v>
      </c>
      <c r="F29" s="193" t="s">
        <v>549</v>
      </c>
      <c r="J29" s="208"/>
      <c r="K29" s="208"/>
      <c r="L29" s="208"/>
      <c r="M29" s="208" t="s">
        <v>560</v>
      </c>
      <c r="N29" s="202">
        <v>256</v>
      </c>
      <c r="Z29" s="118"/>
      <c r="AA29" s="20"/>
      <c r="AB29" s="149"/>
      <c r="AC29" s="149"/>
      <c r="AD29" s="149"/>
    </row>
    <row r="30" spans="1:30" ht="16.5" thickTop="1" thickBot="1">
      <c r="A30" s="47"/>
      <c r="B30" s="47"/>
      <c r="C30" s="193">
        <v>22.61</v>
      </c>
      <c r="D30" s="193"/>
      <c r="E30" s="193">
        <v>22.61</v>
      </c>
      <c r="F30" s="193" t="s">
        <v>546</v>
      </c>
      <c r="J30" s="287" t="s">
        <v>500</v>
      </c>
      <c r="K30" s="293"/>
      <c r="L30" s="293"/>
      <c r="M30" s="293"/>
      <c r="N30" s="202"/>
      <c r="Z30" s="118"/>
      <c r="AA30" s="20"/>
      <c r="AB30" s="149"/>
      <c r="AC30" s="149"/>
      <c r="AD30" s="149"/>
    </row>
    <row r="31" spans="1:30" ht="16.5" thickTop="1" thickBot="1">
      <c r="A31" s="47"/>
      <c r="B31" s="47"/>
      <c r="C31" s="231">
        <v>14951.43</v>
      </c>
      <c r="D31" s="231"/>
      <c r="E31" s="231">
        <v>14951.43</v>
      </c>
      <c r="F31" s="232" t="s">
        <v>412</v>
      </c>
      <c r="J31" s="208"/>
      <c r="K31" s="212"/>
      <c r="L31" s="212"/>
      <c r="M31" s="208" t="s">
        <v>567</v>
      </c>
      <c r="N31" s="202"/>
      <c r="P31">
        <v>127</v>
      </c>
      <c r="Z31" s="118"/>
      <c r="AA31" s="20"/>
      <c r="AB31" s="149"/>
      <c r="AC31" s="149"/>
      <c r="AD31" s="149"/>
    </row>
    <row r="32" spans="1:30" ht="16.5" thickTop="1" thickBot="1">
      <c r="A32" s="47"/>
      <c r="H32" t="s">
        <v>538</v>
      </c>
      <c r="J32" s="208"/>
      <c r="K32" s="212"/>
      <c r="L32" s="212"/>
      <c r="M32" s="208" t="s">
        <v>563</v>
      </c>
      <c r="N32" s="202"/>
      <c r="O32">
        <v>335</v>
      </c>
      <c r="Z32" s="118"/>
      <c r="AA32" s="20"/>
      <c r="AB32" s="149"/>
      <c r="AC32" s="149"/>
      <c r="AD32" s="149"/>
    </row>
    <row r="33" spans="1:30" ht="16.5" thickTop="1" thickBot="1">
      <c r="A33" s="47"/>
      <c r="B33" s="230" t="s">
        <v>20</v>
      </c>
      <c r="C33" s="230"/>
      <c r="D33" s="118"/>
      <c r="E33" s="118"/>
      <c r="F33" s="230" t="s">
        <v>525</v>
      </c>
      <c r="J33" s="208"/>
      <c r="K33" s="212"/>
      <c r="L33" s="212"/>
      <c r="M33" s="208" t="s">
        <v>566</v>
      </c>
      <c r="N33" s="202"/>
      <c r="P33">
        <v>220</v>
      </c>
      <c r="Z33" s="118"/>
      <c r="AA33" s="20"/>
      <c r="AB33" s="149"/>
      <c r="AC33" s="149"/>
      <c r="AD33" s="149"/>
    </row>
    <row r="34" spans="1:30" ht="16.5" thickTop="1" thickBot="1">
      <c r="A34" s="47"/>
      <c r="B34" s="205" t="s">
        <v>461</v>
      </c>
      <c r="C34" s="206"/>
      <c r="D34" s="206"/>
      <c r="E34" s="206">
        <v>500</v>
      </c>
      <c r="F34" s="47"/>
      <c r="J34" s="278" t="s">
        <v>489</v>
      </c>
      <c r="K34" s="278"/>
      <c r="L34" s="278"/>
      <c r="M34" s="288"/>
      <c r="N34" s="202"/>
      <c r="Z34" s="118">
        <f>SUM(N34:Y34)</f>
        <v>0</v>
      </c>
      <c r="AA34" s="20" t="e">
        <f>AVERAGE(N34:Y34)</f>
        <v>#DIV/0!</v>
      </c>
      <c r="AB34" s="259" t="s">
        <v>105</v>
      </c>
      <c r="AC34" s="259"/>
      <c r="AD34" s="291"/>
    </row>
    <row r="35" spans="1:30" ht="16.5" thickTop="1" thickBot="1">
      <c r="A35" s="47"/>
      <c r="B35" s="8" t="s">
        <v>460</v>
      </c>
      <c r="C35" s="24"/>
      <c r="D35" s="24"/>
      <c r="E35" s="24"/>
      <c r="F35" s="47"/>
      <c r="J35" s="217"/>
      <c r="K35" s="217"/>
      <c r="L35" s="217"/>
      <c r="M35" s="208" t="s">
        <v>496</v>
      </c>
      <c r="N35" s="202"/>
      <c r="Z35" s="118"/>
      <c r="AA35" s="20"/>
      <c r="AB35" s="149"/>
      <c r="AC35" s="149"/>
      <c r="AD35" s="209"/>
    </row>
    <row r="36" spans="1:30" ht="16.5" thickTop="1" thickBot="1">
      <c r="A36" s="47"/>
      <c r="B36" s="133" t="s">
        <v>558</v>
      </c>
      <c r="C36" s="134"/>
      <c r="D36" s="134"/>
      <c r="E36" s="134">
        <f>SUM(E12:E16)</f>
        <v>10295</v>
      </c>
      <c r="F36" t="s">
        <v>285</v>
      </c>
      <c r="J36" s="217"/>
      <c r="K36" s="217"/>
      <c r="L36" s="217"/>
      <c r="M36" s="208" t="s">
        <v>495</v>
      </c>
      <c r="N36" s="202"/>
      <c r="Z36" s="118"/>
      <c r="AA36" s="20"/>
      <c r="AB36" s="149"/>
      <c r="AC36" s="149"/>
      <c r="AD36" s="209"/>
    </row>
    <row r="37" spans="1:30" ht="16.5" thickTop="1" thickBot="1">
      <c r="A37" s="47"/>
      <c r="B37" s="204" t="s">
        <v>466</v>
      </c>
      <c r="C37" s="204">
        <f>C26+C24+C25</f>
        <v>892.35</v>
      </c>
      <c r="D37" s="204"/>
      <c r="E37" s="204">
        <f>SUM(E24:E26)</f>
        <v>792.35</v>
      </c>
      <c r="G37" s="47"/>
      <c r="J37" s="212"/>
      <c r="K37" s="212"/>
      <c r="L37" s="212"/>
      <c r="M37" s="208" t="s">
        <v>487</v>
      </c>
      <c r="N37" s="202"/>
      <c r="Z37" s="118"/>
      <c r="AA37" s="20"/>
      <c r="AB37" s="149"/>
      <c r="AC37" s="149"/>
      <c r="AD37" s="209"/>
    </row>
    <row r="38" spans="1:30" ht="16.5" thickTop="1" thickBot="1">
      <c r="A38" s="47"/>
      <c r="B38" s="197" t="s">
        <v>457</v>
      </c>
      <c r="C38" s="198">
        <f>SUM(C27:C30)</f>
        <v>118.26</v>
      </c>
      <c r="D38" s="198"/>
      <c r="E38" s="198">
        <f>SUM(E27:E30)</f>
        <v>118.26</v>
      </c>
      <c r="F38" s="47"/>
      <c r="J38" s="212"/>
      <c r="K38" s="212"/>
      <c r="L38" s="212"/>
      <c r="M38" s="208" t="s">
        <v>528</v>
      </c>
      <c r="N38" s="202"/>
      <c r="Z38" s="118"/>
      <c r="AA38" s="20"/>
      <c r="AB38" s="149"/>
      <c r="AC38" s="149"/>
      <c r="AD38" s="209"/>
    </row>
    <row r="39" spans="1:30" ht="16.5" thickTop="1" thickBot="1">
      <c r="A39" s="47"/>
      <c r="B39" s="195" t="s">
        <v>456</v>
      </c>
      <c r="C39" s="196">
        <f>SUM(C17:C26)+C21+C22+C20</f>
        <v>11495.449999999999</v>
      </c>
      <c r="D39" s="196"/>
      <c r="E39" s="196">
        <f>SUM(E17:E23)</f>
        <v>7968.55</v>
      </c>
      <c r="F39" s="47"/>
      <c r="H39" s="47"/>
      <c r="I39" s="47"/>
      <c r="J39" s="212"/>
      <c r="K39" s="212"/>
      <c r="L39" s="212"/>
      <c r="M39" s="208" t="s">
        <v>499</v>
      </c>
      <c r="N39" s="202"/>
      <c r="Z39" s="118"/>
      <c r="AA39" s="20"/>
      <c r="AB39" s="286" t="s">
        <v>499</v>
      </c>
      <c r="AC39" s="258"/>
      <c r="AD39" s="290"/>
    </row>
    <row r="40" spans="1:30" ht="16.5" thickTop="1" thickBot="1">
      <c r="A40" s="47"/>
      <c r="B40" s="199" t="s">
        <v>458</v>
      </c>
      <c r="C40" s="200">
        <f>SUM(C2:C13)+C12</f>
        <v>14538.98</v>
      </c>
      <c r="D40" s="200"/>
      <c r="E40" s="200">
        <f>SUM(E2:E11)</f>
        <v>6655.0199999999995</v>
      </c>
      <c r="F40" s="47"/>
      <c r="H40" s="47"/>
      <c r="I40" s="47"/>
      <c r="J40" s="287" t="s">
        <v>263</v>
      </c>
      <c r="K40" s="287"/>
      <c r="L40" s="287"/>
      <c r="M40" s="287"/>
      <c r="N40" s="202"/>
      <c r="Z40" s="118">
        <f>SUM(N40:Y40)</f>
        <v>0</v>
      </c>
      <c r="AA40" s="20" t="e">
        <f>AVERAGE(N40:Y40)</f>
        <v>#DIV/0!</v>
      </c>
      <c r="AB40" s="258" t="s">
        <v>291</v>
      </c>
      <c r="AC40" s="258"/>
      <c r="AD40" s="290"/>
    </row>
    <row r="41" spans="1:30" ht="16.5" thickTop="1" thickBot="1">
      <c r="A41" s="47"/>
      <c r="B41" s="233" t="s">
        <v>462</v>
      </c>
      <c r="C41" s="234">
        <f>C31</f>
        <v>14951.43</v>
      </c>
      <c r="D41" s="234"/>
      <c r="E41" s="234">
        <f>E31</f>
        <v>14951.43</v>
      </c>
      <c r="F41" s="47"/>
      <c r="H41" s="47"/>
      <c r="I41" s="47"/>
      <c r="J41" s="208"/>
      <c r="K41" s="208"/>
      <c r="L41" s="208"/>
      <c r="M41" s="208" t="s">
        <v>529</v>
      </c>
      <c r="N41" s="202"/>
      <c r="Z41" s="118"/>
      <c r="AA41" s="20"/>
      <c r="AB41" s="207"/>
      <c r="AC41" s="207"/>
      <c r="AD41" s="210"/>
    </row>
    <row r="42" spans="1:30" ht="16.5" thickTop="1" thickBot="1">
      <c r="A42" s="47"/>
      <c r="B42" s="57" t="s">
        <v>25</v>
      </c>
      <c r="C42" s="47"/>
      <c r="D42" s="47"/>
      <c r="E42" s="47"/>
      <c r="F42" s="47"/>
      <c r="I42" s="47"/>
      <c r="J42" s="208"/>
      <c r="K42" s="208"/>
      <c r="L42" s="208"/>
      <c r="M42" s="208" t="s">
        <v>532</v>
      </c>
      <c r="N42" s="202"/>
      <c r="Z42" s="118"/>
      <c r="AA42" s="20"/>
      <c r="AB42" s="207"/>
      <c r="AC42" s="207"/>
      <c r="AD42" s="210"/>
    </row>
    <row r="43" spans="1:30" ht="16.5" thickTop="1" thickBot="1">
      <c r="A43" s="47"/>
      <c r="B43" s="90" t="s">
        <v>26</v>
      </c>
      <c r="C43" s="90">
        <f>SUM(C34:C42)</f>
        <v>41996.47</v>
      </c>
      <c r="D43" s="90"/>
      <c r="E43" s="90">
        <f>SUM(E34:E42)</f>
        <v>41280.61</v>
      </c>
      <c r="F43" s="47"/>
      <c r="H43" s="47"/>
      <c r="I43" s="47"/>
      <c r="J43" s="208"/>
      <c r="K43" s="208"/>
      <c r="L43" s="208"/>
      <c r="M43" s="208" t="s">
        <v>484</v>
      </c>
      <c r="N43" s="202"/>
      <c r="Z43" s="118"/>
      <c r="AA43" s="20"/>
      <c r="AB43" s="207"/>
      <c r="AC43" s="207"/>
      <c r="AD43" s="210"/>
    </row>
    <row r="44" spans="1:30" ht="16.5" thickTop="1" thickBot="1">
      <c r="A44" s="47"/>
      <c r="B44" s="18" t="s">
        <v>463</v>
      </c>
      <c r="C44" s="144">
        <f>B4-C43</f>
        <v>3896.6399999999994</v>
      </c>
      <c r="D44" s="144"/>
      <c r="E44" s="144">
        <f>B4-E43+E33</f>
        <v>4612.5</v>
      </c>
      <c r="F44" s="47"/>
      <c r="H44" s="47"/>
      <c r="I44" s="47"/>
      <c r="J44" s="238"/>
      <c r="K44" s="238"/>
      <c r="L44" s="238"/>
      <c r="M44" s="238" t="s">
        <v>470</v>
      </c>
      <c r="N44" s="202">
        <f>744.15+135.72+272.71</f>
        <v>1152.58</v>
      </c>
      <c r="Z44" s="118"/>
      <c r="AA44" s="20"/>
      <c r="AB44" s="207"/>
      <c r="AC44" s="207" t="s">
        <v>243</v>
      </c>
      <c r="AD44" s="210"/>
    </row>
    <row r="45" spans="1:30" ht="16.5" thickTop="1" thickBot="1">
      <c r="A45" s="47"/>
      <c r="B45" s="47"/>
      <c r="C45" s="47"/>
      <c r="D45" s="47"/>
      <c r="E45" s="47"/>
      <c r="F45" s="47"/>
      <c r="G45" s="47"/>
      <c r="H45" s="47"/>
      <c r="I45" s="47"/>
      <c r="J45" s="287" t="s">
        <v>475</v>
      </c>
      <c r="K45" s="287"/>
      <c r="L45" s="287"/>
      <c r="M45" s="287"/>
      <c r="N45" s="202"/>
      <c r="Z45" s="118">
        <f t="shared" ref="Z45:Z56" si="0">SUM(N45:Y45)</f>
        <v>0</v>
      </c>
      <c r="AA45" s="20" t="e">
        <f t="shared" ref="AA45:AA56" si="1">AVERAGE(N45:Y45)</f>
        <v>#DIV/0!</v>
      </c>
      <c r="AB45" s="258" t="s">
        <v>475</v>
      </c>
      <c r="AC45" s="258"/>
      <c r="AD45" s="290"/>
    </row>
    <row r="46" spans="1:30" ht="16.5" thickTop="1" thickBot="1">
      <c r="A46" s="47"/>
      <c r="B46" t="s">
        <v>502</v>
      </c>
      <c r="C46" s="131">
        <f>C44-SUM(B16:B18)-SUM(B7:B9)</f>
        <v>3896.6399999999994</v>
      </c>
      <c r="D46" s="131"/>
      <c r="E46" s="131"/>
      <c r="F46" s="47"/>
      <c r="G46" s="47"/>
      <c r="H46" s="47"/>
      <c r="I46" s="47"/>
      <c r="J46" s="289" t="s">
        <v>476</v>
      </c>
      <c r="K46" s="289"/>
      <c r="L46" s="289"/>
      <c r="M46" s="289"/>
      <c r="N46" s="202">
        <f>251.67+67.98+997.69</f>
        <v>1317.3400000000001</v>
      </c>
      <c r="O46">
        <f>125.1+174.43+52.23</f>
        <v>351.76</v>
      </c>
      <c r="P46">
        <f>139.7</f>
        <v>139.69999999999999</v>
      </c>
      <c r="Z46" s="118">
        <f t="shared" si="0"/>
        <v>1808.8000000000002</v>
      </c>
      <c r="AA46" s="20">
        <f t="shared" si="1"/>
        <v>602.93333333333339</v>
      </c>
      <c r="AB46" s="258" t="s">
        <v>477</v>
      </c>
      <c r="AC46" s="258"/>
      <c r="AD46" s="290"/>
    </row>
    <row r="47" spans="1:30" ht="16.5" thickTop="1" thickBot="1">
      <c r="A47" s="47"/>
      <c r="F47" s="47"/>
      <c r="G47" s="47"/>
      <c r="H47" s="47"/>
      <c r="I47" s="47"/>
      <c r="J47" s="208"/>
      <c r="K47" s="208"/>
      <c r="L47" s="208"/>
      <c r="M47" s="208" t="s">
        <v>314</v>
      </c>
      <c r="N47" s="202"/>
      <c r="Z47" s="118">
        <f t="shared" si="0"/>
        <v>0</v>
      </c>
      <c r="AA47" s="20" t="e">
        <f t="shared" si="1"/>
        <v>#DIV/0!</v>
      </c>
      <c r="AB47" s="207"/>
      <c r="AC47" s="207"/>
      <c r="AD47" s="210"/>
    </row>
    <row r="48" spans="1:30" ht="16.5" thickTop="1" thickBot="1">
      <c r="A48" s="47"/>
      <c r="B48" s="47">
        <v>62826693104</v>
      </c>
      <c r="C48" s="47"/>
      <c r="D48" s="47"/>
      <c r="E48" s="47"/>
      <c r="F48" s="47"/>
      <c r="G48" s="47"/>
      <c r="H48" s="47"/>
      <c r="I48" s="47"/>
      <c r="J48" s="292" t="s">
        <v>301</v>
      </c>
      <c r="K48" s="292"/>
      <c r="L48" s="292"/>
      <c r="M48" s="292"/>
      <c r="N48" s="202">
        <f>599.4+394.27</f>
        <v>993.67</v>
      </c>
      <c r="O48">
        <f>537.75</f>
        <v>537.75</v>
      </c>
      <c r="Z48" s="118">
        <f t="shared" si="0"/>
        <v>1531.42</v>
      </c>
      <c r="AA48" s="20">
        <f t="shared" si="1"/>
        <v>765.71</v>
      </c>
      <c r="AB48" s="258" t="s">
        <v>301</v>
      </c>
      <c r="AC48" s="258"/>
      <c r="AD48" s="290"/>
    </row>
    <row r="49" spans="1:30" ht="16.5" thickTop="1" thickBot="1">
      <c r="A49" s="47"/>
      <c r="B49" s="47"/>
      <c r="C49" s="47"/>
      <c r="D49" s="47"/>
      <c r="E49" s="47"/>
      <c r="F49" s="47"/>
      <c r="G49" s="47"/>
      <c r="H49" s="47"/>
      <c r="I49" s="47"/>
      <c r="J49" s="208"/>
      <c r="K49" s="208"/>
      <c r="L49" s="208"/>
      <c r="M49" s="208" t="s">
        <v>485</v>
      </c>
      <c r="N49" s="202"/>
      <c r="Z49" s="118">
        <f t="shared" si="0"/>
        <v>0</v>
      </c>
      <c r="AA49" s="20" t="e">
        <f t="shared" si="1"/>
        <v>#DIV/0!</v>
      </c>
      <c r="AB49" s="207"/>
      <c r="AC49" s="207"/>
      <c r="AD49" s="207"/>
    </row>
    <row r="50" spans="1:30" ht="16.5" thickTop="1" thickBot="1">
      <c r="A50" s="47"/>
      <c r="B50" s="47"/>
      <c r="C50" s="47"/>
      <c r="D50" s="47"/>
      <c r="E50" s="47"/>
      <c r="F50" s="47"/>
      <c r="G50" s="47"/>
      <c r="H50" s="47"/>
      <c r="I50" s="47"/>
      <c r="J50" s="208"/>
      <c r="K50" s="208"/>
      <c r="L50" s="208"/>
      <c r="M50" s="208" t="s">
        <v>483</v>
      </c>
      <c r="N50" s="202"/>
      <c r="Z50" s="118">
        <f t="shared" si="0"/>
        <v>0</v>
      </c>
      <c r="AA50" s="20" t="e">
        <f t="shared" si="1"/>
        <v>#DIV/0!</v>
      </c>
      <c r="AB50" s="207"/>
      <c r="AC50" s="207"/>
      <c r="AD50" s="207"/>
    </row>
    <row r="51" spans="1:30" ht="16.5" thickTop="1" thickBot="1">
      <c r="A51" t="s">
        <v>513</v>
      </c>
      <c r="B51" s="47"/>
      <c r="C51" s="47"/>
      <c r="F51" s="47"/>
      <c r="G51" s="47"/>
      <c r="H51" s="47"/>
      <c r="I51" s="47"/>
      <c r="J51" s="208"/>
      <c r="K51" s="208"/>
      <c r="L51" s="208"/>
      <c r="M51" s="208" t="s">
        <v>488</v>
      </c>
      <c r="N51" s="202"/>
      <c r="Z51" s="118">
        <f t="shared" si="0"/>
        <v>0</v>
      </c>
      <c r="AA51" s="20" t="e">
        <f t="shared" si="1"/>
        <v>#DIV/0!</v>
      </c>
      <c r="AB51" s="207"/>
      <c r="AC51" s="207"/>
      <c r="AD51" s="207"/>
    </row>
    <row r="52" spans="1:30" ht="16.5" thickTop="1" thickBot="1">
      <c r="A52" t="s">
        <v>514</v>
      </c>
      <c r="B52" s="47"/>
      <c r="C52" t="s">
        <v>516</v>
      </c>
      <c r="D52" s="47"/>
      <c r="E52" s="47"/>
      <c r="F52" s="47" t="s">
        <v>515</v>
      </c>
      <c r="G52" s="47"/>
      <c r="H52" s="47"/>
      <c r="I52" s="47"/>
      <c r="J52" s="208"/>
      <c r="K52" s="208"/>
      <c r="L52" s="208"/>
      <c r="M52" s="208" t="s">
        <v>486</v>
      </c>
      <c r="N52" s="202"/>
      <c r="Z52" s="118">
        <f t="shared" si="0"/>
        <v>0</v>
      </c>
      <c r="AA52" s="20" t="e">
        <f t="shared" si="1"/>
        <v>#DIV/0!</v>
      </c>
      <c r="AB52" s="207"/>
      <c r="AC52" s="207"/>
      <c r="AD52" s="207"/>
    </row>
    <row r="53" spans="1:30" ht="16.5" thickTop="1" thickBot="1">
      <c r="B53" s="47"/>
      <c r="C53" s="47">
        <v>4</v>
      </c>
      <c r="D53" s="47">
        <v>5</v>
      </c>
      <c r="E53" s="47"/>
      <c r="F53" s="47">
        <f>C54*2</f>
        <v>1440</v>
      </c>
      <c r="G53" s="47">
        <v>5</v>
      </c>
      <c r="H53" s="47"/>
      <c r="I53" s="47"/>
      <c r="J53" s="293" t="s">
        <v>95</v>
      </c>
      <c r="K53" s="293"/>
      <c r="L53" s="293"/>
      <c r="M53" s="293"/>
      <c r="N53" s="202">
        <v>600</v>
      </c>
      <c r="Z53" s="118">
        <f t="shared" si="0"/>
        <v>600</v>
      </c>
      <c r="AA53" s="20">
        <f t="shared" si="1"/>
        <v>600</v>
      </c>
      <c r="AB53" s="259" t="s">
        <v>95</v>
      </c>
      <c r="AC53" s="259"/>
      <c r="AD53" s="259"/>
    </row>
    <row r="54" spans="1:30" ht="16.5" thickTop="1" thickBot="1">
      <c r="B54" s="47">
        <v>180</v>
      </c>
      <c r="C54" s="47">
        <f>B54*C53</f>
        <v>720</v>
      </c>
      <c r="D54" s="47">
        <f>B54*D53</f>
        <v>900</v>
      </c>
      <c r="E54" s="47"/>
      <c r="F54" s="47"/>
      <c r="G54" s="47">
        <v>1620</v>
      </c>
      <c r="H54" s="47"/>
      <c r="I54" s="47"/>
      <c r="J54" s="287" t="s">
        <v>67</v>
      </c>
      <c r="K54" s="287"/>
      <c r="L54" s="287"/>
      <c r="M54" s="287"/>
      <c r="N54" s="202"/>
      <c r="Z54" s="118">
        <f t="shared" si="0"/>
        <v>0</v>
      </c>
      <c r="AA54" s="20" t="e">
        <f t="shared" si="1"/>
        <v>#DIV/0!</v>
      </c>
      <c r="AB54" s="259" t="s">
        <v>67</v>
      </c>
      <c r="AC54" s="259"/>
      <c r="AD54" s="259"/>
    </row>
    <row r="55" spans="1:30" ht="16.5" thickTop="1" thickBot="1">
      <c r="B55" s="24">
        <v>195</v>
      </c>
      <c r="C55" s="24">
        <f>C53*B55</f>
        <v>780</v>
      </c>
      <c r="D55" s="47">
        <f>B55*D53</f>
        <v>975</v>
      </c>
      <c r="E55" s="47"/>
      <c r="F55" s="47"/>
      <c r="G55" s="47">
        <v>1125</v>
      </c>
      <c r="H55" t="s">
        <v>524</v>
      </c>
      <c r="I55" s="47"/>
      <c r="J55" s="287" t="s">
        <v>299</v>
      </c>
      <c r="K55" s="287"/>
      <c r="L55" s="287"/>
      <c r="M55" s="287"/>
      <c r="N55" s="202"/>
      <c r="T55" s="114"/>
      <c r="Z55" s="118">
        <f t="shared" si="0"/>
        <v>0</v>
      </c>
      <c r="AA55" s="20" t="e">
        <f t="shared" si="1"/>
        <v>#DIV/0!</v>
      </c>
      <c r="AB55" s="258" t="s">
        <v>299</v>
      </c>
      <c r="AC55" s="258"/>
      <c r="AD55" s="258"/>
    </row>
    <row r="56" spans="1:30" ht="16.5" thickTop="1" thickBot="1">
      <c r="B56" s="47">
        <v>225</v>
      </c>
      <c r="C56" s="47">
        <f>B56*C53</f>
        <v>900</v>
      </c>
      <c r="D56" s="47"/>
      <c r="E56" s="47"/>
      <c r="F56" s="47"/>
      <c r="H56" t="s">
        <v>523</v>
      </c>
      <c r="I56" s="47"/>
      <c r="J56" s="208"/>
      <c r="K56" s="208"/>
      <c r="L56" s="208"/>
      <c r="M56" s="208" t="s">
        <v>542</v>
      </c>
      <c r="N56" s="202">
        <v>198</v>
      </c>
      <c r="T56" s="114"/>
      <c r="Z56" s="118">
        <f t="shared" si="0"/>
        <v>198</v>
      </c>
      <c r="AA56" s="20">
        <f t="shared" si="1"/>
        <v>198</v>
      </c>
      <c r="AB56" s="207"/>
      <c r="AC56" s="207"/>
      <c r="AD56" s="207"/>
    </row>
    <row r="57" spans="1:30" ht="16.5" thickTop="1" thickBot="1">
      <c r="B57" s="47"/>
      <c r="C57" s="47"/>
      <c r="I57" s="47"/>
      <c r="J57" s="208"/>
      <c r="K57" s="208"/>
      <c r="L57" s="208"/>
      <c r="M57" s="208" t="s">
        <v>479</v>
      </c>
      <c r="N57" s="202"/>
      <c r="T57" s="114"/>
      <c r="Z57" s="118"/>
      <c r="AA57" s="20"/>
      <c r="AB57" s="286" t="s">
        <v>479</v>
      </c>
      <c r="AC57" s="258"/>
      <c r="AD57" s="258"/>
    </row>
    <row r="58" spans="1:30" ht="16.5" thickTop="1" thickBot="1">
      <c r="B58" s="47"/>
      <c r="C58" s="47">
        <f>9*180</f>
        <v>1620</v>
      </c>
      <c r="I58" s="47"/>
      <c r="J58" s="208"/>
      <c r="K58" s="208"/>
      <c r="L58" s="208"/>
      <c r="M58" s="208" t="s">
        <v>313</v>
      </c>
      <c r="N58" s="202"/>
      <c r="O58">
        <v>350.9</v>
      </c>
      <c r="T58" s="114"/>
      <c r="Z58" s="118"/>
      <c r="AA58" s="20"/>
      <c r="AB58" s="207"/>
      <c r="AC58" s="207"/>
      <c r="AD58" s="207"/>
    </row>
    <row r="59" spans="1:30" ht="16.5" thickTop="1" thickBot="1">
      <c r="B59" s="47"/>
      <c r="C59" s="47"/>
      <c r="I59" s="47"/>
      <c r="J59" s="287" t="s">
        <v>481</v>
      </c>
      <c r="K59" s="287"/>
      <c r="L59" s="287"/>
      <c r="M59" s="287"/>
      <c r="N59" s="202"/>
      <c r="T59" s="114"/>
      <c r="Z59" s="118">
        <f>SUM(N59:Y59)</f>
        <v>0</v>
      </c>
      <c r="AA59" s="20" t="e">
        <f>AVERAGE(N59:Y59)</f>
        <v>#DIV/0!</v>
      </c>
      <c r="AB59" s="258" t="s">
        <v>264</v>
      </c>
      <c r="AC59" s="258"/>
      <c r="AD59" s="290"/>
    </row>
    <row r="60" spans="1:30" ht="16.5" thickTop="1" thickBot="1">
      <c r="B60" s="47"/>
      <c r="C60" s="47"/>
      <c r="I60" s="47"/>
      <c r="J60" s="287" t="s">
        <v>387</v>
      </c>
      <c r="K60" s="287"/>
      <c r="L60" s="287"/>
      <c r="M60" s="287"/>
      <c r="N60" s="202"/>
      <c r="Z60" s="118">
        <f>SUM(N60:Y60)</f>
        <v>0</v>
      </c>
      <c r="AA60" s="20" t="e">
        <f>AVERAGE(N60:Y60)</f>
        <v>#DIV/0!</v>
      </c>
      <c r="AB60" s="259" t="s">
        <v>58</v>
      </c>
      <c r="AC60" s="259"/>
      <c r="AD60" s="291"/>
    </row>
    <row r="61" spans="1:30" ht="16.5" thickTop="1" thickBot="1">
      <c r="I61" s="47"/>
      <c r="J61" s="208"/>
      <c r="K61" s="208"/>
      <c r="L61" s="208"/>
      <c r="M61" s="208" t="s">
        <v>478</v>
      </c>
      <c r="N61" s="202"/>
      <c r="Z61" s="118"/>
      <c r="AA61" s="20"/>
      <c r="AB61" s="211"/>
      <c r="AC61" s="149"/>
      <c r="AD61" s="209"/>
    </row>
    <row r="62" spans="1:30" ht="16.5" thickTop="1" thickBot="1">
      <c r="I62" s="47"/>
      <c r="J62" s="287" t="s">
        <v>469</v>
      </c>
      <c r="K62" s="287"/>
      <c r="L62" s="287"/>
      <c r="M62" s="288"/>
      <c r="N62" s="202"/>
      <c r="Z62" s="118"/>
      <c r="AA62" s="20"/>
      <c r="AB62" s="211" t="s">
        <v>59</v>
      </c>
      <c r="AC62" s="149"/>
      <c r="AD62" s="209"/>
    </row>
    <row r="63" spans="1:30" ht="16.5" thickTop="1" thickBot="1">
      <c r="I63" s="47"/>
      <c r="J63" s="292" t="s">
        <v>527</v>
      </c>
      <c r="K63" s="292"/>
      <c r="L63" s="292"/>
      <c r="M63" s="294"/>
      <c r="N63" s="202">
        <v>368.22</v>
      </c>
      <c r="O63">
        <f>171.64+870.76</f>
        <v>1042.4000000000001</v>
      </c>
      <c r="Z63" s="118"/>
      <c r="AA63" s="20"/>
      <c r="AB63" s="211"/>
      <c r="AC63" s="208" t="s">
        <v>527</v>
      </c>
      <c r="AD63" s="209"/>
    </row>
    <row r="64" spans="1:30" ht="16.5" thickTop="1" thickBot="1">
      <c r="I64" s="47"/>
      <c r="J64" s="292" t="s">
        <v>246</v>
      </c>
      <c r="K64" s="292"/>
      <c r="L64" s="292"/>
      <c r="M64" s="294"/>
      <c r="N64" s="202">
        <f>74.98+709.15</f>
        <v>784.13</v>
      </c>
      <c r="O64">
        <f>159.95</f>
        <v>159.94999999999999</v>
      </c>
      <c r="Z64" s="118">
        <f>SUM(N64:Y64)</f>
        <v>944.07999999999993</v>
      </c>
      <c r="AA64" s="20">
        <f>AVERAGE(N64:Y64)</f>
        <v>472.03999999999996</v>
      </c>
      <c r="AB64" s="295" t="s">
        <v>246</v>
      </c>
      <c r="AC64" s="295"/>
      <c r="AD64" s="296"/>
    </row>
    <row r="65" spans="9:30" ht="16.5" thickTop="1" thickBot="1">
      <c r="I65" s="47"/>
      <c r="J65" s="208"/>
      <c r="K65" s="208"/>
      <c r="L65" s="208"/>
      <c r="M65" s="208" t="s">
        <v>492</v>
      </c>
      <c r="N65" s="202"/>
      <c r="Z65" s="118"/>
      <c r="AA65" s="20"/>
      <c r="AB65" s="211"/>
      <c r="AC65" s="211"/>
      <c r="AD65" s="216"/>
    </row>
    <row r="66" spans="9:30" ht="16.5" thickTop="1" thickBot="1">
      <c r="J66" s="208"/>
      <c r="K66" s="208"/>
      <c r="L66" s="208"/>
      <c r="M66" s="208" t="s">
        <v>494</v>
      </c>
      <c r="N66" s="202"/>
      <c r="Z66" s="118"/>
      <c r="AA66" s="20"/>
      <c r="AB66" s="211"/>
      <c r="AC66" s="211"/>
      <c r="AD66" s="216"/>
    </row>
    <row r="67" spans="9:30" ht="16.5" thickTop="1" thickBot="1">
      <c r="J67" s="287" t="s">
        <v>268</v>
      </c>
      <c r="K67" s="287"/>
      <c r="L67" s="287"/>
      <c r="M67" s="287"/>
      <c r="N67" s="202"/>
      <c r="Z67" s="118">
        <f>SUM(N67:Y67)</f>
        <v>0</v>
      </c>
      <c r="AA67" s="20" t="e">
        <f>AVERAGE(N67:Y67)</f>
        <v>#DIV/0!</v>
      </c>
      <c r="AB67" s="295" t="s">
        <v>268</v>
      </c>
      <c r="AC67" s="295"/>
      <c r="AD67" s="296"/>
    </row>
    <row r="68" spans="9:30" ht="16.5" thickTop="1" thickBot="1">
      <c r="J68" s="208"/>
      <c r="K68" s="208"/>
      <c r="L68" s="208"/>
      <c r="M68" s="208" t="s">
        <v>559</v>
      </c>
      <c r="N68" s="202">
        <v>4370</v>
      </c>
      <c r="Z68" s="118"/>
      <c r="AA68" s="20"/>
      <c r="AB68" s="211"/>
      <c r="AC68" s="211"/>
      <c r="AD68" s="216"/>
    </row>
    <row r="69" spans="9:30" ht="16.5" thickTop="1" thickBot="1">
      <c r="J69" s="208"/>
      <c r="K69" s="208"/>
      <c r="L69" s="208"/>
      <c r="M69" s="208" t="s">
        <v>565</v>
      </c>
      <c r="N69" s="202">
        <v>1861</v>
      </c>
      <c r="Z69" s="118"/>
      <c r="AA69" s="20"/>
      <c r="AB69" s="211"/>
      <c r="AC69" s="211"/>
      <c r="AD69" s="216"/>
    </row>
    <row r="70" spans="9:30" ht="16.5" thickTop="1" thickBot="1">
      <c r="J70" s="300" t="s">
        <v>6</v>
      </c>
      <c r="K70" s="300"/>
      <c r="L70" s="300"/>
      <c r="M70" s="300"/>
      <c r="N70" s="202">
        <f>511.2+827.63</f>
        <v>1338.83</v>
      </c>
      <c r="O70">
        <f>933.48+50+50</f>
        <v>1033.48</v>
      </c>
      <c r="Z70" s="118">
        <f>SUM(N70:Y70)</f>
        <v>2372.31</v>
      </c>
      <c r="AA70" s="20">
        <f>AVERAGE(N70:Y70)</f>
        <v>1186.155</v>
      </c>
      <c r="AB70" s="265" t="s">
        <v>6</v>
      </c>
      <c r="AC70" s="265"/>
      <c r="AD70" s="301"/>
    </row>
    <row r="71" spans="9:30" ht="16.5" thickTop="1" thickBot="1">
      <c r="J71" s="237"/>
      <c r="K71" s="237"/>
      <c r="L71" s="237"/>
      <c r="M71" s="237" t="s">
        <v>571</v>
      </c>
      <c r="N71" s="202">
        <v>450</v>
      </c>
      <c r="Z71" s="118"/>
      <c r="AA71" s="20"/>
      <c r="AB71" s="236"/>
      <c r="AC71" s="236"/>
      <c r="AD71" s="236"/>
    </row>
    <row r="72" spans="9:30" ht="16.5" thickTop="1" thickBot="1">
      <c r="J72" s="302" t="s">
        <v>60</v>
      </c>
      <c r="K72" s="302"/>
      <c r="L72" s="302"/>
      <c r="M72" s="302"/>
      <c r="Z72" s="118">
        <f>SUM(N72:Y72)</f>
        <v>0</v>
      </c>
      <c r="AA72" s="20" t="e">
        <f>AVERAGE(N72:Y72)</f>
        <v>#DIV/0!</v>
      </c>
      <c r="AB72" s="303" t="s">
        <v>60</v>
      </c>
      <c r="AC72" s="303"/>
      <c r="AD72" s="303"/>
    </row>
    <row r="73" spans="9:30" ht="16.5" thickTop="1" thickBot="1">
      <c r="J73" s="300" t="s">
        <v>443</v>
      </c>
      <c r="K73" s="300"/>
      <c r="L73" s="300"/>
      <c r="M73" s="300"/>
      <c r="N73" s="202"/>
      <c r="O73">
        <f>58+58+12.5</f>
        <v>128.5</v>
      </c>
      <c r="Z73" s="118"/>
      <c r="AA73" s="20"/>
      <c r="AB73" s="187"/>
      <c r="AC73" s="187"/>
      <c r="AD73" s="187"/>
    </row>
    <row r="74" spans="9:30" ht="16.5" thickTop="1" thickBot="1">
      <c r="J74" s="304" t="s">
        <v>539</v>
      </c>
      <c r="K74" s="305"/>
      <c r="L74" s="305"/>
      <c r="M74" s="306"/>
      <c r="N74" s="202"/>
      <c r="Z74" s="118"/>
      <c r="AA74" s="20"/>
      <c r="AB74" s="187"/>
      <c r="AC74" s="187"/>
      <c r="AD74" s="187"/>
    </row>
    <row r="75" spans="9:30" ht="16.5" thickTop="1" thickBot="1">
      <c r="J75" s="311" t="s">
        <v>540</v>
      </c>
      <c r="K75" s="311"/>
      <c r="L75" s="311"/>
      <c r="M75" s="312"/>
      <c r="N75" s="202"/>
      <c r="Z75" s="118"/>
      <c r="AA75" s="20"/>
      <c r="AB75" s="187"/>
      <c r="AC75" s="187"/>
      <c r="AD75" s="187"/>
    </row>
    <row r="76" spans="9:30" ht="16.5" thickTop="1" thickBot="1">
      <c r="J76" s="313" t="s">
        <v>298</v>
      </c>
      <c r="K76" s="313"/>
      <c r="L76" s="313"/>
      <c r="M76" s="313"/>
      <c r="N76" s="202">
        <f>69+209</f>
        <v>278</v>
      </c>
      <c r="O76">
        <f>209+69</f>
        <v>278</v>
      </c>
      <c r="Z76" s="118">
        <f>SUM(N76:Y76)</f>
        <v>556</v>
      </c>
      <c r="AA76" s="20">
        <f>AVERAGE(N76:Y76)</f>
        <v>278</v>
      </c>
      <c r="AB76" s="297" t="s">
        <v>298</v>
      </c>
      <c r="AC76" s="297"/>
      <c r="AD76" s="297"/>
    </row>
    <row r="77" spans="9:30" ht="16.5" thickTop="1" thickBot="1">
      <c r="J77" s="215"/>
      <c r="K77" s="215"/>
      <c r="L77" s="215"/>
      <c r="M77" s="215" t="s">
        <v>490</v>
      </c>
      <c r="N77" s="202">
        <v>1315</v>
      </c>
      <c r="Z77" s="118"/>
      <c r="AA77" s="20"/>
      <c r="AB77" s="214"/>
      <c r="AC77" s="214"/>
      <c r="AD77" s="214"/>
    </row>
    <row r="78" spans="9:30" ht="16.5" thickTop="1" thickBot="1">
      <c r="J78" s="287" t="s">
        <v>297</v>
      </c>
      <c r="K78" s="287"/>
      <c r="L78" s="287"/>
      <c r="M78" s="287"/>
      <c r="N78" s="203"/>
      <c r="O78">
        <v>250</v>
      </c>
      <c r="Z78" s="118">
        <f>SUM(N78:Y78)</f>
        <v>250</v>
      </c>
      <c r="AA78" s="20">
        <f>AVERAGE(N78:Y78)</f>
        <v>250</v>
      </c>
      <c r="AB78" s="258" t="s">
        <v>297</v>
      </c>
      <c r="AC78" s="258"/>
      <c r="AD78" s="258"/>
    </row>
    <row r="79" spans="9:30" ht="16.5" thickTop="1" thickBot="1">
      <c r="J79" s="208"/>
      <c r="K79" s="208"/>
      <c r="L79" s="208"/>
      <c r="M79" s="208" t="s">
        <v>383</v>
      </c>
      <c r="N79" s="235">
        <f>E2+E3+E4+E6+E8+E9+E10+E11+E12+E13+E15+E20+E21+E22+E25+E26+E27+E28+E29+E30+E31</f>
        <v>29181.61</v>
      </c>
      <c r="O79" s="235">
        <f>E2+E3+E4+E6+E8+E9+E10+E11+E12+E13+E15+E20+E21+E22+E25+E26+E27+E28+E29+E30+E31</f>
        <v>29181.61</v>
      </c>
      <c r="P79" s="235">
        <f>E2+E3+E4+E6+E8+E9+E10+E11+E12+E13+E15+E20+E21+E22+E25+E26+E27+E28+E29+E30+E31</f>
        <v>29181.61</v>
      </c>
      <c r="Q79" s="235">
        <f>E2+E3+E4+E6+E8+E9+E10+E11+E12+E13+E15+E20+E21+E22+E25+E26+E27+E28+E29+E30+E31</f>
        <v>29181.61</v>
      </c>
      <c r="R79" s="235">
        <f>E2+E3+E4+E6+E8+E9+E10+E11+E12+E13+E15+E20+E21+E22+E25+E26+E27+E28+E29+E30+E31</f>
        <v>29181.61</v>
      </c>
      <c r="S79" s="235">
        <f>E2+E3+E4+E6+E8+E9+E10+E11+E12+E13+E15+E20+E21+E22+E25+E26+E27+E28+E29+E30+E31</f>
        <v>29181.61</v>
      </c>
      <c r="T79" s="235">
        <f>E2+E3+E4+E6+E8+E9+E10+E11+E12+E13+E15+E20+E21+E22+E25+E26+E27+E28+E29+E30+E31</f>
        <v>29181.61</v>
      </c>
      <c r="U79" s="235">
        <f>E2+E3+E4+E6+E8+E9+E10+E11+E12+E13+E15+E20+E21+E22+E25+E26+E27+E28+E29+E30+E31</f>
        <v>29181.61</v>
      </c>
      <c r="V79" s="235">
        <f>E2+E3+E4+E6+E8+E9+E10+E11+E12+E13+E15+E20+E21+E22+E25+E26+E27+E28+E29+E30+E31</f>
        <v>29181.61</v>
      </c>
      <c r="W79" s="235">
        <f>E2+E3+E4+E6+E8+E9+E10+E11+E12+E13+E15+E20+E21+E22+E25+E26+E27+E28+E29+E30+E31</f>
        <v>29181.61</v>
      </c>
      <c r="X79" s="235">
        <f>E2+E3+E4+E6+E8+E9+E10+E11+E12+E13+E15+E20+E21+E22+E25+E26+E27+E28+E29+E30+E31</f>
        <v>29181.61</v>
      </c>
      <c r="Y79" s="235">
        <f>E2+E3+E4+E6+E8+E9+E10+E11+E12+E13+E15+E20+E21+E22+E25+E26+E27+E28+E29+E30+E31</f>
        <v>29181.61</v>
      </c>
      <c r="Z79" s="118"/>
      <c r="AA79" s="20"/>
      <c r="AB79" s="207"/>
      <c r="AC79" s="207"/>
      <c r="AD79" s="207"/>
    </row>
    <row r="80" spans="9:30" ht="16.5" thickTop="1" thickBot="1">
      <c r="J80" s="298" t="s">
        <v>300</v>
      </c>
      <c r="K80" s="298"/>
      <c r="L80" s="298"/>
      <c r="M80" s="299"/>
      <c r="N80" s="115">
        <f>SUM(N5:N78)</f>
        <v>24594.769999999997</v>
      </c>
      <c r="O80" s="115">
        <f>SUM(O5:O79)</f>
        <v>34814.050000000003</v>
      </c>
      <c r="P80" s="115">
        <f t="shared" ref="P80:Y80" si="2">SUM(P4:P78)</f>
        <v>486.7</v>
      </c>
      <c r="Q80" s="115">
        <f t="shared" si="2"/>
        <v>0</v>
      </c>
      <c r="R80" s="115">
        <f t="shared" si="2"/>
        <v>0</v>
      </c>
      <c r="S80" s="115">
        <f t="shared" si="2"/>
        <v>0</v>
      </c>
      <c r="T80" s="115">
        <f t="shared" si="2"/>
        <v>0</v>
      </c>
      <c r="U80" s="115">
        <f t="shared" si="2"/>
        <v>0</v>
      </c>
      <c r="V80" s="115">
        <f t="shared" si="2"/>
        <v>0</v>
      </c>
      <c r="W80" s="115">
        <f t="shared" si="2"/>
        <v>0</v>
      </c>
      <c r="X80" s="115">
        <f t="shared" si="2"/>
        <v>0</v>
      </c>
      <c r="Y80" s="115">
        <f t="shared" si="2"/>
        <v>0</v>
      </c>
      <c r="Z80" s="145">
        <f>SUM(Z4:Z78)+Z2-Z3</f>
        <v>142352.37</v>
      </c>
      <c r="AA80" s="146" t="e">
        <f>SUM(AA4:AA78)+AA2-AA3</f>
        <v>#DIV/0!</v>
      </c>
    </row>
    <row r="81" spans="8:27" ht="15.75" thickBot="1">
      <c r="J81" s="307" t="s">
        <v>61</v>
      </c>
      <c r="K81" s="307"/>
      <c r="L81" s="307"/>
      <c r="M81" s="308"/>
      <c r="N81" s="140">
        <f>N2-SUM(N4:N79)-N3</f>
        <v>-14526.629999999997</v>
      </c>
      <c r="O81" s="141">
        <f>O2 + O4-SUM(O5:O79)-O3</f>
        <v>19105.949999999997</v>
      </c>
      <c r="P81" s="141">
        <f>P2 -SUM(P4:P79)-P3</f>
        <v>11253.7</v>
      </c>
      <c r="Q81" s="141">
        <f>Q2 +SUM(Q4:Q78)-Q3</f>
        <v>0</v>
      </c>
      <c r="R81" s="141">
        <f t="shared" ref="R81:Y81" si="3">R2+SUM(R4:R78)-R3</f>
        <v>0</v>
      </c>
      <c r="S81" s="142">
        <f t="shared" si="3"/>
        <v>0</v>
      </c>
      <c r="T81" s="142">
        <f t="shared" si="3"/>
        <v>0</v>
      </c>
      <c r="U81" s="141">
        <f t="shared" si="3"/>
        <v>0</v>
      </c>
      <c r="V81" s="141">
        <f t="shared" si="3"/>
        <v>0</v>
      </c>
      <c r="W81" s="141">
        <f t="shared" si="3"/>
        <v>0</v>
      </c>
      <c r="X81" s="141">
        <f t="shared" si="3"/>
        <v>0</v>
      </c>
      <c r="Y81" s="143">
        <f t="shared" si="3"/>
        <v>0</v>
      </c>
    </row>
    <row r="82" spans="8:27">
      <c r="J82" s="309" t="s">
        <v>62</v>
      </c>
      <c r="K82" s="309"/>
      <c r="L82" s="309"/>
      <c r="M82" s="309"/>
      <c r="N82" s="61">
        <f>N81</f>
        <v>-14526.629999999997</v>
      </c>
      <c r="O82" s="61">
        <f>SUM(N81:O81)</f>
        <v>4579.32</v>
      </c>
      <c r="P82" s="61">
        <f>SUM(N81:P81)</f>
        <v>15833.02</v>
      </c>
      <c r="Q82" s="61">
        <f>SUM(N81:Q81)</f>
        <v>15833.02</v>
      </c>
      <c r="R82" s="61">
        <f>SUM(N81:R81)</f>
        <v>15833.02</v>
      </c>
      <c r="S82" s="61">
        <f>SUM(N81:S81)</f>
        <v>15833.02</v>
      </c>
      <c r="T82" s="61">
        <f>SUM(N81:T81)</f>
        <v>15833.02</v>
      </c>
      <c r="U82" s="61">
        <f>SUM(N81:U81)</f>
        <v>15833.02</v>
      </c>
      <c r="V82" s="61">
        <f>SUM(N81:V81)</f>
        <v>15833.02</v>
      </c>
      <c r="W82" s="61">
        <f>SUM(N81:W81)</f>
        <v>15833.02</v>
      </c>
      <c r="X82" s="61">
        <f>SUM(N81:X81)</f>
        <v>15833.02</v>
      </c>
      <c r="Y82" s="61">
        <f>SUM(N81:Y81)</f>
        <v>15833.02</v>
      </c>
    </row>
    <row r="83" spans="8:27">
      <c r="J83" s="47"/>
      <c r="K83" s="47"/>
      <c r="L83" s="57"/>
      <c r="M83" s="57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</row>
    <row r="84" spans="8:27">
      <c r="J84" s="47"/>
      <c r="K84" s="47"/>
      <c r="L84" s="47"/>
      <c r="M84" s="47"/>
      <c r="O84" t="s">
        <v>562</v>
      </c>
    </row>
    <row r="85" spans="8:27">
      <c r="H85" t="s">
        <v>240</v>
      </c>
      <c r="J85" s="47"/>
      <c r="K85" s="47"/>
      <c r="L85" s="47"/>
      <c r="M85" s="47"/>
      <c r="N85" s="16"/>
      <c r="O85" s="316" t="s">
        <v>556</v>
      </c>
      <c r="P85" s="255"/>
      <c r="Q85" s="255"/>
      <c r="R85" s="255"/>
      <c r="S85" s="255"/>
    </row>
    <row r="86" spans="8:27">
      <c r="H86" s="62">
        <v>83000</v>
      </c>
      <c r="J86" s="47"/>
      <c r="K86" s="47"/>
      <c r="L86" s="47"/>
      <c r="M86" s="47"/>
      <c r="O86" s="316" t="s">
        <v>564</v>
      </c>
      <c r="P86" s="255"/>
      <c r="Q86" s="255"/>
      <c r="R86" s="255"/>
      <c r="S86" s="255"/>
    </row>
    <row r="87" spans="8:27">
      <c r="J87" s="47"/>
      <c r="K87" s="47"/>
      <c r="L87" s="47"/>
      <c r="M87" s="47"/>
      <c r="Z87" s="47"/>
      <c r="AA87" s="47"/>
    </row>
    <row r="88" spans="8:27">
      <c r="J88" s="47"/>
      <c r="K88" s="47"/>
      <c r="L88" s="47"/>
      <c r="M88" s="47"/>
      <c r="Z88" s="47"/>
      <c r="AA88" s="47"/>
    </row>
    <row r="89" spans="8:27">
      <c r="J89" s="47"/>
      <c r="K89" s="47"/>
      <c r="L89" s="47"/>
      <c r="M89" s="47"/>
      <c r="Z89" s="47"/>
      <c r="AA89" s="47"/>
    </row>
    <row r="90" spans="8:27">
      <c r="J90" s="47"/>
      <c r="K90" s="47"/>
      <c r="L90" s="47"/>
      <c r="M90" s="47"/>
      <c r="Z90" s="47"/>
      <c r="AA90" s="47"/>
    </row>
    <row r="91" spans="8:27">
      <c r="H91" t="s">
        <v>240</v>
      </c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AA91" s="47"/>
    </row>
    <row r="92" spans="8:27" ht="15.75" thickBot="1">
      <c r="H92" s="62">
        <v>107000</v>
      </c>
      <c r="J92" s="47">
        <v>2021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W92" s="47"/>
      <c r="X92" s="47"/>
      <c r="Y92" s="47"/>
      <c r="AA92" s="47"/>
    </row>
    <row r="93" spans="8:27" ht="18.75">
      <c r="J93" s="88" t="s">
        <v>139</v>
      </c>
      <c r="K93" s="61" t="s">
        <v>31</v>
      </c>
      <c r="L93" s="61" t="s">
        <v>32</v>
      </c>
      <c r="M93" s="61" t="s">
        <v>33</v>
      </c>
      <c r="N93" s="61" t="s">
        <v>34</v>
      </c>
      <c r="O93" s="61" t="s">
        <v>35</v>
      </c>
      <c r="P93" s="61" t="s">
        <v>36</v>
      </c>
      <c r="Q93" s="61" t="s">
        <v>37</v>
      </c>
      <c r="R93" s="61" t="s">
        <v>38</v>
      </c>
      <c r="S93" s="61" t="s">
        <v>39</v>
      </c>
      <c r="T93" s="61" t="s">
        <v>40</v>
      </c>
      <c r="U93" s="61" t="s">
        <v>29</v>
      </c>
      <c r="V93" s="61" t="s">
        <v>30</v>
      </c>
      <c r="W93" s="47"/>
      <c r="X93" s="98" t="s">
        <v>159</v>
      </c>
      <c r="AA93" s="47"/>
    </row>
    <row r="94" spans="8:27">
      <c r="J94" s="52" t="s">
        <v>140</v>
      </c>
      <c r="K94" s="93">
        <v>2000</v>
      </c>
      <c r="L94" s="93">
        <v>2000</v>
      </c>
      <c r="M94" s="93">
        <v>2000</v>
      </c>
      <c r="N94" s="93">
        <v>2000</v>
      </c>
      <c r="O94" s="93">
        <v>2000</v>
      </c>
      <c r="P94" s="93">
        <v>2000</v>
      </c>
      <c r="Q94" s="93">
        <v>2000</v>
      </c>
      <c r="R94" s="93">
        <v>2000</v>
      </c>
      <c r="S94" s="93">
        <v>2000</v>
      </c>
      <c r="T94" s="93">
        <v>2000</v>
      </c>
      <c r="U94" s="93">
        <v>2000</v>
      </c>
      <c r="V94" s="93">
        <v>2000</v>
      </c>
      <c r="W94" s="47"/>
      <c r="X94" s="100">
        <v>120000</v>
      </c>
      <c r="AA94" s="47"/>
    </row>
    <row r="95" spans="8:27" ht="15.75" thickBot="1">
      <c r="J95" s="52" t="s">
        <v>42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  <c r="V95" s="101">
        <v>0</v>
      </c>
      <c r="W95" s="47"/>
      <c r="X95" s="62">
        <f>V96</f>
        <v>107000</v>
      </c>
      <c r="AA95" s="47"/>
    </row>
    <row r="96" spans="8:27" ht="15.75" thickBot="1">
      <c r="J96" s="52" t="s">
        <v>43</v>
      </c>
      <c r="K96" s="96">
        <f>K94+H86</f>
        <v>85000</v>
      </c>
      <c r="L96" s="96">
        <f>K96+L94+L95</f>
        <v>87000</v>
      </c>
      <c r="M96" s="96">
        <f t="shared" ref="M96:V96" si="4">L96+M94+M95</f>
        <v>89000</v>
      </c>
      <c r="N96" s="96">
        <f t="shared" si="4"/>
        <v>91000</v>
      </c>
      <c r="O96" s="96">
        <f t="shared" si="4"/>
        <v>93000</v>
      </c>
      <c r="P96" s="96">
        <f t="shared" si="4"/>
        <v>95000</v>
      </c>
      <c r="Q96" s="96">
        <f t="shared" si="4"/>
        <v>97000</v>
      </c>
      <c r="R96" s="96">
        <f t="shared" si="4"/>
        <v>99000</v>
      </c>
      <c r="S96" s="96">
        <f t="shared" si="4"/>
        <v>101000</v>
      </c>
      <c r="T96" s="96">
        <f t="shared" si="4"/>
        <v>103000</v>
      </c>
      <c r="U96" s="96">
        <f t="shared" si="4"/>
        <v>105000</v>
      </c>
      <c r="V96" s="102">
        <f t="shared" si="4"/>
        <v>107000</v>
      </c>
      <c r="W96" s="47"/>
      <c r="X96" s="103">
        <f>X94-V96</f>
        <v>13000</v>
      </c>
      <c r="AA96" s="47"/>
    </row>
    <row r="97" spans="10:27">
      <c r="AA97" s="47"/>
    </row>
    <row r="98" spans="10:27" ht="15.75" thickBot="1">
      <c r="J98">
        <v>2022</v>
      </c>
      <c r="AA98" s="47"/>
    </row>
    <row r="99" spans="10:27" ht="19.5" thickBot="1">
      <c r="J99" s="88" t="s">
        <v>139</v>
      </c>
      <c r="K99" s="61" t="s">
        <v>31</v>
      </c>
      <c r="L99" s="61" t="s">
        <v>32</v>
      </c>
      <c r="M99" s="61" t="s">
        <v>33</v>
      </c>
      <c r="N99" s="61" t="s">
        <v>34</v>
      </c>
      <c r="O99" s="61" t="s">
        <v>35</v>
      </c>
      <c r="P99" s="61" t="s">
        <v>36</v>
      </c>
      <c r="Q99" s="221" t="s">
        <v>37</v>
      </c>
      <c r="R99" s="61" t="s">
        <v>38</v>
      </c>
      <c r="S99" s="61" t="s">
        <v>39</v>
      </c>
      <c r="T99" s="61" t="s">
        <v>40</v>
      </c>
      <c r="U99" s="61" t="s">
        <v>29</v>
      </c>
      <c r="V99" s="61" t="s">
        <v>30</v>
      </c>
      <c r="W99" s="47"/>
      <c r="X99" s="98"/>
      <c r="AA99" s="47"/>
    </row>
    <row r="100" spans="10:27" ht="15.75" thickTop="1">
      <c r="J100" s="52" t="s">
        <v>140</v>
      </c>
      <c r="K100" s="93">
        <v>2000</v>
      </c>
      <c r="L100" s="93">
        <v>2000</v>
      </c>
      <c r="M100" s="93">
        <v>2000</v>
      </c>
      <c r="N100" s="93">
        <v>2000</v>
      </c>
      <c r="O100" s="93">
        <v>2000</v>
      </c>
      <c r="P100" s="93">
        <v>2000</v>
      </c>
      <c r="Q100" s="93">
        <v>1000</v>
      </c>
      <c r="R100">
        <v>0</v>
      </c>
      <c r="S100">
        <v>0</v>
      </c>
      <c r="T100">
        <v>0</v>
      </c>
      <c r="U100">
        <v>0</v>
      </c>
      <c r="V100">
        <v>0</v>
      </c>
      <c r="W100" s="47"/>
      <c r="X100" s="100">
        <v>120000</v>
      </c>
      <c r="Y100" t="s">
        <v>577</v>
      </c>
      <c r="AA100" s="47"/>
    </row>
    <row r="101" spans="10:27" ht="15.75" thickBot="1">
      <c r="J101" s="52" t="s">
        <v>42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47"/>
      <c r="X101" s="62">
        <f>V102</f>
        <v>0</v>
      </c>
      <c r="Y101" t="s">
        <v>159</v>
      </c>
      <c r="AA101" s="47"/>
    </row>
    <row r="102" spans="10:27" ht="15.75" thickBot="1">
      <c r="J102" s="52" t="s">
        <v>43</v>
      </c>
      <c r="K102" s="96">
        <f>K100+H92</f>
        <v>109000</v>
      </c>
      <c r="L102" s="96">
        <f t="shared" ref="L102:Q102" si="5">K102+L100+L101</f>
        <v>111000</v>
      </c>
      <c r="M102" s="96">
        <f t="shared" si="5"/>
        <v>113000</v>
      </c>
      <c r="N102" s="96">
        <f t="shared" si="5"/>
        <v>115000</v>
      </c>
      <c r="O102" s="96">
        <f t="shared" si="5"/>
        <v>117000</v>
      </c>
      <c r="P102" s="96">
        <f t="shared" si="5"/>
        <v>119000</v>
      </c>
      <c r="Q102" s="96">
        <f t="shared" si="5"/>
        <v>120000</v>
      </c>
      <c r="W102" s="47"/>
      <c r="X102" s="103">
        <f>X100-V102</f>
        <v>120000</v>
      </c>
      <c r="Y102" t="s">
        <v>140</v>
      </c>
      <c r="AA102" s="47"/>
    </row>
  </sheetData>
  <mergeCells count="58">
    <mergeCell ref="J63:M63"/>
    <mergeCell ref="O85:S85"/>
    <mergeCell ref="J4:M4"/>
    <mergeCell ref="AB4:AD4"/>
    <mergeCell ref="A1:B1"/>
    <mergeCell ref="J1:M1"/>
    <mergeCell ref="J2:M2"/>
    <mergeCell ref="J3:M3"/>
    <mergeCell ref="AB3:AD3"/>
    <mergeCell ref="AB5:AD5"/>
    <mergeCell ref="AB20:AD20"/>
    <mergeCell ref="J23:M23"/>
    <mergeCell ref="AB23:AD23"/>
    <mergeCell ref="J26:M26"/>
    <mergeCell ref="AB26:AD26"/>
    <mergeCell ref="J30:M30"/>
    <mergeCell ref="J34:M34"/>
    <mergeCell ref="AB34:AD34"/>
    <mergeCell ref="AB39:AD39"/>
    <mergeCell ref="J40:M40"/>
    <mergeCell ref="AB40:AD40"/>
    <mergeCell ref="J45:M45"/>
    <mergeCell ref="AB45:AD45"/>
    <mergeCell ref="J46:M46"/>
    <mergeCell ref="AB46:AD46"/>
    <mergeCell ref="J48:M48"/>
    <mergeCell ref="AB48:AD48"/>
    <mergeCell ref="J62:M62"/>
    <mergeCell ref="J53:M53"/>
    <mergeCell ref="AB53:AD53"/>
    <mergeCell ref="J54:M54"/>
    <mergeCell ref="AB54:AD54"/>
    <mergeCell ref="J55:M55"/>
    <mergeCell ref="AB55:AD55"/>
    <mergeCell ref="AB57:AD57"/>
    <mergeCell ref="J59:M59"/>
    <mergeCell ref="AB59:AD59"/>
    <mergeCell ref="J60:M60"/>
    <mergeCell ref="AB60:AD60"/>
    <mergeCell ref="J76:M76"/>
    <mergeCell ref="AB76:AD76"/>
    <mergeCell ref="J64:M64"/>
    <mergeCell ref="AB64:AD64"/>
    <mergeCell ref="J67:M67"/>
    <mergeCell ref="AB67:AD67"/>
    <mergeCell ref="J70:M70"/>
    <mergeCell ref="AB70:AD70"/>
    <mergeCell ref="J72:M72"/>
    <mergeCell ref="AB72:AD72"/>
    <mergeCell ref="J73:M73"/>
    <mergeCell ref="J74:M74"/>
    <mergeCell ref="J75:M75"/>
    <mergeCell ref="O86:S86"/>
    <mergeCell ref="J78:M78"/>
    <mergeCell ref="AB78:AD78"/>
    <mergeCell ref="J80:M80"/>
    <mergeCell ref="J81:M81"/>
    <mergeCell ref="J82:M8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BDC7-15C7-4EFE-8F83-12AA4549CA14}">
  <dimension ref="A1:AD102"/>
  <sheetViews>
    <sheetView zoomScaleNormal="100" workbookViewId="0">
      <selection activeCell="B3" sqref="B3"/>
    </sheetView>
  </sheetViews>
  <sheetFormatPr defaultColWidth="8.85546875" defaultRowHeight="15"/>
  <cols>
    <col min="1" max="1" width="14.42578125" bestFit="1" customWidth="1"/>
    <col min="2" max="2" width="22.7109375" bestFit="1" customWidth="1"/>
    <col min="3" max="4" width="8.85546875" customWidth="1"/>
    <col min="5" max="5" width="9.7109375" bestFit="1" customWidth="1"/>
    <col min="6" max="6" width="38.5703125" bestFit="1" customWidth="1"/>
    <col min="8" max="8" width="13" customWidth="1"/>
    <col min="10" max="10" width="14.85546875" bestFit="1" customWidth="1"/>
    <col min="11" max="11" width="8.140625" bestFit="1" customWidth="1"/>
    <col min="13" max="13" width="8.85546875" customWidth="1"/>
    <col min="14" max="14" width="9.28515625" customWidth="1"/>
    <col min="15" max="15" width="9.28515625" bestFit="1" customWidth="1"/>
    <col min="16" max="17" width="9" bestFit="1" customWidth="1"/>
    <col min="18" max="18" width="10" bestFit="1" customWidth="1"/>
    <col min="19" max="19" width="9.140625" bestFit="1" customWidth="1"/>
    <col min="20" max="20" width="10" bestFit="1" customWidth="1"/>
    <col min="23" max="24" width="10.7109375" bestFit="1" customWidth="1"/>
    <col min="26" max="26" width="9.7109375" bestFit="1" customWidth="1"/>
    <col min="30" max="30" width="11.5703125" customWidth="1"/>
  </cols>
  <sheetData>
    <row r="1" spans="1:30" ht="16.5" thickTop="1" thickBot="1">
      <c r="A1" s="268" t="s">
        <v>237</v>
      </c>
      <c r="B1" s="269"/>
      <c r="C1" s="138" t="s">
        <v>1</v>
      </c>
      <c r="D1" s="138"/>
      <c r="E1" s="138"/>
      <c r="F1" s="138"/>
      <c r="G1" s="47"/>
      <c r="H1" s="47"/>
      <c r="I1" s="47"/>
      <c r="J1" s="276" t="s">
        <v>52</v>
      </c>
      <c r="K1" s="276"/>
      <c r="L1" s="276"/>
      <c r="M1" s="277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>
        <v>31519.33</v>
      </c>
      <c r="C2" s="191">
        <v>337.01</v>
      </c>
      <c r="D2" s="191">
        <v>337.01</v>
      </c>
      <c r="E2" s="191">
        <v>337.01</v>
      </c>
      <c r="F2" s="191" t="s">
        <v>465</v>
      </c>
      <c r="H2" s="47"/>
      <c r="I2" s="47"/>
      <c r="J2" s="278" t="s">
        <v>62</v>
      </c>
      <c r="K2" s="278"/>
      <c r="L2" s="278"/>
      <c r="M2" s="278"/>
      <c r="N2" s="47">
        <v>13553.12</v>
      </c>
      <c r="O2" s="24">
        <v>14377.41</v>
      </c>
      <c r="P2" s="24">
        <v>33031.19</v>
      </c>
      <c r="Q2" s="24">
        <v>45873.82</v>
      </c>
      <c r="R2" s="24">
        <v>42465.77</v>
      </c>
      <c r="S2" s="24">
        <v>42352.36</v>
      </c>
      <c r="T2" s="24">
        <v>42352.36</v>
      </c>
      <c r="U2" s="24">
        <v>42352.36</v>
      </c>
      <c r="V2" s="24">
        <v>42465.77</v>
      </c>
      <c r="W2" s="24">
        <v>42465.77</v>
      </c>
      <c r="X2" s="24">
        <v>42465.77</v>
      </c>
      <c r="Y2" s="24">
        <v>42465.77</v>
      </c>
      <c r="Z2" s="118">
        <f>SUM(N2:Y2)</f>
        <v>446221.47000000003</v>
      </c>
      <c r="AA2" s="20">
        <f>AVERAGE(N2:Y2)</f>
        <v>37185.122500000005</v>
      </c>
    </row>
    <row r="3" spans="1:30" ht="15" customHeight="1" thickTop="1" thickBot="1">
      <c r="A3" s="26" t="s">
        <v>411</v>
      </c>
      <c r="B3" s="189">
        <f>43178.75+(6728)</f>
        <v>49906.75</v>
      </c>
      <c r="C3" s="191">
        <f>2127.1+452.46</f>
        <v>2579.56</v>
      </c>
      <c r="D3" s="191">
        <f>2335.11</f>
        <v>2335.11</v>
      </c>
      <c r="E3" s="191">
        <f>2335.11</f>
        <v>2335.11</v>
      </c>
      <c r="F3" s="191" t="s">
        <v>278</v>
      </c>
      <c r="H3" s="47"/>
      <c r="I3" s="47"/>
      <c r="J3" s="270" t="s">
        <v>504</v>
      </c>
      <c r="K3" s="314"/>
      <c r="L3" s="314"/>
      <c r="M3" s="315"/>
      <c r="N3" s="56">
        <v>2808</v>
      </c>
      <c r="O3" s="56">
        <v>3138</v>
      </c>
      <c r="P3" s="56">
        <v>3608</v>
      </c>
      <c r="Q3" s="56"/>
      <c r="R3" s="56"/>
      <c r="S3" s="56"/>
      <c r="T3" s="56"/>
      <c r="U3" s="56">
        <v>4062</v>
      </c>
      <c r="V3" s="56">
        <v>4589</v>
      </c>
      <c r="W3" s="56">
        <v>4118</v>
      </c>
      <c r="X3" s="56">
        <v>3386</v>
      </c>
      <c r="Y3" s="56">
        <v>3068</v>
      </c>
      <c r="Z3" s="118">
        <f>SUM(N3:Y3)</f>
        <v>28777</v>
      </c>
      <c r="AA3" s="20">
        <f>AVERAGE(N3:Y3)</f>
        <v>3597.125</v>
      </c>
      <c r="AB3" s="272" t="s">
        <v>63</v>
      </c>
      <c r="AC3" s="272"/>
      <c r="AD3" s="273"/>
    </row>
    <row r="4" spans="1:30" ht="16.5" thickTop="1" thickBot="1">
      <c r="A4" s="47"/>
      <c r="B4" s="47">
        <f>43178.75</f>
        <v>43178.75</v>
      </c>
      <c r="C4" s="191">
        <v>1461.55</v>
      </c>
      <c r="D4" s="191">
        <f>1607.71</f>
        <v>1607.71</v>
      </c>
      <c r="E4" s="191">
        <f>1607.71</f>
        <v>1607.71</v>
      </c>
      <c r="F4" s="191" t="s">
        <v>453</v>
      </c>
      <c r="J4" s="283" t="s">
        <v>149</v>
      </c>
      <c r="K4" s="283"/>
      <c r="L4" s="283"/>
      <c r="M4" s="283"/>
      <c r="N4">
        <v>0</v>
      </c>
      <c r="Z4" s="118">
        <f>SUM(N4:Y4)</f>
        <v>0</v>
      </c>
      <c r="AA4" s="20">
        <f>AVERAGE(N4:Y4)</f>
        <v>0</v>
      </c>
      <c r="AB4" s="257" t="s">
        <v>149</v>
      </c>
      <c r="AC4" s="257"/>
      <c r="AD4" s="257"/>
    </row>
    <row r="5" spans="1:30" ht="16.5" thickTop="1" thickBot="1">
      <c r="A5" s="125" t="s">
        <v>503</v>
      </c>
      <c r="B5" s="47">
        <f>B3*0.3</f>
        <v>14972.025</v>
      </c>
      <c r="C5" s="191">
        <v>249</v>
      </c>
      <c r="D5" s="191">
        <v>249</v>
      </c>
      <c r="E5" s="191"/>
      <c r="F5" s="191" t="s">
        <v>4</v>
      </c>
      <c r="J5" s="213"/>
      <c r="K5" s="213"/>
      <c r="L5" s="213"/>
      <c r="M5" s="213" t="s">
        <v>480</v>
      </c>
      <c r="N5" s="201">
        <v>200.9</v>
      </c>
      <c r="O5">
        <v>828</v>
      </c>
      <c r="P5">
        <v>414.9</v>
      </c>
      <c r="U5">
        <v>450.1</v>
      </c>
      <c r="Y5">
        <f>876.9+270.6</f>
        <v>1147.5</v>
      </c>
      <c r="Z5" s="118"/>
      <c r="AA5" s="20"/>
      <c r="AB5" s="285" t="s">
        <v>480</v>
      </c>
      <c r="AC5" s="257"/>
      <c r="AD5" s="257"/>
    </row>
    <row r="6" spans="1:30" ht="16.5" thickTop="1" thickBot="1">
      <c r="A6" s="47"/>
      <c r="B6" s="47"/>
      <c r="C6" s="191">
        <v>855.55</v>
      </c>
      <c r="D6" s="191">
        <v>855.55</v>
      </c>
      <c r="E6" s="191">
        <v>855.55</v>
      </c>
      <c r="F6" s="191" t="s">
        <v>138</v>
      </c>
      <c r="J6" s="213"/>
      <c r="K6" s="213"/>
      <c r="L6" s="213"/>
      <c r="M6" s="213" t="s">
        <v>512</v>
      </c>
      <c r="O6">
        <v>-100</v>
      </c>
      <c r="Z6" s="118"/>
      <c r="AA6" s="20"/>
      <c r="AB6" s="225"/>
      <c r="AC6" s="224"/>
      <c r="AD6" s="224"/>
    </row>
    <row r="7" spans="1:30" ht="16.5" thickTop="1" thickBot="1">
      <c r="A7" s="47"/>
      <c r="B7" s="47">
        <v>3300</v>
      </c>
      <c r="C7" s="191">
        <v>0</v>
      </c>
      <c r="D7" s="191"/>
      <c r="E7" s="191"/>
      <c r="F7" s="191" t="s">
        <v>268</v>
      </c>
      <c r="J7" s="213"/>
      <c r="K7" s="213"/>
      <c r="L7" s="213"/>
      <c r="M7" s="213" t="s">
        <v>511</v>
      </c>
      <c r="O7">
        <v>-1000</v>
      </c>
      <c r="Z7" s="118"/>
      <c r="AA7" s="20"/>
      <c r="AB7" s="225"/>
      <c r="AC7" s="224"/>
      <c r="AD7" s="224"/>
    </row>
    <row r="8" spans="1:30" ht="16.5" thickTop="1" thickBot="1">
      <c r="A8" s="47"/>
      <c r="B8" s="47">
        <v>3500</v>
      </c>
      <c r="C8" s="191">
        <v>0</v>
      </c>
      <c r="D8" s="191">
        <v>4500</v>
      </c>
      <c r="E8" s="191">
        <v>3500</v>
      </c>
      <c r="F8" s="191" t="s">
        <v>454</v>
      </c>
      <c r="J8" s="213"/>
      <c r="K8" s="213"/>
      <c r="L8" s="213"/>
      <c r="M8" s="213" t="s">
        <v>535</v>
      </c>
      <c r="V8">
        <v>-605</v>
      </c>
      <c r="Z8" s="118"/>
      <c r="AA8" s="20"/>
      <c r="AB8" s="225"/>
      <c r="AC8" s="224"/>
      <c r="AD8" s="224"/>
    </row>
    <row r="9" spans="1:30" ht="16.5" thickTop="1" thickBot="1">
      <c r="A9" s="47"/>
      <c r="B9" s="47">
        <f>(8*180) +(4*225)</f>
        <v>2340</v>
      </c>
      <c r="C9" s="191">
        <v>0</v>
      </c>
      <c r="D9" s="191">
        <v>2500</v>
      </c>
      <c r="E9" s="191">
        <v>2500</v>
      </c>
      <c r="F9" s="134" t="s">
        <v>413</v>
      </c>
      <c r="J9" s="213"/>
      <c r="K9" s="213"/>
      <c r="L9" s="213"/>
      <c r="M9" s="213" t="s">
        <v>536</v>
      </c>
      <c r="U9">
        <v>-140</v>
      </c>
      <c r="Z9" s="118"/>
      <c r="AA9" s="20"/>
      <c r="AB9" s="225"/>
      <c r="AC9" s="224"/>
      <c r="AD9" s="224"/>
    </row>
    <row r="10" spans="1:30" ht="16.5" thickTop="1" thickBot="1">
      <c r="A10" s="47"/>
      <c r="B10" s="47"/>
      <c r="C10" s="191">
        <v>299</v>
      </c>
      <c r="D10" s="191">
        <v>299</v>
      </c>
      <c r="E10" s="191">
        <v>299</v>
      </c>
      <c r="F10" s="191" t="s">
        <v>455</v>
      </c>
      <c r="J10" s="213"/>
      <c r="K10" s="213"/>
      <c r="L10" s="213"/>
      <c r="M10" s="213" t="s">
        <v>526</v>
      </c>
      <c r="V10">
        <v>-420</v>
      </c>
      <c r="Y10">
        <v>-280</v>
      </c>
      <c r="Z10" s="118"/>
      <c r="AA10" s="20"/>
      <c r="AB10" s="225"/>
      <c r="AC10" s="224"/>
      <c r="AD10" s="224"/>
    </row>
    <row r="11" spans="1:30" ht="16.5" thickTop="1" thickBot="1">
      <c r="A11" s="47"/>
      <c r="B11" s="47"/>
      <c r="C11" s="191">
        <v>2000</v>
      </c>
      <c r="D11" s="191">
        <v>2000</v>
      </c>
      <c r="E11" s="191">
        <v>2000</v>
      </c>
      <c r="F11" s="134" t="s">
        <v>17</v>
      </c>
      <c r="G11" s="47" t="s">
        <v>137</v>
      </c>
      <c r="H11" t="s">
        <v>538</v>
      </c>
      <c r="J11" s="213"/>
      <c r="K11" s="213"/>
      <c r="L11" s="213"/>
      <c r="M11" s="213" t="s">
        <v>531</v>
      </c>
      <c r="U11">
        <v>-519.98</v>
      </c>
      <c r="Y11">
        <v>-159.99</v>
      </c>
      <c r="Z11" s="118"/>
      <c r="AA11" s="20"/>
      <c r="AB11" s="225"/>
      <c r="AC11" s="224"/>
      <c r="AD11" s="224"/>
    </row>
    <row r="12" spans="1:30" ht="16.5" thickTop="1" thickBot="1">
      <c r="A12" s="47"/>
      <c r="B12" s="204">
        <f>180*8</f>
        <v>1440</v>
      </c>
      <c r="C12" s="191">
        <f>100+137+137+50+57.25+125</f>
        <v>606.25</v>
      </c>
      <c r="D12" s="191">
        <v>606.25</v>
      </c>
      <c r="E12" s="191">
        <v>606.25</v>
      </c>
      <c r="F12" s="191" t="s">
        <v>445</v>
      </c>
      <c r="J12" s="213"/>
      <c r="K12" s="213"/>
      <c r="L12" s="213"/>
      <c r="M12" s="213" t="s">
        <v>530</v>
      </c>
      <c r="U12">
        <v>-284.89999999999998</v>
      </c>
      <c r="Z12" s="118"/>
      <c r="AA12" s="20"/>
      <c r="AB12" s="225"/>
      <c r="AC12" s="224"/>
      <c r="AD12" s="224"/>
    </row>
    <row r="13" spans="1:30" ht="16.5" thickTop="1" thickBot="1">
      <c r="A13" s="47"/>
      <c r="C13" s="191">
        <v>140</v>
      </c>
      <c r="D13" s="191">
        <v>140</v>
      </c>
      <c r="E13" s="191">
        <v>140</v>
      </c>
      <c r="F13" s="191" t="s">
        <v>459</v>
      </c>
      <c r="J13" s="213"/>
      <c r="K13" s="213"/>
      <c r="L13" s="213"/>
      <c r="M13" s="213" t="s">
        <v>534</v>
      </c>
      <c r="U13">
        <v>-560</v>
      </c>
      <c r="Y13">
        <v>-160</v>
      </c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92">
        <f>601.35</f>
        <v>601.35</v>
      </c>
      <c r="D14" s="191">
        <v>608.35</v>
      </c>
      <c r="E14" s="191">
        <v>608.35</v>
      </c>
      <c r="F14" s="191" t="s">
        <v>464</v>
      </c>
      <c r="J14" s="213"/>
      <c r="K14" s="213"/>
      <c r="L14" s="213"/>
      <c r="M14" s="213" t="s">
        <v>533</v>
      </c>
      <c r="U14">
        <v>-69.989999999999995</v>
      </c>
      <c r="Z14" s="118"/>
      <c r="AA14" s="20"/>
      <c r="AB14" s="225"/>
      <c r="AC14" s="224"/>
      <c r="AD14" s="224"/>
    </row>
    <row r="15" spans="1:30" ht="16.5" thickTop="1" thickBot="1">
      <c r="A15" s="47"/>
      <c r="B15" s="47"/>
      <c r="C15" s="191">
        <v>18273.61</v>
      </c>
      <c r="D15" s="229">
        <v>15000</v>
      </c>
      <c r="E15" s="229">
        <v>15000</v>
      </c>
      <c r="F15" s="191" t="s">
        <v>412</v>
      </c>
      <c r="J15" s="213"/>
      <c r="K15" s="213"/>
      <c r="L15" s="213"/>
      <c r="M15" s="213" t="s">
        <v>541</v>
      </c>
      <c r="Y15">
        <f>-330-250-479</f>
        <v>-1059</v>
      </c>
      <c r="Z15" s="118"/>
      <c r="AA15" s="20"/>
      <c r="AB15" s="225"/>
      <c r="AC15" s="224"/>
      <c r="AD15" s="224"/>
    </row>
    <row r="16" spans="1:30" ht="16.5" thickTop="1" thickBot="1">
      <c r="A16" s="47"/>
      <c r="B16" s="47">
        <v>2000</v>
      </c>
      <c r="C16" s="194">
        <v>0</v>
      </c>
      <c r="D16" s="194">
        <v>2500</v>
      </c>
      <c r="E16" s="194">
        <v>2500</v>
      </c>
      <c r="F16" s="194" t="s">
        <v>440</v>
      </c>
      <c r="H16" s="47"/>
      <c r="J16" s="208"/>
      <c r="K16" s="208"/>
      <c r="L16" s="208"/>
      <c r="M16" s="218" t="s">
        <v>471</v>
      </c>
      <c r="N16">
        <v>-1259.5</v>
      </c>
      <c r="U16">
        <f>-980.3-2648</f>
        <v>-3628.3</v>
      </c>
      <c r="V16">
        <f>-862-1494-1515.4</f>
        <v>-3871.4</v>
      </c>
      <c r="Y16">
        <v>-1326.3</v>
      </c>
      <c r="Z16" s="118"/>
      <c r="AA16" s="20"/>
      <c r="AB16" s="286" t="s">
        <v>471</v>
      </c>
      <c r="AC16" s="258"/>
      <c r="AD16" s="258"/>
    </row>
    <row r="17" spans="1:30" ht="16.5" thickTop="1" thickBot="1">
      <c r="A17" s="47"/>
      <c r="B17" s="47">
        <v>3000</v>
      </c>
      <c r="C17" s="194">
        <v>0</v>
      </c>
      <c r="D17" s="194">
        <v>1600</v>
      </c>
      <c r="E17" s="194">
        <v>1600</v>
      </c>
      <c r="F17" s="194" t="s">
        <v>6</v>
      </c>
      <c r="J17" s="208"/>
      <c r="K17" s="208"/>
      <c r="L17" s="208"/>
      <c r="M17" s="218" t="s">
        <v>491</v>
      </c>
      <c r="N17">
        <v>-61.98</v>
      </c>
      <c r="Z17" s="118"/>
      <c r="AA17" s="20"/>
      <c r="AB17" s="207"/>
      <c r="AC17" s="207"/>
      <c r="AD17" s="207"/>
    </row>
    <row r="18" spans="1:30" ht="16.5" thickTop="1" thickBot="1">
      <c r="A18" s="47"/>
      <c r="B18" s="47">
        <v>3500</v>
      </c>
      <c r="C18" s="194">
        <v>0</v>
      </c>
      <c r="D18" s="194">
        <v>4500</v>
      </c>
      <c r="E18" s="194">
        <v>4000</v>
      </c>
      <c r="F18" s="194" t="s">
        <v>11</v>
      </c>
      <c r="H18" s="47"/>
      <c r="I18" s="47"/>
      <c r="J18" s="208"/>
      <c r="K18" s="208"/>
      <c r="L18" s="208"/>
      <c r="M18" s="218" t="s">
        <v>497</v>
      </c>
      <c r="N18">
        <v>0</v>
      </c>
      <c r="Y18">
        <v>-385</v>
      </c>
      <c r="Z18" s="118"/>
      <c r="AA18" s="20"/>
      <c r="AB18" s="207"/>
      <c r="AC18" s="207"/>
      <c r="AD18" s="207"/>
    </row>
    <row r="19" spans="1:30" ht="16.5" thickTop="1" thickBot="1">
      <c r="A19" s="47"/>
      <c r="B19" s="47"/>
      <c r="C19" s="192">
        <v>99</v>
      </c>
      <c r="D19" s="192">
        <v>99</v>
      </c>
      <c r="E19" s="192">
        <v>99</v>
      </c>
      <c r="F19" s="192" t="s">
        <v>249</v>
      </c>
      <c r="H19" s="47"/>
      <c r="I19" s="47"/>
      <c r="J19" s="287" t="s">
        <v>498</v>
      </c>
      <c r="K19" s="287"/>
      <c r="L19" s="287"/>
      <c r="M19" s="288"/>
      <c r="N19">
        <v>0</v>
      </c>
      <c r="U19">
        <v>-209.4</v>
      </c>
      <c r="Z19" s="118">
        <f>SUM(N19:Y19)</f>
        <v>-209.4</v>
      </c>
      <c r="AA19" s="20">
        <f>AVERAGE(N19:Y19)</f>
        <v>-104.7</v>
      </c>
      <c r="AB19" s="258" t="s">
        <v>276</v>
      </c>
      <c r="AC19" s="258"/>
      <c r="AD19" s="258"/>
    </row>
    <row r="20" spans="1:30" ht="16.5" thickTop="1" thickBot="1">
      <c r="A20" s="47"/>
      <c r="B20" s="47"/>
      <c r="C20" s="192">
        <v>200</v>
      </c>
      <c r="D20" s="192">
        <v>300</v>
      </c>
      <c r="E20" s="192">
        <v>300</v>
      </c>
      <c r="F20" s="192" t="s">
        <v>66</v>
      </c>
      <c r="H20" s="47"/>
      <c r="I20" s="47"/>
      <c r="J20" s="208"/>
      <c r="K20" s="208"/>
      <c r="L20" s="208"/>
      <c r="M20" s="218" t="s">
        <v>482</v>
      </c>
      <c r="N20">
        <f>-2945-409</f>
        <v>-3354</v>
      </c>
      <c r="U20">
        <f>-1652-332-399-1071.5-610</f>
        <v>-4064.5</v>
      </c>
      <c r="V20">
        <f>-1799.5-1088</f>
        <v>-2887.5</v>
      </c>
      <c r="Y20">
        <f>-590-1479-154.95</f>
        <v>-2223.9499999999998</v>
      </c>
      <c r="Z20" s="118"/>
      <c r="AA20" s="20"/>
      <c r="AB20" s="207"/>
      <c r="AC20" s="207"/>
      <c r="AD20" s="207"/>
    </row>
    <row r="21" spans="1:30" ht="16.5" thickTop="1" thickBot="1">
      <c r="A21" s="47"/>
      <c r="B21" s="47"/>
      <c r="C21" s="193">
        <f>591+155+155</f>
        <v>901</v>
      </c>
      <c r="D21" s="194">
        <v>1227</v>
      </c>
      <c r="E21" s="194">
        <v>1227</v>
      </c>
      <c r="F21" s="194" t="s">
        <v>144</v>
      </c>
      <c r="H21" s="47"/>
      <c r="I21" s="47"/>
      <c r="J21" s="287" t="s">
        <v>386</v>
      </c>
      <c r="K21" s="287"/>
      <c r="L21" s="287"/>
      <c r="M21" s="287"/>
      <c r="N21" s="202">
        <v>0</v>
      </c>
      <c r="Z21" s="118">
        <f>SUM(N21:Y21)</f>
        <v>0</v>
      </c>
      <c r="AA21" s="20">
        <f>AVERAGE(N21:Y21)</f>
        <v>0</v>
      </c>
      <c r="AB21" s="259" t="s">
        <v>65</v>
      </c>
      <c r="AC21" s="259"/>
      <c r="AD21" s="259"/>
    </row>
    <row r="22" spans="1:30" ht="16.5" thickTop="1" thickBot="1">
      <c r="A22" s="47"/>
      <c r="H22" s="220"/>
      <c r="I22" s="47"/>
      <c r="J22" s="24"/>
      <c r="K22" s="208"/>
      <c r="L22" s="208"/>
      <c r="M22" s="208" t="s">
        <v>493</v>
      </c>
      <c r="N22" s="219">
        <v>-134</v>
      </c>
      <c r="Z22" s="118"/>
      <c r="AA22" s="20"/>
      <c r="AB22" s="149"/>
      <c r="AC22" s="149"/>
      <c r="AD22" s="149"/>
    </row>
    <row r="23" spans="1:30" ht="16.5" thickTop="1" thickBot="1">
      <c r="A23" s="47"/>
      <c r="B23" s="47"/>
      <c r="C23" s="192">
        <v>140</v>
      </c>
      <c r="D23" s="194">
        <v>140</v>
      </c>
      <c r="E23" s="194">
        <v>140</v>
      </c>
      <c r="F23" s="194" t="s">
        <v>248</v>
      </c>
      <c r="H23" s="47"/>
      <c r="I23" s="47"/>
      <c r="J23" s="208"/>
      <c r="K23" s="208"/>
      <c r="L23" s="208"/>
      <c r="M23" s="208"/>
      <c r="N23" s="202">
        <v>0</v>
      </c>
      <c r="Z23" s="118"/>
      <c r="AA23" s="20"/>
      <c r="AB23" s="149"/>
      <c r="AC23" s="149"/>
      <c r="AD23" s="149"/>
    </row>
    <row r="24" spans="1:30" ht="16.5" thickTop="1" thickBot="1">
      <c r="A24" s="47"/>
      <c r="B24" s="47"/>
      <c r="C24" s="193">
        <v>134.55000000000001</v>
      </c>
      <c r="D24" s="193">
        <v>134.55000000000001</v>
      </c>
      <c r="E24" s="193">
        <v>134.55000000000001</v>
      </c>
      <c r="F24" s="193" t="s">
        <v>13</v>
      </c>
      <c r="H24" s="47"/>
      <c r="I24" s="47"/>
      <c r="J24" s="287" t="s">
        <v>500</v>
      </c>
      <c r="K24" s="293"/>
      <c r="L24" s="293"/>
      <c r="M24" s="293"/>
      <c r="N24" s="202">
        <v>0</v>
      </c>
      <c r="U24">
        <f>-120-195-290-314-185-185-180-120-268.5-417-136.8-90-284-250-375-83.5-159.5-260</f>
        <v>-3913.3</v>
      </c>
      <c r="V24">
        <f>-100-200-85-700-220</f>
        <v>-1305</v>
      </c>
      <c r="Y24">
        <f>-448-190-220-52-455-170-75-27.99-81-78</f>
        <v>-1796.99</v>
      </c>
      <c r="Z24" s="118"/>
      <c r="AA24" s="20"/>
      <c r="AB24" s="149"/>
      <c r="AC24" s="149"/>
      <c r="AD24" s="149"/>
    </row>
    <row r="25" spans="1:30" ht="16.5" thickTop="1" thickBot="1">
      <c r="A25" s="47"/>
      <c r="B25" s="47"/>
      <c r="C25" s="204">
        <v>552.07000000000005</v>
      </c>
      <c r="D25" s="204">
        <v>552.07000000000005</v>
      </c>
      <c r="E25" s="204">
        <v>552.07000000000005</v>
      </c>
      <c r="F25" s="204" t="s">
        <v>467</v>
      </c>
      <c r="H25" s="47"/>
      <c r="I25" s="47"/>
      <c r="J25" s="278" t="s">
        <v>489</v>
      </c>
      <c r="K25" s="278"/>
      <c r="L25" s="278"/>
      <c r="M25" s="288"/>
      <c r="N25" s="202">
        <f>-130-67</f>
        <v>-197</v>
      </c>
      <c r="V25">
        <v>-144.80000000000001</v>
      </c>
      <c r="Z25" s="118">
        <f>SUM(N25:Y25)</f>
        <v>-341.8</v>
      </c>
      <c r="AA25" s="20">
        <f>AVERAGE(N25:Y25)</f>
        <v>-170.9</v>
      </c>
      <c r="AB25" s="259" t="s">
        <v>105</v>
      </c>
      <c r="AC25" s="259"/>
      <c r="AD25" s="291"/>
    </row>
    <row r="26" spans="1:30" ht="16.5" thickTop="1" thickBot="1">
      <c r="A26" s="47"/>
      <c r="B26" s="47"/>
      <c r="C26" s="204">
        <v>4059.84</v>
      </c>
      <c r="D26" s="204">
        <v>0</v>
      </c>
      <c r="E26" s="204"/>
      <c r="F26" s="204" t="s">
        <v>401</v>
      </c>
      <c r="J26" s="217"/>
      <c r="K26" s="217"/>
      <c r="L26" s="217"/>
      <c r="M26" s="208" t="s">
        <v>496</v>
      </c>
      <c r="N26" s="202">
        <v>-149.9</v>
      </c>
      <c r="Z26" s="118"/>
      <c r="AA26" s="20"/>
      <c r="AB26" s="149"/>
      <c r="AC26" s="149"/>
      <c r="AD26" s="209"/>
    </row>
    <row r="27" spans="1:30" ht="16.5" thickTop="1" thickBot="1">
      <c r="A27" s="47"/>
      <c r="B27" s="47"/>
      <c r="C27" s="135"/>
      <c r="D27" s="135"/>
      <c r="E27" s="135"/>
      <c r="F27" t="s">
        <v>241</v>
      </c>
      <c r="J27" s="217"/>
      <c r="K27" s="217"/>
      <c r="L27" s="217"/>
      <c r="M27" s="208" t="s">
        <v>495</v>
      </c>
      <c r="N27" s="202">
        <v>-165</v>
      </c>
      <c r="Z27" s="118"/>
      <c r="AA27" s="20"/>
      <c r="AB27" s="149"/>
      <c r="AC27" s="149"/>
      <c r="AD27" s="209"/>
    </row>
    <row r="28" spans="1:30" ht="16.5" thickTop="1" thickBot="1">
      <c r="A28" s="47"/>
      <c r="B28" s="134" t="s">
        <v>7</v>
      </c>
      <c r="C28" s="134">
        <v>2600</v>
      </c>
      <c r="D28" s="134">
        <v>2615</v>
      </c>
      <c r="E28" s="191">
        <v>2615</v>
      </c>
      <c r="F28" s="134" t="s">
        <v>414</v>
      </c>
      <c r="H28" t="s">
        <v>538</v>
      </c>
      <c r="J28" s="212"/>
      <c r="K28" s="212"/>
      <c r="L28" s="212"/>
      <c r="M28" s="208" t="s">
        <v>487</v>
      </c>
      <c r="N28" s="202">
        <v>-22.9</v>
      </c>
      <c r="Z28" s="118"/>
      <c r="AA28" s="20"/>
      <c r="AB28" s="149"/>
      <c r="AC28" s="149"/>
      <c r="AD28" s="209"/>
    </row>
    <row r="29" spans="1:30" ht="16.5" thickTop="1" thickBot="1">
      <c r="A29" s="47"/>
      <c r="B29" s="230" t="s">
        <v>20</v>
      </c>
      <c r="C29" s="230"/>
      <c r="D29" s="118">
        <v>4000</v>
      </c>
      <c r="E29" s="118"/>
      <c r="F29" s="230" t="s">
        <v>525</v>
      </c>
      <c r="J29" s="212"/>
      <c r="K29" s="212"/>
      <c r="L29" s="212"/>
      <c r="M29" s="208" t="s">
        <v>528</v>
      </c>
      <c r="N29" s="202"/>
      <c r="Z29" s="118"/>
      <c r="AA29" s="20"/>
      <c r="AB29" s="149"/>
      <c r="AC29" s="149"/>
      <c r="AD29" s="209"/>
    </row>
    <row r="30" spans="1:30" ht="16.5" thickTop="1" thickBot="1">
      <c r="A30" s="47"/>
      <c r="B30" s="205" t="s">
        <v>461</v>
      </c>
      <c r="C30" s="206">
        <f>100+250</f>
        <v>350</v>
      </c>
      <c r="D30" s="206">
        <v>1000</v>
      </c>
      <c r="E30" s="206"/>
      <c r="F30" s="47"/>
      <c r="J30" s="212"/>
      <c r="K30" s="212"/>
      <c r="L30" s="212"/>
      <c r="M30" s="208" t="s">
        <v>499</v>
      </c>
      <c r="N30" s="202">
        <v>0</v>
      </c>
      <c r="V30">
        <v>-550</v>
      </c>
      <c r="Z30" s="118"/>
      <c r="AA30" s="20"/>
      <c r="AB30" s="286" t="s">
        <v>499</v>
      </c>
      <c r="AC30" s="258"/>
      <c r="AD30" s="290"/>
    </row>
    <row r="31" spans="1:30" ht="16.5" thickTop="1" thickBot="1">
      <c r="A31" s="47"/>
      <c r="B31" s="8" t="s">
        <v>460</v>
      </c>
      <c r="C31" s="24">
        <v>250</v>
      </c>
      <c r="D31" s="24"/>
      <c r="E31" s="24"/>
      <c r="F31" s="47"/>
      <c r="J31" s="287" t="s">
        <v>263</v>
      </c>
      <c r="K31" s="287"/>
      <c r="L31" s="287"/>
      <c r="M31" s="287"/>
      <c r="N31" s="202">
        <v>0</v>
      </c>
      <c r="Z31" s="118">
        <f>SUM(N31:Y31)</f>
        <v>0</v>
      </c>
      <c r="AA31" s="20">
        <f>AVERAGE(N31:Y31)</f>
        <v>0</v>
      </c>
      <c r="AB31" s="258" t="s">
        <v>291</v>
      </c>
      <c r="AC31" s="258"/>
      <c r="AD31" s="290"/>
    </row>
    <row r="32" spans="1:30" ht="16.5" thickTop="1" thickBot="1">
      <c r="A32" s="47"/>
      <c r="B32" s="133" t="s">
        <v>284</v>
      </c>
      <c r="C32" s="134"/>
      <c r="D32" s="134"/>
      <c r="E32" s="134"/>
      <c r="F32" t="s">
        <v>285</v>
      </c>
      <c r="J32" s="208"/>
      <c r="K32" s="208"/>
      <c r="L32" s="208"/>
      <c r="M32" s="208" t="s">
        <v>529</v>
      </c>
      <c r="N32" s="202"/>
      <c r="Z32" s="118"/>
      <c r="AA32" s="20"/>
      <c r="AB32" s="207"/>
      <c r="AC32" s="207"/>
      <c r="AD32" s="210"/>
    </row>
    <row r="33" spans="1:30" ht="16.5" thickTop="1" thickBot="1">
      <c r="A33" s="47"/>
      <c r="B33" s="204" t="s">
        <v>466</v>
      </c>
      <c r="C33" s="204">
        <f>SUM(C25:C26)+B12</f>
        <v>6051.91</v>
      </c>
      <c r="D33" s="204">
        <f>SUM(D25:D26)</f>
        <v>552.07000000000005</v>
      </c>
      <c r="E33" s="204"/>
      <c r="G33" s="47"/>
      <c r="J33" s="208"/>
      <c r="K33" s="208"/>
      <c r="L33" s="208"/>
      <c r="M33" s="208" t="s">
        <v>532</v>
      </c>
      <c r="N33" s="202"/>
      <c r="U33">
        <v>-619.79999999999995</v>
      </c>
      <c r="Z33" s="118"/>
      <c r="AA33" s="20"/>
      <c r="AB33" s="207"/>
      <c r="AC33" s="207"/>
      <c r="AD33" s="210"/>
    </row>
    <row r="34" spans="1:30" ht="16.5" thickTop="1" thickBot="1">
      <c r="A34" s="47"/>
      <c r="B34" s="197" t="s">
        <v>457</v>
      </c>
      <c r="C34" s="198">
        <f>SUM(C19:C24)</f>
        <v>1474.55</v>
      </c>
      <c r="D34" s="198">
        <f>SUM(D19:D24)</f>
        <v>1900.55</v>
      </c>
      <c r="E34" s="198">
        <f>E19+E20+E24</f>
        <v>533.54999999999995</v>
      </c>
      <c r="F34" s="47"/>
      <c r="J34" s="208"/>
      <c r="K34" s="208"/>
      <c r="L34" s="208"/>
      <c r="M34" s="208" t="s">
        <v>484</v>
      </c>
      <c r="N34" s="202">
        <v>-198.6</v>
      </c>
      <c r="Z34" s="118"/>
      <c r="AA34" s="20"/>
      <c r="AB34" s="207"/>
      <c r="AC34" s="207"/>
      <c r="AD34" s="210"/>
    </row>
    <row r="35" spans="1:30" ht="16.5" thickTop="1" thickBot="1">
      <c r="A35" s="47"/>
      <c r="B35" s="195" t="s">
        <v>456</v>
      </c>
      <c r="C35" s="196">
        <f>SUM(C16:C18)</f>
        <v>0</v>
      </c>
      <c r="D35" s="196">
        <f>SUM(D16:D18)+D21+D23</f>
        <v>9967</v>
      </c>
      <c r="E35" s="196">
        <f>SUM(E16:E18)+E21+E23</f>
        <v>9467</v>
      </c>
      <c r="F35" s="47"/>
      <c r="H35" s="47"/>
      <c r="I35" s="47"/>
      <c r="J35" s="208"/>
      <c r="K35" s="208"/>
      <c r="L35" s="208"/>
      <c r="M35" s="208" t="s">
        <v>470</v>
      </c>
      <c r="N35" s="202">
        <v>-619.79999999999995</v>
      </c>
      <c r="U35">
        <f>-119.98-236.97-893.12-370.83-350.2-151.97</f>
        <v>-2123.0699999999997</v>
      </c>
      <c r="Y35">
        <v>-283.41000000000003</v>
      </c>
      <c r="Z35" s="118"/>
      <c r="AA35" s="20"/>
      <c r="AB35" s="207"/>
      <c r="AC35" s="207" t="s">
        <v>243</v>
      </c>
      <c r="AD35" s="210"/>
    </row>
    <row r="36" spans="1:30" ht="16.5" thickTop="1" thickBot="1">
      <c r="A36" s="47"/>
      <c r="B36" s="199" t="s">
        <v>458</v>
      </c>
      <c r="C36" s="200">
        <f>SUM(C2:C13)</f>
        <v>8527.92</v>
      </c>
      <c r="D36" s="200">
        <f>SUM(D2:D13)</f>
        <v>15429.630000000001</v>
      </c>
      <c r="E36" s="200">
        <f>SUM(E2:E14)</f>
        <v>14788.980000000001</v>
      </c>
      <c r="F36" s="47"/>
      <c r="H36" s="47"/>
      <c r="I36" s="47"/>
      <c r="J36" s="287" t="s">
        <v>475</v>
      </c>
      <c r="K36" s="287"/>
      <c r="L36" s="287"/>
      <c r="M36" s="287"/>
      <c r="N36" s="202">
        <v>0</v>
      </c>
      <c r="U36">
        <f>-83.93-222.95</f>
        <v>-306.88</v>
      </c>
      <c r="V36">
        <v>-99.94</v>
      </c>
      <c r="Z36" s="118">
        <f t="shared" ref="Z36:Z47" si="0">SUM(N36:Y36)</f>
        <v>-406.82</v>
      </c>
      <c r="AA36" s="20">
        <f t="shared" ref="AA36:AA47" si="1">AVERAGE(N36:Y36)</f>
        <v>-135.60666666666665</v>
      </c>
      <c r="AB36" s="258" t="s">
        <v>475</v>
      </c>
      <c r="AC36" s="258"/>
      <c r="AD36" s="290"/>
    </row>
    <row r="37" spans="1:30" ht="16.5" thickTop="1" thickBot="1">
      <c r="A37" s="47"/>
      <c r="B37" s="233" t="s">
        <v>462</v>
      </c>
      <c r="C37" s="234">
        <f>C15</f>
        <v>18273.61</v>
      </c>
      <c r="D37" s="234">
        <f>D15</f>
        <v>15000</v>
      </c>
      <c r="E37" s="234">
        <f>E15</f>
        <v>15000</v>
      </c>
      <c r="F37" s="47"/>
      <c r="H37" s="47"/>
      <c r="I37" s="47"/>
      <c r="J37" s="287" t="s">
        <v>476</v>
      </c>
      <c r="K37" s="287"/>
      <c r="L37" s="287"/>
      <c r="M37" s="287"/>
      <c r="N37" s="202">
        <v>-264.11</v>
      </c>
      <c r="V37">
        <f>-278.33-226.92</f>
        <v>-505.25</v>
      </c>
      <c r="Z37" s="118">
        <f t="shared" si="0"/>
        <v>-769.36</v>
      </c>
      <c r="AA37" s="20">
        <f t="shared" si="1"/>
        <v>-384.68</v>
      </c>
      <c r="AB37" s="258" t="s">
        <v>477</v>
      </c>
      <c r="AC37" s="258"/>
      <c r="AD37" s="290"/>
    </row>
    <row r="38" spans="1:30" ht="16.5" thickTop="1" thickBot="1">
      <c r="A38" s="47"/>
      <c r="B38" s="57" t="s">
        <v>25</v>
      </c>
      <c r="C38" s="47"/>
      <c r="D38" s="47"/>
      <c r="E38" s="47"/>
      <c r="F38" s="47"/>
      <c r="I38" s="47"/>
      <c r="J38" s="208"/>
      <c r="K38" s="208"/>
      <c r="L38" s="208"/>
      <c r="M38" s="208" t="s">
        <v>314</v>
      </c>
      <c r="N38" s="202">
        <v>0</v>
      </c>
      <c r="V38">
        <f>-43-60-88.96-74.99-258.97</f>
        <v>-525.92000000000007</v>
      </c>
      <c r="Z38" s="118">
        <f t="shared" si="0"/>
        <v>-525.92000000000007</v>
      </c>
      <c r="AA38" s="20">
        <f t="shared" si="1"/>
        <v>-262.96000000000004</v>
      </c>
      <c r="AB38" s="207"/>
      <c r="AC38" s="207"/>
      <c r="AD38" s="210"/>
    </row>
    <row r="39" spans="1:30" ht="16.5" thickTop="1" thickBot="1">
      <c r="A39" s="47"/>
      <c r="B39" s="90" t="s">
        <v>26</v>
      </c>
      <c r="C39" s="90">
        <f>SUM(C30:C38)</f>
        <v>34927.990000000005</v>
      </c>
      <c r="D39" s="90">
        <f>SUM(D30:D38)+D28</f>
        <v>46464.25</v>
      </c>
      <c r="E39" s="90">
        <f>SUM(E30:E38)+E28</f>
        <v>42404.53</v>
      </c>
      <c r="F39" s="47"/>
      <c r="H39" s="47"/>
      <c r="I39" s="47"/>
      <c r="J39" s="258" t="s">
        <v>301</v>
      </c>
      <c r="K39" s="258"/>
      <c r="L39" s="258"/>
      <c r="M39" s="258"/>
      <c r="N39" s="202">
        <f>-518.84-42.79</f>
        <v>-561.63</v>
      </c>
      <c r="U39">
        <v>-1085.92</v>
      </c>
      <c r="V39">
        <f>-1017.23-1289.99-468.94</f>
        <v>-2776.1600000000003</v>
      </c>
      <c r="Y39">
        <f>-1272.57-79.81-2000.2-566.47</f>
        <v>-3919.05</v>
      </c>
      <c r="Z39" s="118">
        <f t="shared" si="0"/>
        <v>-8342.760000000002</v>
      </c>
      <c r="AA39" s="20">
        <f t="shared" si="1"/>
        <v>-2085.6900000000005</v>
      </c>
      <c r="AB39" s="258" t="s">
        <v>301</v>
      </c>
      <c r="AC39" s="258"/>
      <c r="AD39" s="290"/>
    </row>
    <row r="40" spans="1:30" ht="16.5" thickTop="1" thickBot="1">
      <c r="A40" s="47"/>
      <c r="B40" s="18" t="s">
        <v>463</v>
      </c>
      <c r="C40" s="144">
        <f>B3-C39</f>
        <v>14978.759999999995</v>
      </c>
      <c r="D40" s="144">
        <f>B3-D39-6728+D29</f>
        <v>714.5</v>
      </c>
      <c r="E40" s="144">
        <f>B4-E39+E29</f>
        <v>774.22000000000116</v>
      </c>
      <c r="F40" s="47"/>
      <c r="H40" s="47"/>
      <c r="I40" s="47"/>
      <c r="J40" s="208"/>
      <c r="K40" s="208"/>
      <c r="L40" s="208"/>
      <c r="M40" s="208" t="s">
        <v>485</v>
      </c>
      <c r="N40" s="202">
        <v>-382.8</v>
      </c>
      <c r="Z40" s="118">
        <f t="shared" si="0"/>
        <v>-382.8</v>
      </c>
      <c r="AA40" s="20">
        <f t="shared" si="1"/>
        <v>-382.8</v>
      </c>
      <c r="AB40" s="207"/>
      <c r="AC40" s="207"/>
      <c r="AD40" s="207"/>
    </row>
    <row r="41" spans="1:30" ht="16.5" thickTop="1" thickBot="1">
      <c r="A41" s="47"/>
      <c r="B41" s="47"/>
      <c r="C41" s="47"/>
      <c r="D41" s="47"/>
      <c r="E41" s="47"/>
      <c r="F41" s="47"/>
      <c r="G41" s="47"/>
      <c r="H41" s="47"/>
      <c r="I41" s="47"/>
      <c r="J41" s="208"/>
      <c r="K41" s="208"/>
      <c r="L41" s="208"/>
      <c r="M41" s="208" t="s">
        <v>483</v>
      </c>
      <c r="N41" s="202">
        <v>-231.3</v>
      </c>
      <c r="Z41" s="118">
        <f t="shared" si="0"/>
        <v>-231.3</v>
      </c>
      <c r="AA41" s="20">
        <f t="shared" si="1"/>
        <v>-231.3</v>
      </c>
      <c r="AB41" s="207"/>
      <c r="AC41" s="207"/>
      <c r="AD41" s="207"/>
    </row>
    <row r="42" spans="1:30" ht="16.5" thickTop="1" thickBot="1">
      <c r="A42" s="47"/>
      <c r="B42" t="s">
        <v>502</v>
      </c>
      <c r="C42" s="131">
        <f>C40-SUM(B16:B18)-SUM(B7:B9)</f>
        <v>-2661.2400000000052</v>
      </c>
      <c r="D42" s="131"/>
      <c r="E42" s="131"/>
      <c r="F42" s="47"/>
      <c r="G42" s="47"/>
      <c r="H42" s="47"/>
      <c r="I42" s="47"/>
      <c r="J42" s="208"/>
      <c r="K42" s="208"/>
      <c r="L42" s="208"/>
      <c r="M42" s="208" t="s">
        <v>488</v>
      </c>
      <c r="N42" s="202">
        <v>-173.7</v>
      </c>
      <c r="U42">
        <v>-420</v>
      </c>
      <c r="Z42" s="118">
        <f t="shared" si="0"/>
        <v>-593.70000000000005</v>
      </c>
      <c r="AA42" s="20">
        <f t="shared" si="1"/>
        <v>-296.85000000000002</v>
      </c>
      <c r="AB42" s="207"/>
      <c r="AC42" s="207"/>
      <c r="AD42" s="207"/>
    </row>
    <row r="43" spans="1:30" ht="16.5" thickTop="1" thickBot="1">
      <c r="A43" s="47"/>
      <c r="F43" s="47"/>
      <c r="G43" s="47"/>
      <c r="H43" s="47"/>
      <c r="I43" s="47"/>
      <c r="J43" s="208"/>
      <c r="K43" s="208"/>
      <c r="L43" s="208"/>
      <c r="M43" s="208" t="s">
        <v>486</v>
      </c>
      <c r="N43" s="202">
        <v>-291.13</v>
      </c>
      <c r="Z43" s="118">
        <f t="shared" si="0"/>
        <v>-291.13</v>
      </c>
      <c r="AA43" s="20">
        <f t="shared" si="1"/>
        <v>-291.13</v>
      </c>
      <c r="AB43" s="207"/>
      <c r="AC43" s="207"/>
      <c r="AD43" s="207"/>
    </row>
    <row r="44" spans="1:30" ht="16.5" thickTop="1" thickBot="1">
      <c r="A44" s="47"/>
      <c r="B44" s="47">
        <v>62826693104</v>
      </c>
      <c r="C44" s="47"/>
      <c r="D44" s="47"/>
      <c r="E44" s="47"/>
      <c r="F44" s="47"/>
      <c r="G44" s="47"/>
      <c r="H44" s="47"/>
      <c r="I44" s="47"/>
      <c r="J44" s="293" t="s">
        <v>95</v>
      </c>
      <c r="K44" s="293"/>
      <c r="L44" s="293"/>
      <c r="M44" s="293"/>
      <c r="N44" s="202">
        <v>0</v>
      </c>
      <c r="Y44">
        <f>-600-900</f>
        <v>-1500</v>
      </c>
      <c r="Z44" s="118">
        <f t="shared" si="0"/>
        <v>-1500</v>
      </c>
      <c r="AA44" s="20">
        <f t="shared" si="1"/>
        <v>-750</v>
      </c>
      <c r="AB44" s="259" t="s">
        <v>95</v>
      </c>
      <c r="AC44" s="259"/>
      <c r="AD44" s="259"/>
    </row>
    <row r="45" spans="1:30" ht="16.5" thickTop="1" thickBot="1">
      <c r="A45" s="47"/>
      <c r="B45" s="47"/>
      <c r="C45" s="47"/>
      <c r="D45" s="47"/>
      <c r="E45" s="47"/>
      <c r="F45" s="47"/>
      <c r="G45" s="47"/>
      <c r="H45" s="47"/>
      <c r="I45" s="47"/>
      <c r="J45" s="287" t="s">
        <v>67</v>
      </c>
      <c r="K45" s="287"/>
      <c r="L45" s="287"/>
      <c r="M45" s="287"/>
      <c r="N45" s="202">
        <v>0</v>
      </c>
      <c r="Z45" s="118">
        <f t="shared" si="0"/>
        <v>0</v>
      </c>
      <c r="AA45" s="20">
        <f t="shared" si="1"/>
        <v>0</v>
      </c>
      <c r="AB45" s="259" t="s">
        <v>67</v>
      </c>
      <c r="AC45" s="259"/>
      <c r="AD45" s="259"/>
    </row>
    <row r="46" spans="1:30" ht="16.5" thickTop="1" thickBot="1">
      <c r="A46" s="47"/>
      <c r="B46" s="47"/>
      <c r="C46" s="47"/>
      <c r="D46" s="47"/>
      <c r="E46" s="47"/>
      <c r="F46" s="47"/>
      <c r="G46" s="47"/>
      <c r="H46" s="47"/>
      <c r="I46" s="47"/>
      <c r="J46" s="287" t="s">
        <v>299</v>
      </c>
      <c r="K46" s="287"/>
      <c r="L46" s="287"/>
      <c r="M46" s="287"/>
      <c r="N46" s="202">
        <v>0</v>
      </c>
      <c r="T46" s="114"/>
      <c r="U46">
        <v>-700</v>
      </c>
      <c r="V46">
        <v>-557</v>
      </c>
      <c r="Z46" s="118">
        <f t="shared" si="0"/>
        <v>-1257</v>
      </c>
      <c r="AA46" s="20">
        <f t="shared" si="1"/>
        <v>-419</v>
      </c>
      <c r="AB46" s="258" t="s">
        <v>299</v>
      </c>
      <c r="AC46" s="258"/>
      <c r="AD46" s="258"/>
    </row>
    <row r="47" spans="1:30" ht="16.5" thickTop="1" thickBot="1">
      <c r="A47" s="47"/>
      <c r="B47" s="47"/>
      <c r="C47" s="47"/>
      <c r="F47" s="47"/>
      <c r="G47" s="47"/>
      <c r="H47" s="47"/>
      <c r="I47" s="47"/>
      <c r="J47" s="208"/>
      <c r="K47" s="208"/>
      <c r="L47" s="208"/>
      <c r="M47" s="208" t="s">
        <v>542</v>
      </c>
      <c r="N47" s="202">
        <v>0</v>
      </c>
      <c r="T47" s="114"/>
      <c r="Y47">
        <f>-198-297</f>
        <v>-495</v>
      </c>
      <c r="Z47" s="118">
        <f t="shared" si="0"/>
        <v>-495</v>
      </c>
      <c r="AA47" s="20">
        <f t="shared" si="1"/>
        <v>-247.5</v>
      </c>
      <c r="AB47" s="207"/>
      <c r="AC47" s="207"/>
      <c r="AD47" s="207"/>
    </row>
    <row r="48" spans="1:30" ht="16.5" thickTop="1" thickBot="1">
      <c r="A48" s="47"/>
      <c r="B48" s="47"/>
      <c r="C48" t="s">
        <v>516</v>
      </c>
      <c r="D48" s="47"/>
      <c r="E48" s="47"/>
      <c r="F48" s="47" t="s">
        <v>515</v>
      </c>
      <c r="G48" s="47"/>
      <c r="H48" s="47"/>
      <c r="I48" s="47"/>
      <c r="J48" s="208"/>
      <c r="K48" s="208"/>
      <c r="L48" s="208"/>
      <c r="M48" s="208" t="s">
        <v>479</v>
      </c>
      <c r="N48" s="202">
        <v>-211.42</v>
      </c>
      <c r="T48" s="114"/>
      <c r="V48">
        <v>-265.88</v>
      </c>
      <c r="Z48" s="118"/>
      <c r="AA48" s="20"/>
      <c r="AB48" s="286" t="s">
        <v>479</v>
      </c>
      <c r="AC48" s="258"/>
      <c r="AD48" s="258"/>
    </row>
    <row r="49" spans="1:30" ht="16.5" thickTop="1" thickBot="1">
      <c r="A49" s="47"/>
      <c r="B49" s="47"/>
      <c r="C49" s="47">
        <v>4</v>
      </c>
      <c r="D49" s="47"/>
      <c r="E49" s="47"/>
      <c r="F49" s="47">
        <f>C50*2</f>
        <v>1440</v>
      </c>
      <c r="G49" s="47">
        <v>5</v>
      </c>
      <c r="H49" s="47"/>
      <c r="I49" s="47"/>
      <c r="J49" s="208"/>
      <c r="K49" s="208"/>
      <c r="L49" s="208"/>
      <c r="M49" s="208" t="s">
        <v>313</v>
      </c>
      <c r="N49" s="202">
        <v>-225.97</v>
      </c>
      <c r="T49" s="114"/>
      <c r="Z49" s="118"/>
      <c r="AA49" s="20"/>
      <c r="AB49" s="207"/>
      <c r="AC49" s="207"/>
      <c r="AD49" s="207"/>
    </row>
    <row r="50" spans="1:30" ht="16.5" thickTop="1" thickBot="1">
      <c r="A50" t="s">
        <v>513</v>
      </c>
      <c r="B50" s="47">
        <v>180</v>
      </c>
      <c r="C50" s="47">
        <f>B50*C49</f>
        <v>720</v>
      </c>
      <c r="D50" s="47"/>
      <c r="E50" s="47"/>
      <c r="F50" s="47"/>
      <c r="G50" s="47">
        <v>1620</v>
      </c>
      <c r="H50" s="47"/>
      <c r="I50" s="47"/>
      <c r="J50" s="287" t="s">
        <v>481</v>
      </c>
      <c r="K50" s="287"/>
      <c r="L50" s="287"/>
      <c r="M50" s="287"/>
      <c r="N50" s="202">
        <v>0</v>
      </c>
      <c r="T50" s="114"/>
      <c r="Z50" s="118">
        <f>SUM(N50:Y50)</f>
        <v>0</v>
      </c>
      <c r="AA50" s="20">
        <f>AVERAGE(N50:Y50)</f>
        <v>0</v>
      </c>
      <c r="AB50" s="258" t="s">
        <v>264</v>
      </c>
      <c r="AC50" s="258"/>
      <c r="AD50" s="290"/>
    </row>
    <row r="51" spans="1:30" ht="16.5" thickTop="1" thickBot="1">
      <c r="A51" t="s">
        <v>514</v>
      </c>
      <c r="B51" s="47">
        <v>225</v>
      </c>
      <c r="C51" s="47">
        <f>B51*C49</f>
        <v>900</v>
      </c>
      <c r="D51" s="47"/>
      <c r="E51" s="47"/>
      <c r="F51" s="47"/>
      <c r="G51" s="47">
        <v>1125</v>
      </c>
      <c r="H51" t="s">
        <v>524</v>
      </c>
      <c r="I51" s="47"/>
      <c r="J51" s="287" t="s">
        <v>387</v>
      </c>
      <c r="K51" s="287"/>
      <c r="L51" s="287"/>
      <c r="M51" s="287"/>
      <c r="N51" s="202">
        <v>0</v>
      </c>
      <c r="U51">
        <v>-52.9</v>
      </c>
      <c r="Y51">
        <v>-429.9</v>
      </c>
      <c r="Z51" s="118">
        <f>SUM(N51:Y51)</f>
        <v>-482.79999999999995</v>
      </c>
      <c r="AA51" s="20">
        <f>AVERAGE(N51:Y51)</f>
        <v>-160.93333333333331</v>
      </c>
      <c r="AB51" s="259" t="s">
        <v>58</v>
      </c>
      <c r="AC51" s="259"/>
      <c r="AD51" s="291"/>
    </row>
    <row r="52" spans="1:30" ht="16.5" thickTop="1" thickBot="1">
      <c r="B52" s="47"/>
      <c r="C52" s="47"/>
      <c r="D52" s="47"/>
      <c r="E52" s="47"/>
      <c r="F52" s="47"/>
      <c r="H52" t="s">
        <v>523</v>
      </c>
      <c r="I52" s="47"/>
      <c r="J52" s="208"/>
      <c r="K52" s="208"/>
      <c r="L52" s="208"/>
      <c r="M52" s="208" t="s">
        <v>478</v>
      </c>
      <c r="N52" s="202">
        <f>-1601-915.2</f>
        <v>-2516.1999999999998</v>
      </c>
      <c r="Z52" s="118"/>
      <c r="AA52" s="20"/>
      <c r="AB52" s="211"/>
      <c r="AC52" s="149"/>
      <c r="AD52" s="209"/>
    </row>
    <row r="53" spans="1:30" ht="16.5" thickTop="1" thickBot="1">
      <c r="B53" s="47"/>
      <c r="C53" s="47">
        <f>9*180</f>
        <v>1620</v>
      </c>
      <c r="I53" s="47"/>
      <c r="J53" s="287" t="s">
        <v>469</v>
      </c>
      <c r="K53" s="287"/>
      <c r="L53" s="287"/>
      <c r="M53" s="288"/>
      <c r="N53" s="202">
        <v>0</v>
      </c>
      <c r="Z53" s="118"/>
      <c r="AA53" s="20"/>
      <c r="AB53" s="211" t="s">
        <v>59</v>
      </c>
      <c r="AC53" s="149"/>
      <c r="AD53" s="209"/>
    </row>
    <row r="54" spans="1:30" ht="16.5" thickTop="1" thickBot="1">
      <c r="I54" s="47"/>
      <c r="J54" s="208"/>
      <c r="K54" s="208"/>
      <c r="L54" s="208"/>
      <c r="M54" s="208" t="s">
        <v>527</v>
      </c>
      <c r="N54" s="202"/>
      <c r="U54">
        <v>-209.03</v>
      </c>
      <c r="V54">
        <v>-495.5</v>
      </c>
      <c r="Z54" s="118"/>
      <c r="AA54" s="20"/>
      <c r="AB54" s="211"/>
      <c r="AC54" s="208" t="s">
        <v>527</v>
      </c>
      <c r="AD54" s="209"/>
    </row>
    <row r="55" spans="1:30" ht="16.5" thickTop="1" thickBot="1">
      <c r="I55" s="47"/>
      <c r="J55" s="258" t="s">
        <v>246</v>
      </c>
      <c r="K55" s="258"/>
      <c r="L55" s="258"/>
      <c r="M55" s="317"/>
      <c r="N55" s="202">
        <f>-69.9-115.9</f>
        <v>-185.8</v>
      </c>
      <c r="U55">
        <v>-34.950000000000003</v>
      </c>
      <c r="V55">
        <f>-306.8-829.34</f>
        <v>-1136.1400000000001</v>
      </c>
      <c r="Y55">
        <f>-195.9-655.33-180.5-296.9</f>
        <v>-1328.63</v>
      </c>
      <c r="Z55" s="118">
        <f>SUM(N55:Y55)</f>
        <v>-2685.5200000000004</v>
      </c>
      <c r="AA55" s="20">
        <f>AVERAGE(N55:Y55)</f>
        <v>-671.38000000000011</v>
      </c>
      <c r="AB55" s="295" t="s">
        <v>246</v>
      </c>
      <c r="AC55" s="295"/>
      <c r="AD55" s="296"/>
    </row>
    <row r="56" spans="1:30" ht="16.5" thickTop="1" thickBot="1">
      <c r="I56" s="47"/>
      <c r="J56" s="208"/>
      <c r="K56" s="208"/>
      <c r="L56" s="208"/>
      <c r="M56" s="208" t="s">
        <v>492</v>
      </c>
      <c r="N56" s="202">
        <v>-670</v>
      </c>
      <c r="Z56" s="118"/>
      <c r="AA56" s="20"/>
      <c r="AB56" s="211"/>
      <c r="AC56" s="211"/>
      <c r="AD56" s="216"/>
    </row>
    <row r="57" spans="1:30" ht="16.5" thickTop="1" thickBot="1">
      <c r="I57" s="47"/>
      <c r="J57" s="208"/>
      <c r="K57" s="208"/>
      <c r="L57" s="208"/>
      <c r="M57" s="208" t="s">
        <v>494</v>
      </c>
      <c r="N57" s="202">
        <v>-40</v>
      </c>
      <c r="Y57">
        <v>-90</v>
      </c>
      <c r="Z57" s="118"/>
      <c r="AA57" s="20"/>
      <c r="AB57" s="211"/>
      <c r="AC57" s="211"/>
      <c r="AD57" s="216"/>
    </row>
    <row r="58" spans="1:30" ht="16.5" thickTop="1" thickBot="1">
      <c r="I58" s="47"/>
      <c r="J58" s="287" t="s">
        <v>268</v>
      </c>
      <c r="K58" s="287"/>
      <c r="L58" s="287"/>
      <c r="M58" s="287"/>
      <c r="N58" s="202">
        <f>-565-565-565-200-565-100</f>
        <v>-2560</v>
      </c>
      <c r="Z58" s="118">
        <f>SUM(N58:Y58)</f>
        <v>-2560</v>
      </c>
      <c r="AA58" s="20">
        <f>AVERAGE(N58:Y58)</f>
        <v>-2560</v>
      </c>
      <c r="AB58" s="295" t="s">
        <v>268</v>
      </c>
      <c r="AC58" s="295"/>
      <c r="AD58" s="296"/>
    </row>
    <row r="59" spans="1:30" ht="16.5" thickTop="1" thickBot="1">
      <c r="I59" s="47"/>
      <c r="J59" s="300" t="s">
        <v>6</v>
      </c>
      <c r="K59" s="300"/>
      <c r="L59" s="300"/>
      <c r="M59" s="300"/>
      <c r="N59" s="202">
        <f>-1003.15-786.06-996.31-981.2</f>
        <v>-3766.7200000000003</v>
      </c>
      <c r="U59">
        <f>-918.24-764</f>
        <v>-1682.24</v>
      </c>
      <c r="W59">
        <v>-896.37</v>
      </c>
      <c r="X59" s="24">
        <v>-773.81</v>
      </c>
      <c r="Y59">
        <f>-876.9-751.76-538-837.1</f>
        <v>-3003.7599999999998</v>
      </c>
      <c r="Z59" s="118">
        <f>SUM(N59:Y59)</f>
        <v>-10122.9</v>
      </c>
      <c r="AA59" s="20">
        <f>AVERAGE(N59:Y59)</f>
        <v>-2024.58</v>
      </c>
      <c r="AB59" s="265" t="s">
        <v>6</v>
      </c>
      <c r="AC59" s="265"/>
      <c r="AD59" s="301"/>
    </row>
    <row r="60" spans="1:30" ht="16.5" thickTop="1" thickBot="1">
      <c r="J60" s="302" t="s">
        <v>60</v>
      </c>
      <c r="K60" s="302"/>
      <c r="L60" s="302"/>
      <c r="M60" s="302"/>
      <c r="N60" s="202">
        <v>0</v>
      </c>
      <c r="Y60">
        <f>-1945.65</f>
        <v>-1945.65</v>
      </c>
      <c r="Z60" s="118">
        <f>SUM(N60:Y60)</f>
        <v>-1945.65</v>
      </c>
      <c r="AA60" s="20">
        <f>AVERAGE(N60:Y60)</f>
        <v>-972.82500000000005</v>
      </c>
      <c r="AB60" s="303" t="s">
        <v>60</v>
      </c>
      <c r="AC60" s="303"/>
      <c r="AD60" s="303"/>
    </row>
    <row r="61" spans="1:30" ht="16.5" thickTop="1" thickBot="1">
      <c r="J61" s="300" t="s">
        <v>443</v>
      </c>
      <c r="K61" s="300"/>
      <c r="L61" s="300"/>
      <c r="M61" s="300"/>
      <c r="N61" s="202">
        <v>0</v>
      </c>
      <c r="Z61" s="118"/>
      <c r="AA61" s="20"/>
      <c r="AB61" s="187"/>
      <c r="AC61" s="187"/>
      <c r="AD61" s="187"/>
    </row>
    <row r="62" spans="1:30" ht="16.5" thickTop="1" thickBot="1">
      <c r="J62" s="304" t="s">
        <v>539</v>
      </c>
      <c r="K62" s="305"/>
      <c r="L62" s="305"/>
      <c r="M62" s="306"/>
      <c r="N62" s="202"/>
      <c r="Y62">
        <f>27.48+274.8</f>
        <v>302.28000000000003</v>
      </c>
      <c r="Z62" s="118"/>
      <c r="AA62" s="20"/>
      <c r="AB62" s="187"/>
      <c r="AC62" s="187"/>
      <c r="AD62" s="187"/>
    </row>
    <row r="63" spans="1:30" ht="16.5" thickTop="1" thickBot="1">
      <c r="J63" s="311" t="s">
        <v>540</v>
      </c>
      <c r="K63" s="311"/>
      <c r="L63" s="311"/>
      <c r="M63" s="312"/>
      <c r="N63" s="202"/>
      <c r="V63">
        <f>-26-5-102.44-15.36</f>
        <v>-148.80000000000001</v>
      </c>
      <c r="Y63">
        <f>-5-5-35-36</f>
        <v>-81</v>
      </c>
      <c r="Z63" s="118"/>
      <c r="AA63" s="20"/>
      <c r="AB63" s="187"/>
      <c r="AC63" s="187"/>
      <c r="AD63" s="187"/>
    </row>
    <row r="64" spans="1:30" ht="16.5" thickTop="1" thickBot="1">
      <c r="J64" s="313" t="s">
        <v>298</v>
      </c>
      <c r="K64" s="313"/>
      <c r="L64" s="313"/>
      <c r="M64" s="313"/>
      <c r="N64" s="202">
        <v>132</v>
      </c>
      <c r="Z64" s="118">
        <f>SUM(N64:Y64)</f>
        <v>132</v>
      </c>
      <c r="AA64" s="20">
        <f>AVERAGE(N64:Y64)</f>
        <v>132</v>
      </c>
      <c r="AB64" s="297" t="s">
        <v>298</v>
      </c>
      <c r="AC64" s="297"/>
      <c r="AD64" s="297"/>
    </row>
    <row r="65" spans="10:30" ht="16.5" thickTop="1" thickBot="1">
      <c r="J65" s="215"/>
      <c r="K65" s="215"/>
      <c r="L65" s="215"/>
      <c r="M65" s="215" t="s">
        <v>490</v>
      </c>
      <c r="N65" s="202">
        <v>-326.31</v>
      </c>
      <c r="Z65" s="118"/>
      <c r="AA65" s="20"/>
      <c r="AB65" s="214"/>
      <c r="AC65" s="214"/>
      <c r="AD65" s="214"/>
    </row>
    <row r="66" spans="10:30" ht="16.5" thickTop="1" thickBot="1">
      <c r="J66" s="287" t="s">
        <v>297</v>
      </c>
      <c r="K66" s="287"/>
      <c r="L66" s="287"/>
      <c r="M66" s="287"/>
      <c r="N66" s="203">
        <v>0</v>
      </c>
      <c r="Z66" s="118">
        <f>SUM(N66:Y66)</f>
        <v>0</v>
      </c>
      <c r="AA66" s="20">
        <f>AVERAGE(N66:Y66)</f>
        <v>0</v>
      </c>
      <c r="AB66" s="258" t="s">
        <v>297</v>
      </c>
      <c r="AC66" s="258"/>
      <c r="AD66" s="258"/>
    </row>
    <row r="67" spans="10:30" ht="16.5" thickTop="1" thickBot="1">
      <c r="J67" s="298" t="s">
        <v>300</v>
      </c>
      <c r="K67" s="298"/>
      <c r="L67" s="298"/>
      <c r="M67" s="299"/>
      <c r="N67" s="115">
        <f>SUM(N5:N66)</f>
        <v>-18236.870000000003</v>
      </c>
      <c r="O67" s="115">
        <f t="shared" ref="O67:Y67" si="2">SUM(O4:O66)</f>
        <v>-272</v>
      </c>
      <c r="P67" s="115">
        <f t="shared" si="2"/>
        <v>414.9</v>
      </c>
      <c r="Q67" s="115">
        <f t="shared" si="2"/>
        <v>0</v>
      </c>
      <c r="R67" s="115">
        <f t="shared" si="2"/>
        <v>0</v>
      </c>
      <c r="S67" s="115">
        <f t="shared" si="2"/>
        <v>0</v>
      </c>
      <c r="T67" s="115">
        <f t="shared" si="2"/>
        <v>0</v>
      </c>
      <c r="U67" s="115">
        <f t="shared" si="2"/>
        <v>-20175.060000000001</v>
      </c>
      <c r="V67" s="115">
        <f t="shared" si="2"/>
        <v>-16294.289999999997</v>
      </c>
      <c r="W67" s="115">
        <f t="shared" si="2"/>
        <v>-896.37</v>
      </c>
      <c r="X67" s="115">
        <f t="shared" si="2"/>
        <v>-773.81</v>
      </c>
      <c r="Y67" s="115">
        <f t="shared" si="2"/>
        <v>-19017.849999999999</v>
      </c>
      <c r="Z67" s="145">
        <f>SUM(Z4:Z66)+Z2-Z3</f>
        <v>384432.61000000004</v>
      </c>
      <c r="AA67" s="146">
        <f>SUM(AA4:AA66)+AA2-AA3</f>
        <v>21567.162500000006</v>
      </c>
    </row>
    <row r="68" spans="10:30" ht="15.75" thickBot="1">
      <c r="J68" s="307" t="s">
        <v>61</v>
      </c>
      <c r="K68" s="307"/>
      <c r="L68" s="307"/>
      <c r="M68" s="308"/>
      <c r="N68" s="140">
        <f>N2+SUM(N4:N66)-N3</f>
        <v>-7491.7500000000018</v>
      </c>
      <c r="O68" s="141">
        <f>O2 + SUM(O4:O66)-O3</f>
        <v>10967.41</v>
      </c>
      <c r="P68" s="141">
        <f>P2 + SUM(P4:P66)-P3</f>
        <v>29838.090000000004</v>
      </c>
      <c r="Q68" s="141">
        <f>Q2 +SUM(Q4:Q66)-Q3</f>
        <v>45873.82</v>
      </c>
      <c r="R68" s="141">
        <f t="shared" ref="R68:Y68" si="3">R2+SUM(R4:R66)-R3</f>
        <v>42465.77</v>
      </c>
      <c r="S68" s="142">
        <f t="shared" si="3"/>
        <v>42352.36</v>
      </c>
      <c r="T68" s="142">
        <f t="shared" si="3"/>
        <v>42352.36</v>
      </c>
      <c r="U68" s="141">
        <f t="shared" si="3"/>
        <v>18115.3</v>
      </c>
      <c r="V68" s="141">
        <f t="shared" si="3"/>
        <v>21582.48</v>
      </c>
      <c r="W68" s="141">
        <f t="shared" si="3"/>
        <v>37451.399999999994</v>
      </c>
      <c r="X68" s="141">
        <f t="shared" si="3"/>
        <v>38305.96</v>
      </c>
      <c r="Y68" s="143">
        <f t="shared" si="3"/>
        <v>20379.919999999998</v>
      </c>
    </row>
    <row r="69" spans="10:30">
      <c r="J69" s="309" t="s">
        <v>62</v>
      </c>
      <c r="K69" s="309"/>
      <c r="L69" s="309"/>
      <c r="M69" s="309"/>
      <c r="N69" s="61">
        <f>N68</f>
        <v>-7491.7500000000018</v>
      </c>
      <c r="O69" s="61">
        <f>SUM(N68:O68)</f>
        <v>3475.659999999998</v>
      </c>
      <c r="P69" s="61">
        <f>SUM(N68:P68)</f>
        <v>33313.75</v>
      </c>
      <c r="Q69" s="61">
        <f>SUM(N68:Q68)</f>
        <v>79187.570000000007</v>
      </c>
      <c r="R69" s="61">
        <f>SUM(N68:R68)</f>
        <v>121653.34</v>
      </c>
      <c r="S69" s="61">
        <f>SUM(N68:S68)</f>
        <v>164005.70000000001</v>
      </c>
      <c r="T69" s="61">
        <f>SUM(N68:T68)</f>
        <v>206358.06</v>
      </c>
      <c r="U69" s="61">
        <f>SUM(N68:U68)</f>
        <v>224473.36</v>
      </c>
      <c r="V69" s="61">
        <f>SUM(N68:V68)</f>
        <v>246055.84</v>
      </c>
      <c r="W69" s="61">
        <f>SUM(N68:W68)</f>
        <v>283507.24</v>
      </c>
      <c r="X69" s="61">
        <f>SUM(N68:X68)</f>
        <v>321813.2</v>
      </c>
      <c r="Y69" s="61">
        <f>SUM(N68:Y68)</f>
        <v>342193.12</v>
      </c>
    </row>
    <row r="70" spans="10:30">
      <c r="J70" s="47"/>
      <c r="K70" s="47"/>
      <c r="L70" s="57"/>
      <c r="M70" s="57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</row>
    <row r="71" spans="10:30">
      <c r="J71" s="47"/>
      <c r="K71" s="47"/>
      <c r="L71" s="47"/>
      <c r="M71" s="47"/>
      <c r="X71" s="24" t="s">
        <v>545</v>
      </c>
    </row>
    <row r="72" spans="10:30">
      <c r="J72" s="47"/>
      <c r="K72" s="47"/>
      <c r="L72" s="47"/>
      <c r="M72" s="47"/>
      <c r="N72" s="16" t="s">
        <v>501</v>
      </c>
      <c r="U72" t="s">
        <v>537</v>
      </c>
    </row>
    <row r="73" spans="10:30">
      <c r="J73" s="47"/>
      <c r="K73" s="47"/>
      <c r="L73" s="47"/>
      <c r="M73" s="47"/>
    </row>
    <row r="74" spans="10:30">
      <c r="J74" s="47"/>
      <c r="K74" s="47"/>
      <c r="L74" s="47"/>
      <c r="M74" s="47"/>
      <c r="Z74" s="47"/>
      <c r="AA74" s="47"/>
    </row>
    <row r="75" spans="10:30">
      <c r="J75" s="47"/>
      <c r="K75" s="47"/>
      <c r="L75" s="47"/>
      <c r="M75" s="47"/>
      <c r="Z75" s="47"/>
      <c r="AA75" s="47"/>
    </row>
    <row r="76" spans="10:30">
      <c r="J76" s="47"/>
      <c r="K76" s="47"/>
      <c r="L76" s="47"/>
      <c r="M76" s="47"/>
      <c r="Z76" s="47"/>
      <c r="AA76" s="47"/>
    </row>
    <row r="77" spans="10:30">
      <c r="J77" s="47"/>
      <c r="K77" s="47"/>
      <c r="L77" s="47"/>
      <c r="M77" s="47"/>
      <c r="Z77" s="47"/>
      <c r="AA77" s="47"/>
    </row>
    <row r="78" spans="10:30">
      <c r="J78" s="47"/>
      <c r="K78" s="87"/>
      <c r="L78" t="s">
        <v>401</v>
      </c>
      <c r="M78" s="47">
        <v>4387.8500000000004</v>
      </c>
      <c r="N78" s="47"/>
      <c r="O78" s="47"/>
      <c r="Q78" s="47"/>
      <c r="W78" s="47"/>
      <c r="X78" s="47"/>
      <c r="Y78" s="47"/>
      <c r="Z78" s="47"/>
      <c r="AA78" s="47"/>
    </row>
    <row r="79" spans="10:30">
      <c r="J79" s="47"/>
      <c r="K79" s="47"/>
      <c r="L79" s="47"/>
      <c r="M79" s="47"/>
      <c r="N79" s="47"/>
      <c r="O79" s="47"/>
      <c r="P79" s="47"/>
      <c r="Q79" s="47"/>
      <c r="W79" s="47"/>
      <c r="X79" s="47"/>
      <c r="Y79" s="47"/>
      <c r="Z79" s="47"/>
      <c r="AA79" s="47"/>
    </row>
    <row r="80" spans="10:30">
      <c r="J80" s="24" t="s">
        <v>441</v>
      </c>
      <c r="K80" s="61" t="s">
        <v>31</v>
      </c>
      <c r="L80" s="61" t="s">
        <v>32</v>
      </c>
      <c r="M80" s="61" t="s">
        <v>33</v>
      </c>
      <c r="N80" s="61" t="s">
        <v>34</v>
      </c>
      <c r="O80" s="61" t="s">
        <v>35</v>
      </c>
      <c r="P80" s="61" t="s">
        <v>36</v>
      </c>
      <c r="Q80" s="61" t="s">
        <v>37</v>
      </c>
      <c r="R80" s="61" t="s">
        <v>38</v>
      </c>
      <c r="S80" s="61" t="s">
        <v>39</v>
      </c>
      <c r="T80" s="61" t="s">
        <v>40</v>
      </c>
      <c r="U80" s="61" t="s">
        <v>29</v>
      </c>
      <c r="V80" s="61" t="s">
        <v>30</v>
      </c>
      <c r="W80" s="47"/>
      <c r="X80" s="47"/>
      <c r="Y80" s="47"/>
      <c r="Z80" s="47"/>
      <c r="AA80" s="47"/>
    </row>
    <row r="81" spans="8:27">
      <c r="J81" s="52" t="s">
        <v>41</v>
      </c>
      <c r="K81" s="93"/>
      <c r="L81" s="93"/>
      <c r="M81" s="93">
        <v>2500</v>
      </c>
      <c r="N81" s="93">
        <v>2500</v>
      </c>
      <c r="O81" s="93">
        <v>2500</v>
      </c>
      <c r="P81" s="93">
        <v>2500</v>
      </c>
      <c r="Q81" s="93">
        <v>2500</v>
      </c>
      <c r="R81" s="93"/>
      <c r="S81" s="93"/>
      <c r="T81" s="93"/>
      <c r="U81" s="93"/>
      <c r="V81" s="93"/>
      <c r="W81" s="47"/>
      <c r="X81" s="47"/>
      <c r="Y81" s="47"/>
      <c r="Z81" s="47"/>
      <c r="AA81" s="47"/>
    </row>
    <row r="82" spans="8:27">
      <c r="J82" s="52" t="s">
        <v>42</v>
      </c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47"/>
      <c r="X82" s="47"/>
      <c r="Y82" s="47"/>
      <c r="Z82" s="47"/>
      <c r="AA82" s="47"/>
    </row>
    <row r="83" spans="8:27">
      <c r="J83" s="52" t="s">
        <v>43</v>
      </c>
      <c r="K83" s="95">
        <v>1302.06</v>
      </c>
      <c r="L83" s="96">
        <f>K83+L81+L82</f>
        <v>1302.06</v>
      </c>
      <c r="M83" s="96">
        <f t="shared" ref="M83:T83" si="4">L83+M81+M82</f>
        <v>3802.06</v>
      </c>
      <c r="N83" s="96">
        <f t="shared" si="4"/>
        <v>6302.0599999999995</v>
      </c>
      <c r="O83" s="96">
        <f t="shared" si="4"/>
        <v>8802.06</v>
      </c>
      <c r="P83" s="96">
        <f t="shared" si="4"/>
        <v>11302.06</v>
      </c>
      <c r="Q83" s="96">
        <f t="shared" si="4"/>
        <v>13802.06</v>
      </c>
      <c r="R83" s="96">
        <f t="shared" si="4"/>
        <v>13802.06</v>
      </c>
      <c r="S83" s="96">
        <f t="shared" si="4"/>
        <v>13802.06</v>
      </c>
      <c r="T83" s="96">
        <f t="shared" si="4"/>
        <v>13802.06</v>
      </c>
      <c r="U83" s="96">
        <f>T83+U81+U82</f>
        <v>13802.06</v>
      </c>
      <c r="V83" s="96">
        <f>U83+V81+V82</f>
        <v>13802.06</v>
      </c>
      <c r="W83" s="47"/>
      <c r="X83" s="47"/>
      <c r="Y83" s="47"/>
      <c r="Z83" s="47"/>
      <c r="AA83" s="47"/>
    </row>
    <row r="84" spans="8:27">
      <c r="J84" s="47"/>
      <c r="K84" s="47"/>
      <c r="L84" s="47"/>
      <c r="M84" s="47"/>
      <c r="N84" s="47"/>
      <c r="O84" s="47"/>
      <c r="P84" s="47"/>
      <c r="V84" s="47"/>
      <c r="W84" s="47"/>
      <c r="X84" s="47"/>
      <c r="Y84" s="47"/>
      <c r="Z84" s="47"/>
      <c r="AA84" s="47"/>
    </row>
    <row r="85" spans="8:27">
      <c r="H85" t="s">
        <v>240</v>
      </c>
      <c r="J85" s="47"/>
      <c r="K85" s="47"/>
      <c r="L85" s="47"/>
      <c r="M85" s="47"/>
      <c r="N85" s="47"/>
      <c r="O85" s="47"/>
      <c r="P85" s="47"/>
      <c r="Q85" s="310"/>
      <c r="R85" s="310"/>
      <c r="V85" s="47"/>
      <c r="W85" s="47"/>
      <c r="X85" s="47"/>
      <c r="Y85" s="47"/>
      <c r="Z85" s="47"/>
      <c r="AA85" s="47"/>
    </row>
    <row r="86" spans="8:27" ht="15.75" thickBot="1">
      <c r="H86" s="62">
        <v>58000</v>
      </c>
      <c r="J86" s="47">
        <v>2020</v>
      </c>
      <c r="K86" s="47"/>
      <c r="L86" s="47"/>
      <c r="M86" s="47"/>
      <c r="N86" s="47"/>
      <c r="O86" s="47"/>
      <c r="P86" s="47"/>
      <c r="V86" s="47"/>
      <c r="W86" s="47"/>
      <c r="X86" s="47"/>
      <c r="Y86" s="47"/>
      <c r="Z86" s="47"/>
      <c r="AA86" s="47"/>
    </row>
    <row r="87" spans="8:27" ht="18.75">
      <c r="J87" s="88" t="s">
        <v>139</v>
      </c>
      <c r="K87" s="61" t="s">
        <v>31</v>
      </c>
      <c r="L87" s="61" t="s">
        <v>32</v>
      </c>
      <c r="M87" s="61" t="s">
        <v>33</v>
      </c>
      <c r="N87" s="61" t="s">
        <v>34</v>
      </c>
      <c r="O87" s="61" t="s">
        <v>35</v>
      </c>
      <c r="P87" s="61" t="s">
        <v>36</v>
      </c>
      <c r="Q87" s="61" t="s">
        <v>37</v>
      </c>
      <c r="R87" s="61" t="s">
        <v>38</v>
      </c>
      <c r="S87" s="61" t="s">
        <v>39</v>
      </c>
      <c r="T87" s="61" t="s">
        <v>40</v>
      </c>
      <c r="U87" s="61" t="s">
        <v>29</v>
      </c>
      <c r="V87" s="61" t="s">
        <v>30</v>
      </c>
      <c r="W87" s="47"/>
      <c r="X87" s="98" t="s">
        <v>159</v>
      </c>
      <c r="Y87" s="47"/>
      <c r="Z87" s="47"/>
      <c r="AA87" s="47"/>
    </row>
    <row r="88" spans="8:27">
      <c r="J88" s="52" t="s">
        <v>140</v>
      </c>
      <c r="K88" s="93">
        <v>2000</v>
      </c>
      <c r="L88" s="93">
        <v>2000</v>
      </c>
      <c r="M88" s="93">
        <v>2000</v>
      </c>
      <c r="N88" s="93">
        <v>2000</v>
      </c>
      <c r="O88" s="93">
        <v>2000</v>
      </c>
      <c r="P88" s="93">
        <v>2000</v>
      </c>
      <c r="Q88" s="93">
        <v>2000</v>
      </c>
      <c r="R88" s="93">
        <v>2000</v>
      </c>
      <c r="S88" s="93">
        <v>2000</v>
      </c>
      <c r="T88" s="93">
        <v>2000</v>
      </c>
      <c r="U88" s="93">
        <v>2000</v>
      </c>
      <c r="V88" s="93">
        <v>3000</v>
      </c>
      <c r="W88" s="47"/>
      <c r="X88" s="100">
        <v>120000</v>
      </c>
      <c r="Y88" s="47"/>
      <c r="Z88" s="47"/>
      <c r="AA88" s="47"/>
    </row>
    <row r="89" spans="8:27" ht="15.75" thickBot="1">
      <c r="J89" s="52" t="s">
        <v>42</v>
      </c>
      <c r="K89" s="94">
        <v>0</v>
      </c>
      <c r="L89" s="94">
        <v>0</v>
      </c>
      <c r="M89" s="94">
        <v>0</v>
      </c>
      <c r="N89" s="94">
        <v>0</v>
      </c>
      <c r="O89" s="94">
        <v>0</v>
      </c>
      <c r="P89" s="94">
        <v>0</v>
      </c>
      <c r="Q89" s="94">
        <v>0</v>
      </c>
      <c r="R89" s="94">
        <v>0</v>
      </c>
      <c r="S89" s="94">
        <v>0</v>
      </c>
      <c r="T89" s="94">
        <v>0</v>
      </c>
      <c r="U89" s="94">
        <v>0</v>
      </c>
      <c r="V89" s="101">
        <v>0</v>
      </c>
      <c r="W89" s="47"/>
      <c r="X89" s="62">
        <f>V90</f>
        <v>83000</v>
      </c>
      <c r="Y89" s="47"/>
      <c r="Z89" s="47"/>
      <c r="AA89" s="47"/>
    </row>
    <row r="90" spans="8:27" ht="15.75" thickBot="1">
      <c r="J90" s="52" t="s">
        <v>43</v>
      </c>
      <c r="K90" s="96">
        <f>K88+H86</f>
        <v>60000</v>
      </c>
      <c r="L90" s="96">
        <f>K90+L88+L89</f>
        <v>62000</v>
      </c>
      <c r="M90" s="96">
        <f t="shared" ref="M90:V90" si="5">L90+M88+M89</f>
        <v>64000</v>
      </c>
      <c r="N90" s="96">
        <f t="shared" si="5"/>
        <v>66000</v>
      </c>
      <c r="O90" s="96">
        <f t="shared" si="5"/>
        <v>68000</v>
      </c>
      <c r="P90" s="96">
        <f t="shared" si="5"/>
        <v>70000</v>
      </c>
      <c r="Q90" s="96">
        <f t="shared" si="5"/>
        <v>72000</v>
      </c>
      <c r="R90" s="96">
        <f t="shared" si="5"/>
        <v>74000</v>
      </c>
      <c r="S90" s="96">
        <f t="shared" si="5"/>
        <v>76000</v>
      </c>
      <c r="T90" s="96">
        <f t="shared" si="5"/>
        <v>78000</v>
      </c>
      <c r="U90" s="96">
        <f t="shared" si="5"/>
        <v>80000</v>
      </c>
      <c r="V90" s="102">
        <f t="shared" si="5"/>
        <v>83000</v>
      </c>
      <c r="W90" s="47"/>
      <c r="X90" s="103">
        <f>X88-V90</f>
        <v>37000</v>
      </c>
      <c r="Y90" s="47"/>
    </row>
    <row r="91" spans="8:27">
      <c r="H91" t="s">
        <v>240</v>
      </c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spans="8:27" ht="15.75" thickBot="1">
      <c r="H92" s="62">
        <v>83000</v>
      </c>
      <c r="J92" s="47">
        <v>2021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W92" s="47"/>
      <c r="X92" s="47"/>
      <c r="Y92" s="47"/>
    </row>
    <row r="93" spans="8:27" ht="18.75">
      <c r="J93" s="88" t="s">
        <v>139</v>
      </c>
      <c r="K93" s="61" t="s">
        <v>31</v>
      </c>
      <c r="L93" s="61" t="s">
        <v>32</v>
      </c>
      <c r="M93" s="61" t="s">
        <v>33</v>
      </c>
      <c r="N93" s="61" t="s">
        <v>34</v>
      </c>
      <c r="O93" s="61" t="s">
        <v>35</v>
      </c>
      <c r="P93" s="61" t="s">
        <v>36</v>
      </c>
      <c r="Q93" s="61" t="s">
        <v>37</v>
      </c>
      <c r="R93" s="61" t="s">
        <v>38</v>
      </c>
      <c r="S93" s="61" t="s">
        <v>39</v>
      </c>
      <c r="T93" s="61" t="s">
        <v>40</v>
      </c>
      <c r="U93" s="61" t="s">
        <v>29</v>
      </c>
      <c r="V93" s="61" t="s">
        <v>30</v>
      </c>
      <c r="W93" s="47"/>
      <c r="X93" s="98" t="s">
        <v>159</v>
      </c>
    </row>
    <row r="94" spans="8:27">
      <c r="J94" s="52" t="s">
        <v>140</v>
      </c>
      <c r="K94" s="93">
        <v>2000</v>
      </c>
      <c r="L94" s="93">
        <v>2000</v>
      </c>
      <c r="M94" s="93">
        <v>2000</v>
      </c>
      <c r="N94" s="93">
        <v>2000</v>
      </c>
      <c r="O94" s="93">
        <v>2000</v>
      </c>
      <c r="P94" s="93">
        <v>2000</v>
      </c>
      <c r="Q94" s="93">
        <v>2000</v>
      </c>
      <c r="R94" s="93">
        <v>2000</v>
      </c>
      <c r="S94" s="93">
        <v>2000</v>
      </c>
      <c r="T94" s="93">
        <v>2000</v>
      </c>
      <c r="U94" s="93">
        <v>2000</v>
      </c>
      <c r="V94" s="93">
        <v>2000</v>
      </c>
      <c r="W94" s="47"/>
      <c r="X94" s="100">
        <v>120000</v>
      </c>
    </row>
    <row r="95" spans="8:27" ht="15.75" thickBot="1">
      <c r="J95" s="52" t="s">
        <v>42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  <c r="V95" s="101">
        <v>0</v>
      </c>
      <c r="W95" s="47"/>
      <c r="X95" s="62">
        <f>V96</f>
        <v>107000</v>
      </c>
    </row>
    <row r="96" spans="8:27" ht="15.75" thickBot="1">
      <c r="J96" s="52" t="s">
        <v>43</v>
      </c>
      <c r="K96" s="96">
        <f>K94+H92</f>
        <v>85000</v>
      </c>
      <c r="L96" s="96">
        <f t="shared" ref="L96:V96" si="6">K96+L94+L95</f>
        <v>87000</v>
      </c>
      <c r="M96" s="96">
        <f t="shared" si="6"/>
        <v>89000</v>
      </c>
      <c r="N96" s="96">
        <f t="shared" si="6"/>
        <v>91000</v>
      </c>
      <c r="O96" s="96">
        <f t="shared" si="6"/>
        <v>93000</v>
      </c>
      <c r="P96" s="96">
        <f t="shared" si="6"/>
        <v>95000</v>
      </c>
      <c r="Q96" s="96">
        <f t="shared" si="6"/>
        <v>97000</v>
      </c>
      <c r="R96" s="96">
        <f t="shared" si="6"/>
        <v>99000</v>
      </c>
      <c r="S96" s="96">
        <f t="shared" si="6"/>
        <v>101000</v>
      </c>
      <c r="T96" s="96">
        <f t="shared" si="6"/>
        <v>103000</v>
      </c>
      <c r="U96" s="96">
        <f t="shared" si="6"/>
        <v>105000</v>
      </c>
      <c r="V96" s="102">
        <f t="shared" si="6"/>
        <v>107000</v>
      </c>
      <c r="W96" s="47"/>
      <c r="X96" s="103">
        <f>X94-V96</f>
        <v>13000</v>
      </c>
    </row>
    <row r="97" spans="8:24">
      <c r="H97" t="s">
        <v>240</v>
      </c>
    </row>
    <row r="98" spans="8:24" ht="15.75" thickBot="1">
      <c r="H98" s="62">
        <v>107000</v>
      </c>
      <c r="J98">
        <v>2022</v>
      </c>
    </row>
    <row r="99" spans="8:24" ht="19.5" thickBot="1">
      <c r="J99" s="88" t="s">
        <v>139</v>
      </c>
      <c r="K99" s="61" t="s">
        <v>31</v>
      </c>
      <c r="L99" s="61" t="s">
        <v>32</v>
      </c>
      <c r="M99" s="61" t="s">
        <v>33</v>
      </c>
      <c r="N99" s="61" t="s">
        <v>34</v>
      </c>
      <c r="O99" s="61" t="s">
        <v>35</v>
      </c>
      <c r="P99" s="61" t="s">
        <v>36</v>
      </c>
      <c r="Q99" s="221" t="s">
        <v>37</v>
      </c>
      <c r="R99" s="61" t="s">
        <v>38</v>
      </c>
      <c r="S99" s="61" t="s">
        <v>39</v>
      </c>
      <c r="T99" s="61" t="s">
        <v>40</v>
      </c>
      <c r="U99" s="61" t="s">
        <v>29</v>
      </c>
      <c r="V99" s="61" t="s">
        <v>30</v>
      </c>
      <c r="W99" s="47"/>
      <c r="X99" s="98" t="s">
        <v>159</v>
      </c>
    </row>
    <row r="100" spans="8:24" ht="15.75" thickTop="1">
      <c r="J100" s="52" t="s">
        <v>140</v>
      </c>
      <c r="K100" s="93">
        <v>2000</v>
      </c>
      <c r="L100" s="93">
        <v>2000</v>
      </c>
      <c r="M100" s="93">
        <v>2000</v>
      </c>
      <c r="N100" s="93">
        <v>2000</v>
      </c>
      <c r="O100" s="93">
        <v>2000</v>
      </c>
      <c r="P100" s="93">
        <v>2000</v>
      </c>
      <c r="Q100" s="93">
        <v>1000</v>
      </c>
      <c r="R100">
        <v>0</v>
      </c>
      <c r="S100">
        <v>0</v>
      </c>
      <c r="T100">
        <v>0</v>
      </c>
      <c r="U100">
        <v>0</v>
      </c>
      <c r="V100">
        <v>0</v>
      </c>
      <c r="W100" s="47"/>
      <c r="X100" s="100">
        <v>120000</v>
      </c>
    </row>
    <row r="101" spans="8:24" ht="15.75" thickBot="1">
      <c r="J101" s="52" t="s">
        <v>42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47"/>
      <c r="X101" s="62">
        <f>V102</f>
        <v>0</v>
      </c>
    </row>
    <row r="102" spans="8:24" ht="15.75" thickBot="1">
      <c r="J102" s="52" t="s">
        <v>43</v>
      </c>
      <c r="K102" s="96">
        <f>K100+H98</f>
        <v>109000</v>
      </c>
      <c r="L102" s="96">
        <f t="shared" ref="L102:Q102" si="7">K102+L100+L101</f>
        <v>111000</v>
      </c>
      <c r="M102" s="96">
        <f t="shared" si="7"/>
        <v>113000</v>
      </c>
      <c r="N102" s="96">
        <f t="shared" si="7"/>
        <v>115000</v>
      </c>
      <c r="O102" s="96">
        <f t="shared" si="7"/>
        <v>117000</v>
      </c>
      <c r="P102" s="96">
        <f t="shared" si="7"/>
        <v>119000</v>
      </c>
      <c r="Q102" s="96">
        <f t="shared" si="7"/>
        <v>120000</v>
      </c>
      <c r="W102" s="47"/>
      <c r="X102" s="103">
        <f>X100-V102</f>
        <v>120000</v>
      </c>
    </row>
  </sheetData>
  <mergeCells count="56">
    <mergeCell ref="AB30:AD30"/>
    <mergeCell ref="AB25:AD25"/>
    <mergeCell ref="AB31:AD31"/>
    <mergeCell ref="AB37:AD37"/>
    <mergeCell ref="J24:M24"/>
    <mergeCell ref="J31:M31"/>
    <mergeCell ref="J37:M37"/>
    <mergeCell ref="J36:M36"/>
    <mergeCell ref="AB36:AD36"/>
    <mergeCell ref="A1:B1"/>
    <mergeCell ref="AB3:AD3"/>
    <mergeCell ref="AB4:AD4"/>
    <mergeCell ref="AB19:AD19"/>
    <mergeCell ref="AB21:AD21"/>
    <mergeCell ref="J19:M19"/>
    <mergeCell ref="J21:M21"/>
    <mergeCell ref="AB5:AD5"/>
    <mergeCell ref="AB16:AD16"/>
    <mergeCell ref="AB51:AD51"/>
    <mergeCell ref="J46:M46"/>
    <mergeCell ref="J50:M50"/>
    <mergeCell ref="J51:M51"/>
    <mergeCell ref="AB39:AD39"/>
    <mergeCell ref="AB44:AD44"/>
    <mergeCell ref="AB45:AD45"/>
    <mergeCell ref="J39:M39"/>
    <mergeCell ref="J44:M44"/>
    <mergeCell ref="J45:M45"/>
    <mergeCell ref="AB48:AD48"/>
    <mergeCell ref="Q85:R85"/>
    <mergeCell ref="J4:M4"/>
    <mergeCell ref="AB60:AD60"/>
    <mergeCell ref="AB64:AD64"/>
    <mergeCell ref="AB66:AD66"/>
    <mergeCell ref="J60:M60"/>
    <mergeCell ref="J61:M61"/>
    <mergeCell ref="J64:M64"/>
    <mergeCell ref="AB55:AD55"/>
    <mergeCell ref="AB58:AD58"/>
    <mergeCell ref="AB59:AD59"/>
    <mergeCell ref="J55:M55"/>
    <mergeCell ref="J58:M58"/>
    <mergeCell ref="J59:M59"/>
    <mergeCell ref="AB46:AD46"/>
    <mergeCell ref="AB50:AD50"/>
    <mergeCell ref="J66:M66"/>
    <mergeCell ref="J67:M67"/>
    <mergeCell ref="J68:M68"/>
    <mergeCell ref="J69:M69"/>
    <mergeCell ref="J1:M1"/>
    <mergeCell ref="J2:M2"/>
    <mergeCell ref="J3:M3"/>
    <mergeCell ref="J53:M53"/>
    <mergeCell ref="J25:M25"/>
    <mergeCell ref="J62:M62"/>
    <mergeCell ref="J63:M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SALARIS</vt:lpstr>
      <vt:lpstr>Kos</vt:lpstr>
      <vt:lpstr>Psig</vt:lpstr>
      <vt:lpstr>Timesheet</vt:lpstr>
      <vt:lpstr>Elyssa begroting</vt:lpstr>
      <vt:lpstr>2023</vt:lpstr>
      <vt:lpstr>2022</vt:lpstr>
      <vt:lpstr>2021</vt:lpstr>
      <vt:lpstr>2020</vt:lpstr>
      <vt:lpstr>2019</vt:lpstr>
      <vt:lpstr>2018</vt:lpstr>
      <vt:lpstr>2017 (2)</vt:lpstr>
      <vt:lpstr>2017</vt:lpstr>
      <vt:lpstr>2016</vt:lpstr>
      <vt:lpstr>2015</vt:lpstr>
      <vt:lpstr>Huis</vt:lpstr>
    </vt:vector>
  </TitlesOfParts>
  <Company>Avanade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Hougaard</dc:creator>
  <cp:lastModifiedBy>Nico Hougaard</cp:lastModifiedBy>
  <dcterms:created xsi:type="dcterms:W3CDTF">2013-01-30T08:15:10Z</dcterms:created>
  <dcterms:modified xsi:type="dcterms:W3CDTF">2023-09-18T07:27:15Z</dcterms:modified>
</cp:coreProperties>
</file>