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ejrouse\Desktop\ROUSE\Michigan\ROB 311\Lectures\"/>
    </mc:Choice>
  </mc:AlternateContent>
  <xr:revisionPtr revIDLastSave="0" documentId="13_ncr:1_{575447A1-29EE-47EB-9458-937D031BB615}" xr6:coauthVersionLast="36" xr6:coauthVersionMax="36" xr10:uidLastSave="{00000000-0000-0000-0000-000000000000}"/>
  <bookViews>
    <workbookView xWindow="0" yWindow="0" windowWidth="19187" windowHeight="6427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C15" i="1"/>
  <c r="DG28" i="1" l="1"/>
  <c r="DB28" i="1"/>
  <c r="CY28" i="1"/>
  <c r="CT28" i="1"/>
  <c r="CR27" i="1"/>
  <c r="CR26" i="1"/>
  <c r="CQ26" i="1"/>
  <c r="CQ28" i="1" s="1"/>
  <c r="CQ8" i="1" s="1"/>
  <c r="DB25" i="1"/>
  <c r="DB27" i="1" s="1"/>
  <c r="CT25" i="1"/>
  <c r="CT27" i="1" s="1"/>
  <c r="DG24" i="1"/>
  <c r="DF24" i="1"/>
  <c r="DF28" i="1" s="1"/>
  <c r="DE24" i="1"/>
  <c r="DE28" i="1" s="1"/>
  <c r="DD24" i="1"/>
  <c r="DD28" i="1" s="1"/>
  <c r="DC24" i="1"/>
  <c r="DC28" i="1" s="1"/>
  <c r="DB24" i="1"/>
  <c r="DA24" i="1"/>
  <c r="DA28" i="1" s="1"/>
  <c r="CZ24" i="1"/>
  <c r="CZ28" i="1" s="1"/>
  <c r="CY24" i="1"/>
  <c r="CX24" i="1"/>
  <c r="CX28" i="1" s="1"/>
  <c r="CW24" i="1"/>
  <c r="CW28" i="1" s="1"/>
  <c r="CV24" i="1"/>
  <c r="CV28" i="1" s="1"/>
  <c r="CU24" i="1"/>
  <c r="CU28" i="1" s="1"/>
  <c r="CT24" i="1"/>
  <c r="CS24" i="1"/>
  <c r="CR24" i="1"/>
  <c r="CR28" i="1" s="1"/>
  <c r="CQ24" i="1"/>
  <c r="CQ27" i="1" s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DD23" i="1"/>
  <c r="CY23" i="1"/>
  <c r="BX23" i="1"/>
  <c r="BS23" i="1"/>
  <c r="BK23" i="1"/>
  <c r="BC23" i="1"/>
  <c r="AU23" i="1"/>
  <c r="AM23" i="1"/>
  <c r="AE23" i="1"/>
  <c r="W23" i="1"/>
  <c r="O23" i="1"/>
  <c r="G23" i="1"/>
  <c r="DG22" i="1"/>
  <c r="DF22" i="1"/>
  <c r="DE22" i="1"/>
  <c r="DD22" i="1"/>
  <c r="DC22" i="1"/>
  <c r="DB22" i="1"/>
  <c r="DA22" i="1"/>
  <c r="CZ22" i="1"/>
  <c r="CZ23" i="1" s="1"/>
  <c r="CY22" i="1"/>
  <c r="CX22" i="1"/>
  <c r="CW22" i="1"/>
  <c r="CV22" i="1"/>
  <c r="CU22" i="1"/>
  <c r="CT22" i="1"/>
  <c r="CS22" i="1"/>
  <c r="CR22" i="1"/>
  <c r="CR23" i="1" s="1"/>
  <c r="CQ22" i="1"/>
  <c r="CP22" i="1"/>
  <c r="CO22" i="1"/>
  <c r="CO23" i="1" s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T23" i="1" s="1"/>
  <c r="BS22" i="1"/>
  <c r="BR22" i="1"/>
  <c r="BQ22" i="1"/>
  <c r="BP22" i="1"/>
  <c r="BO22" i="1"/>
  <c r="BN22" i="1"/>
  <c r="BM22" i="1"/>
  <c r="BL22" i="1"/>
  <c r="BL23" i="1" s="1"/>
  <c r="BK22" i="1"/>
  <c r="BJ22" i="1"/>
  <c r="BI22" i="1"/>
  <c r="BH22" i="1"/>
  <c r="BG22" i="1"/>
  <c r="BF22" i="1"/>
  <c r="BE22" i="1"/>
  <c r="BD22" i="1"/>
  <c r="BD23" i="1" s="1"/>
  <c r="BC22" i="1"/>
  <c r="BB22" i="1"/>
  <c r="BA22" i="1"/>
  <c r="AZ22" i="1"/>
  <c r="AY22" i="1"/>
  <c r="AX22" i="1"/>
  <c r="AW22" i="1"/>
  <c r="AV22" i="1"/>
  <c r="AV23" i="1" s="1"/>
  <c r="AU22" i="1"/>
  <c r="AT22" i="1"/>
  <c r="AS22" i="1"/>
  <c r="AR22" i="1"/>
  <c r="AQ22" i="1"/>
  <c r="AP22" i="1"/>
  <c r="AO22" i="1"/>
  <c r="AN22" i="1"/>
  <c r="AN23" i="1" s="1"/>
  <c r="AM22" i="1"/>
  <c r="AL22" i="1"/>
  <c r="AK22" i="1"/>
  <c r="AJ22" i="1"/>
  <c r="AI22" i="1"/>
  <c r="AH22" i="1"/>
  <c r="AG22" i="1"/>
  <c r="AF22" i="1"/>
  <c r="AF23" i="1" s="1"/>
  <c r="AE22" i="1"/>
  <c r="AD22" i="1"/>
  <c r="AC22" i="1"/>
  <c r="AB22" i="1"/>
  <c r="AA22" i="1"/>
  <c r="Z22" i="1"/>
  <c r="Y22" i="1"/>
  <c r="X22" i="1"/>
  <c r="X23" i="1" s="1"/>
  <c r="W22" i="1"/>
  <c r="V22" i="1"/>
  <c r="U22" i="1"/>
  <c r="T22" i="1"/>
  <c r="S22" i="1"/>
  <c r="R22" i="1"/>
  <c r="Q22" i="1"/>
  <c r="P22" i="1"/>
  <c r="P23" i="1" s="1"/>
  <c r="O22" i="1"/>
  <c r="N22" i="1"/>
  <c r="M22" i="1"/>
  <c r="L22" i="1"/>
  <c r="K22" i="1"/>
  <c r="J22" i="1"/>
  <c r="I22" i="1"/>
  <c r="H22" i="1"/>
  <c r="H23" i="1" s="1"/>
  <c r="G22" i="1"/>
  <c r="F22" i="1"/>
  <c r="E22" i="1"/>
  <c r="D22" i="1"/>
  <c r="C22" i="1"/>
  <c r="B22" i="1"/>
  <c r="DG21" i="1"/>
  <c r="DG23" i="1" s="1"/>
  <c r="DF21" i="1"/>
  <c r="DF23" i="1" s="1"/>
  <c r="DE21" i="1"/>
  <c r="DE23" i="1" s="1"/>
  <c r="DD21" i="1"/>
  <c r="DC21" i="1"/>
  <c r="DC23" i="1" s="1"/>
  <c r="DB21" i="1"/>
  <c r="DB23" i="1" s="1"/>
  <c r="DA21" i="1"/>
  <c r="DA23" i="1" s="1"/>
  <c r="CZ21" i="1"/>
  <c r="CY21" i="1"/>
  <c r="CX21" i="1"/>
  <c r="CX23" i="1" s="1"/>
  <c r="CW21" i="1"/>
  <c r="CW23" i="1" s="1"/>
  <c r="CV21" i="1"/>
  <c r="CV23" i="1" s="1"/>
  <c r="CU21" i="1"/>
  <c r="CU23" i="1" s="1"/>
  <c r="CT21" i="1"/>
  <c r="CT23" i="1" s="1"/>
  <c r="CS21" i="1"/>
  <c r="CR21" i="1"/>
  <c r="CQ21" i="1"/>
  <c r="CQ14" i="1" s="1"/>
  <c r="CP21" i="1"/>
  <c r="CP14" i="1" s="1"/>
  <c r="CO21" i="1"/>
  <c r="CN21" i="1"/>
  <c r="CN23" i="1" s="1"/>
  <c r="CM21" i="1"/>
  <c r="CM23" i="1" s="1"/>
  <c r="CL21" i="1"/>
  <c r="CL23" i="1" s="1"/>
  <c r="CK21" i="1"/>
  <c r="CJ21" i="1"/>
  <c r="CJ23" i="1" s="1"/>
  <c r="CI21" i="1"/>
  <c r="CI14" i="1" s="1"/>
  <c r="CH21" i="1"/>
  <c r="CH14" i="1" s="1"/>
  <c r="CG21" i="1"/>
  <c r="CG23" i="1" s="1"/>
  <c r="CF21" i="1"/>
  <c r="CF14" i="1" s="1"/>
  <c r="CE21" i="1"/>
  <c r="CE14" i="1" s="1"/>
  <c r="CD21" i="1"/>
  <c r="CD23" i="1" s="1"/>
  <c r="CC21" i="1"/>
  <c r="CB21" i="1"/>
  <c r="CB23" i="1" s="1"/>
  <c r="CA21" i="1"/>
  <c r="CA23" i="1" s="1"/>
  <c r="BZ21" i="1"/>
  <c r="BZ23" i="1" s="1"/>
  <c r="BY21" i="1"/>
  <c r="BY23" i="1" s="1"/>
  <c r="BX21" i="1"/>
  <c r="BX14" i="1" s="1"/>
  <c r="BW21" i="1"/>
  <c r="BW23" i="1" s="1"/>
  <c r="BV21" i="1"/>
  <c r="BV23" i="1" s="1"/>
  <c r="BU21" i="1"/>
  <c r="BT21" i="1"/>
  <c r="BS21" i="1"/>
  <c r="BS14" i="1" s="1"/>
  <c r="BR21" i="1"/>
  <c r="BR23" i="1" s="1"/>
  <c r="BQ21" i="1"/>
  <c r="BQ23" i="1" s="1"/>
  <c r="BP21" i="1"/>
  <c r="BP23" i="1" s="1"/>
  <c r="BO21" i="1"/>
  <c r="BO23" i="1" s="1"/>
  <c r="BN21" i="1"/>
  <c r="BN23" i="1" s="1"/>
  <c r="BM21" i="1"/>
  <c r="BL21" i="1"/>
  <c r="BK21" i="1"/>
  <c r="BK14" i="1" s="1"/>
  <c r="BJ21" i="1"/>
  <c r="BJ23" i="1" s="1"/>
  <c r="BI21" i="1"/>
  <c r="BI23" i="1" s="1"/>
  <c r="BH21" i="1"/>
  <c r="BH23" i="1" s="1"/>
  <c r="BG21" i="1"/>
  <c r="BG23" i="1" s="1"/>
  <c r="BF21" i="1"/>
  <c r="BF23" i="1" s="1"/>
  <c r="BE21" i="1"/>
  <c r="BD21" i="1"/>
  <c r="BC21" i="1"/>
  <c r="BC14" i="1" s="1"/>
  <c r="BB21" i="1"/>
  <c r="BB23" i="1" s="1"/>
  <c r="BA21" i="1"/>
  <c r="BA23" i="1" s="1"/>
  <c r="AZ21" i="1"/>
  <c r="AZ23" i="1" s="1"/>
  <c r="AY21" i="1"/>
  <c r="AY23" i="1" s="1"/>
  <c r="AX21" i="1"/>
  <c r="AX23" i="1" s="1"/>
  <c r="AW21" i="1"/>
  <c r="AV21" i="1"/>
  <c r="AU21" i="1"/>
  <c r="AU14" i="1" s="1"/>
  <c r="AT21" i="1"/>
  <c r="AT23" i="1" s="1"/>
  <c r="AS21" i="1"/>
  <c r="AS23" i="1" s="1"/>
  <c r="AR21" i="1"/>
  <c r="AR23" i="1" s="1"/>
  <c r="AQ21" i="1"/>
  <c r="AQ23" i="1" s="1"/>
  <c r="AP21" i="1"/>
  <c r="AP23" i="1" s="1"/>
  <c r="AO21" i="1"/>
  <c r="AN21" i="1"/>
  <c r="AM21" i="1"/>
  <c r="AM14" i="1" s="1"/>
  <c r="AL21" i="1"/>
  <c r="AL23" i="1" s="1"/>
  <c r="AK21" i="1"/>
  <c r="AK23" i="1" s="1"/>
  <c r="AJ21" i="1"/>
  <c r="AJ23" i="1" s="1"/>
  <c r="AI21" i="1"/>
  <c r="AI23" i="1" s="1"/>
  <c r="AH21" i="1"/>
  <c r="AH23" i="1" s="1"/>
  <c r="AG21" i="1"/>
  <c r="AF21" i="1"/>
  <c r="AE21" i="1"/>
  <c r="AE14" i="1" s="1"/>
  <c r="AD21" i="1"/>
  <c r="AD23" i="1" s="1"/>
  <c r="AC21" i="1"/>
  <c r="AC23" i="1" s="1"/>
  <c r="AB21" i="1"/>
  <c r="AB23" i="1" s="1"/>
  <c r="AA21" i="1"/>
  <c r="AA23" i="1" s="1"/>
  <c r="Z21" i="1"/>
  <c r="Z23" i="1" s="1"/>
  <c r="Y21" i="1"/>
  <c r="X21" i="1"/>
  <c r="W21" i="1"/>
  <c r="W14" i="1" s="1"/>
  <c r="V21" i="1"/>
  <c r="V23" i="1" s="1"/>
  <c r="U21" i="1"/>
  <c r="U23" i="1" s="1"/>
  <c r="T21" i="1"/>
  <c r="T23" i="1" s="1"/>
  <c r="S21" i="1"/>
  <c r="S23" i="1" s="1"/>
  <c r="R21" i="1"/>
  <c r="R23" i="1" s="1"/>
  <c r="Q21" i="1"/>
  <c r="Q23" i="1" s="1"/>
  <c r="P21" i="1"/>
  <c r="O21" i="1"/>
  <c r="O14" i="1" s="1"/>
  <c r="N21" i="1"/>
  <c r="N23" i="1" s="1"/>
  <c r="M21" i="1"/>
  <c r="M23" i="1" s="1"/>
  <c r="L21" i="1"/>
  <c r="L23" i="1" s="1"/>
  <c r="K21" i="1"/>
  <c r="K23" i="1" s="1"/>
  <c r="J21" i="1"/>
  <c r="J23" i="1" s="1"/>
  <c r="I21" i="1"/>
  <c r="H21" i="1"/>
  <c r="G21" i="1"/>
  <c r="G14" i="1" s="1"/>
  <c r="F21" i="1"/>
  <c r="F23" i="1" s="1"/>
  <c r="E21" i="1"/>
  <c r="E23" i="1" s="1"/>
  <c r="D21" i="1"/>
  <c r="D23" i="1" s="1"/>
  <c r="C21" i="1"/>
  <c r="C23" i="1" s="1"/>
  <c r="B21" i="1"/>
  <c r="B23" i="1" s="1"/>
  <c r="B15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R14" i="1"/>
  <c r="CO14" i="1"/>
  <c r="CJ14" i="1"/>
  <c r="CG14" i="1"/>
  <c r="CB14" i="1"/>
  <c r="BY14" i="1"/>
  <c r="BT14" i="1"/>
  <c r="BQ14" i="1"/>
  <c r="BL14" i="1"/>
  <c r="BI14" i="1"/>
  <c r="BD14" i="1"/>
  <c r="BA14" i="1"/>
  <c r="AV14" i="1"/>
  <c r="AS14" i="1"/>
  <c r="AN14" i="1"/>
  <c r="AK14" i="1"/>
  <c r="AF14" i="1"/>
  <c r="AC14" i="1"/>
  <c r="X14" i="1"/>
  <c r="U14" i="1"/>
  <c r="P14" i="1"/>
  <c r="M14" i="1"/>
  <c r="H14" i="1"/>
  <c r="E14" i="1"/>
  <c r="B14" i="1"/>
  <c r="BT13" i="1"/>
  <c r="AN13" i="1"/>
  <c r="H13" i="1"/>
  <c r="DG12" i="1"/>
  <c r="DF12" i="1"/>
  <c r="DE12" i="1"/>
  <c r="DD12" i="1"/>
  <c r="DD25" i="1" s="1"/>
  <c r="DD27" i="1" s="1"/>
  <c r="DC12" i="1"/>
  <c r="DC8" i="1" s="1"/>
  <c r="DB12" i="1"/>
  <c r="DA12" i="1"/>
  <c r="DA25" i="1" s="1"/>
  <c r="DA27" i="1" s="1"/>
  <c r="CZ12" i="1"/>
  <c r="CY12" i="1"/>
  <c r="CX12" i="1"/>
  <c r="CW12" i="1"/>
  <c r="CW25" i="1" s="1"/>
  <c r="CW27" i="1" s="1"/>
  <c r="CV12" i="1"/>
  <c r="CV25" i="1" s="1"/>
  <c r="CV27" i="1" s="1"/>
  <c r="CU12" i="1"/>
  <c r="CU8" i="1" s="1"/>
  <c r="CT12" i="1"/>
  <c r="CP12" i="1"/>
  <c r="CO12" i="1"/>
  <c r="CN12" i="1"/>
  <c r="CM12" i="1"/>
  <c r="CM13" i="1" s="1"/>
  <c r="CL12" i="1"/>
  <c r="CL25" i="1" s="1"/>
  <c r="CL27" i="1" s="1"/>
  <c r="CK12" i="1"/>
  <c r="CK25" i="1" s="1"/>
  <c r="CK27" i="1" s="1"/>
  <c r="CJ12" i="1"/>
  <c r="CI12" i="1"/>
  <c r="CH12" i="1"/>
  <c r="CG12" i="1"/>
  <c r="CF12" i="1"/>
  <c r="CE12" i="1"/>
  <c r="CD12" i="1"/>
  <c r="CD25" i="1" s="1"/>
  <c r="CD27" i="1" s="1"/>
  <c r="CC12" i="1"/>
  <c r="CC25" i="1" s="1"/>
  <c r="CC27" i="1" s="1"/>
  <c r="CB12" i="1"/>
  <c r="CA12" i="1"/>
  <c r="BZ12" i="1"/>
  <c r="BY12" i="1"/>
  <c r="BX12" i="1"/>
  <c r="BW12" i="1"/>
  <c r="BV12" i="1"/>
  <c r="BV25" i="1" s="1"/>
  <c r="BV27" i="1" s="1"/>
  <c r="BU12" i="1"/>
  <c r="BU25" i="1" s="1"/>
  <c r="BU27" i="1" s="1"/>
  <c r="BT12" i="1"/>
  <c r="BT25" i="1" s="1"/>
  <c r="BT27" i="1" s="1"/>
  <c r="BS12" i="1"/>
  <c r="BR12" i="1"/>
  <c r="BQ12" i="1"/>
  <c r="BP12" i="1"/>
  <c r="BO12" i="1"/>
  <c r="BN12" i="1"/>
  <c r="BM12" i="1"/>
  <c r="BM25" i="1" s="1"/>
  <c r="BM27" i="1" s="1"/>
  <c r="BL12" i="1"/>
  <c r="BK12" i="1"/>
  <c r="BJ12" i="1"/>
  <c r="BI12" i="1"/>
  <c r="BH12" i="1"/>
  <c r="BG12" i="1"/>
  <c r="BF12" i="1"/>
  <c r="BE12" i="1"/>
  <c r="BE25" i="1" s="1"/>
  <c r="BE27" i="1" s="1"/>
  <c r="BD12" i="1"/>
  <c r="BD25" i="1" s="1"/>
  <c r="BD27" i="1" s="1"/>
  <c r="BC12" i="1"/>
  <c r="BB12" i="1"/>
  <c r="BA12" i="1"/>
  <c r="AZ12" i="1"/>
  <c r="AY12" i="1"/>
  <c r="AX12" i="1"/>
  <c r="AW12" i="1"/>
  <c r="AW25" i="1" s="1"/>
  <c r="AW27" i="1" s="1"/>
  <c r="AV12" i="1"/>
  <c r="AU12" i="1"/>
  <c r="AT12" i="1"/>
  <c r="AS12" i="1"/>
  <c r="AR12" i="1"/>
  <c r="AQ12" i="1"/>
  <c r="AP12" i="1"/>
  <c r="AO12" i="1"/>
  <c r="AO25" i="1" s="1"/>
  <c r="AO27" i="1" s="1"/>
  <c r="AN12" i="1"/>
  <c r="AN25" i="1" s="1"/>
  <c r="AN27" i="1" s="1"/>
  <c r="AM12" i="1"/>
  <c r="AL12" i="1"/>
  <c r="AK12" i="1"/>
  <c r="AJ12" i="1"/>
  <c r="AI12" i="1"/>
  <c r="AH12" i="1"/>
  <c r="AH25" i="1" s="1"/>
  <c r="AH27" i="1" s="1"/>
  <c r="AG12" i="1"/>
  <c r="AG25" i="1" s="1"/>
  <c r="AG27" i="1" s="1"/>
  <c r="AF12" i="1"/>
  <c r="AE12" i="1"/>
  <c r="AD12" i="1"/>
  <c r="AC12" i="1"/>
  <c r="AB12" i="1"/>
  <c r="AA12" i="1"/>
  <c r="Z12" i="1"/>
  <c r="Y12" i="1"/>
  <c r="Y25" i="1" s="1"/>
  <c r="Y27" i="1" s="1"/>
  <c r="X12" i="1"/>
  <c r="X25" i="1" s="1"/>
  <c r="X27" i="1" s="1"/>
  <c r="W12" i="1"/>
  <c r="V12" i="1"/>
  <c r="U12" i="1"/>
  <c r="T12" i="1"/>
  <c r="S12" i="1"/>
  <c r="R12" i="1"/>
  <c r="R25" i="1" s="1"/>
  <c r="R27" i="1" s="1"/>
  <c r="Q12" i="1"/>
  <c r="Q25" i="1" s="1"/>
  <c r="Q27" i="1" s="1"/>
  <c r="P12" i="1"/>
  <c r="O12" i="1"/>
  <c r="N12" i="1"/>
  <c r="M12" i="1"/>
  <c r="L12" i="1"/>
  <c r="K12" i="1"/>
  <c r="J12" i="1"/>
  <c r="J25" i="1" s="1"/>
  <c r="J27" i="1" s="1"/>
  <c r="I12" i="1"/>
  <c r="I25" i="1" s="1"/>
  <c r="I27" i="1" s="1"/>
  <c r="H12" i="1"/>
  <c r="H25" i="1" s="1"/>
  <c r="H27" i="1" s="1"/>
  <c r="G12" i="1"/>
  <c r="F12" i="1"/>
  <c r="E12" i="1"/>
  <c r="D12" i="1"/>
  <c r="C12" i="1"/>
  <c r="B12" i="1"/>
  <c r="B30" i="1" s="1"/>
  <c r="CV30" i="1" s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B11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R10" i="1"/>
  <c r="CQ10" i="1"/>
  <c r="CP10" i="1"/>
  <c r="CO10" i="1"/>
  <c r="CN10" i="1"/>
  <c r="CM10" i="1"/>
  <c r="CL10" i="1"/>
  <c r="CL13" i="1" s="1"/>
  <c r="CK10" i="1"/>
  <c r="CK13" i="1" s="1"/>
  <c r="CJ10" i="1"/>
  <c r="CJ13" i="1" s="1"/>
  <c r="CI10" i="1"/>
  <c r="CH10" i="1"/>
  <c r="CG10" i="1"/>
  <c r="CF10" i="1"/>
  <c r="CE10" i="1"/>
  <c r="CD10" i="1"/>
  <c r="CD13" i="1" s="1"/>
  <c r="CC10" i="1"/>
  <c r="CC13" i="1" s="1"/>
  <c r="CB10" i="1"/>
  <c r="CB13" i="1" s="1"/>
  <c r="CA10" i="1"/>
  <c r="BZ10" i="1"/>
  <c r="BY10" i="1"/>
  <c r="BX10" i="1"/>
  <c r="BW10" i="1"/>
  <c r="BV10" i="1"/>
  <c r="BV13" i="1" s="1"/>
  <c r="BU10" i="1"/>
  <c r="BU13" i="1" s="1"/>
  <c r="BT10" i="1"/>
  <c r="BS10" i="1"/>
  <c r="BR10" i="1"/>
  <c r="BQ10" i="1"/>
  <c r="BP10" i="1"/>
  <c r="BO10" i="1"/>
  <c r="BN10" i="1"/>
  <c r="BN13" i="1" s="1"/>
  <c r="BM10" i="1"/>
  <c r="BM13" i="1" s="1"/>
  <c r="BL10" i="1"/>
  <c r="BL13" i="1" s="1"/>
  <c r="BK10" i="1"/>
  <c r="BJ10" i="1"/>
  <c r="BI10" i="1"/>
  <c r="BH10" i="1"/>
  <c r="BG10" i="1"/>
  <c r="BF10" i="1"/>
  <c r="BF13" i="1" s="1"/>
  <c r="BE10" i="1"/>
  <c r="BE13" i="1" s="1"/>
  <c r="BD10" i="1"/>
  <c r="BD13" i="1" s="1"/>
  <c r="BC10" i="1"/>
  <c r="BB10" i="1"/>
  <c r="BA10" i="1"/>
  <c r="AZ10" i="1"/>
  <c r="AY10" i="1"/>
  <c r="AX10" i="1"/>
  <c r="AX13" i="1" s="1"/>
  <c r="AW10" i="1"/>
  <c r="AW13" i="1" s="1"/>
  <c r="AV10" i="1"/>
  <c r="AV13" i="1" s="1"/>
  <c r="AU10" i="1"/>
  <c r="AT10" i="1"/>
  <c r="AS10" i="1"/>
  <c r="AR10" i="1"/>
  <c r="AQ10" i="1"/>
  <c r="AP10" i="1"/>
  <c r="AP13" i="1" s="1"/>
  <c r="AO10" i="1"/>
  <c r="AO13" i="1" s="1"/>
  <c r="AN10" i="1"/>
  <c r="AM10" i="1"/>
  <c r="AL10" i="1"/>
  <c r="AK10" i="1"/>
  <c r="AJ10" i="1"/>
  <c r="AI10" i="1"/>
  <c r="AH10" i="1"/>
  <c r="AH13" i="1" s="1"/>
  <c r="AG10" i="1"/>
  <c r="AG13" i="1" s="1"/>
  <c r="AF10" i="1"/>
  <c r="AF13" i="1" s="1"/>
  <c r="AE10" i="1"/>
  <c r="AD10" i="1"/>
  <c r="AC10" i="1"/>
  <c r="AB10" i="1"/>
  <c r="AA10" i="1"/>
  <c r="Z10" i="1"/>
  <c r="Z13" i="1" s="1"/>
  <c r="Y10" i="1"/>
  <c r="Y13" i="1" s="1"/>
  <c r="X10" i="1"/>
  <c r="X13" i="1" s="1"/>
  <c r="W10" i="1"/>
  <c r="V10" i="1"/>
  <c r="U10" i="1"/>
  <c r="T10" i="1"/>
  <c r="S10" i="1"/>
  <c r="R10" i="1"/>
  <c r="R13" i="1" s="1"/>
  <c r="Q10" i="1"/>
  <c r="Q13" i="1" s="1"/>
  <c r="P10" i="1"/>
  <c r="P13" i="1" s="1"/>
  <c r="O10" i="1"/>
  <c r="N10" i="1"/>
  <c r="M10" i="1"/>
  <c r="L10" i="1"/>
  <c r="K10" i="1"/>
  <c r="J10" i="1"/>
  <c r="J13" i="1" s="1"/>
  <c r="I10" i="1"/>
  <c r="I13" i="1" s="1"/>
  <c r="H10" i="1"/>
  <c r="G10" i="1"/>
  <c r="F10" i="1"/>
  <c r="E10" i="1"/>
  <c r="D10" i="1"/>
  <c r="C10" i="1"/>
  <c r="B10" i="1"/>
  <c r="B13" i="1" s="1"/>
  <c r="DG8" i="1"/>
  <c r="DF8" i="1"/>
  <c r="DE8" i="1"/>
  <c r="DD8" i="1"/>
  <c r="DB8" i="1"/>
  <c r="DA8" i="1"/>
  <c r="CZ8" i="1"/>
  <c r="CY8" i="1"/>
  <c r="CX8" i="1"/>
  <c r="CW8" i="1"/>
  <c r="CV8" i="1"/>
  <c r="CT8" i="1"/>
  <c r="CR8" i="1"/>
  <c r="CP8" i="1"/>
  <c r="CP26" i="1" s="1"/>
  <c r="CP28" i="1" s="1"/>
  <c r="CO8" i="1"/>
  <c r="CO26" i="1" s="1"/>
  <c r="CO28" i="1" s="1"/>
  <c r="CN8" i="1"/>
  <c r="CN26" i="1" s="1"/>
  <c r="CN28" i="1" s="1"/>
  <c r="CM8" i="1"/>
  <c r="CL8" i="1"/>
  <c r="CL26" i="1" s="1"/>
  <c r="CL28" i="1" s="1"/>
  <c r="CK8" i="1"/>
  <c r="CJ8" i="1"/>
  <c r="CJ26" i="1" s="1"/>
  <c r="CJ28" i="1" s="1"/>
  <c r="CI8" i="1"/>
  <c r="CI26" i="1" s="1"/>
  <c r="CI28" i="1" s="1"/>
  <c r="CH8" i="1"/>
  <c r="CH26" i="1" s="1"/>
  <c r="CH28" i="1" s="1"/>
  <c r="CG8" i="1"/>
  <c r="CG26" i="1" s="1"/>
  <c r="CG28" i="1" s="1"/>
  <c r="CF8" i="1"/>
  <c r="CF26" i="1" s="1"/>
  <c r="CF28" i="1" s="1"/>
  <c r="CE8" i="1"/>
  <c r="CD8" i="1"/>
  <c r="CD26" i="1" s="1"/>
  <c r="CD28" i="1" s="1"/>
  <c r="CC8" i="1"/>
  <c r="CB8" i="1"/>
  <c r="CB26" i="1" s="1"/>
  <c r="CB28" i="1" s="1"/>
  <c r="CA8" i="1"/>
  <c r="CA26" i="1" s="1"/>
  <c r="CA28" i="1" s="1"/>
  <c r="BZ8" i="1"/>
  <c r="BZ26" i="1" s="1"/>
  <c r="BZ28" i="1" s="1"/>
  <c r="BY8" i="1"/>
  <c r="BY26" i="1" s="1"/>
  <c r="BY28" i="1" s="1"/>
  <c r="BX8" i="1"/>
  <c r="BX26" i="1" s="1"/>
  <c r="BX28" i="1" s="1"/>
  <c r="BW8" i="1"/>
  <c r="BV8" i="1"/>
  <c r="BV26" i="1" s="1"/>
  <c r="BV28" i="1" s="1"/>
  <c r="BU8" i="1"/>
  <c r="BT8" i="1"/>
  <c r="BT26" i="1" s="1"/>
  <c r="BT28" i="1" s="1"/>
  <c r="BS8" i="1"/>
  <c r="BS26" i="1" s="1"/>
  <c r="BS28" i="1" s="1"/>
  <c r="BR8" i="1"/>
  <c r="BR26" i="1" s="1"/>
  <c r="BR28" i="1" s="1"/>
  <c r="BQ8" i="1"/>
  <c r="BQ26" i="1" s="1"/>
  <c r="BQ28" i="1" s="1"/>
  <c r="BP8" i="1"/>
  <c r="BP26" i="1" s="1"/>
  <c r="BP28" i="1" s="1"/>
  <c r="BO8" i="1"/>
  <c r="BN8" i="1"/>
  <c r="BN26" i="1" s="1"/>
  <c r="BN28" i="1" s="1"/>
  <c r="BM8" i="1"/>
  <c r="BL8" i="1"/>
  <c r="BL26" i="1" s="1"/>
  <c r="BL28" i="1" s="1"/>
  <c r="BK8" i="1"/>
  <c r="BK26" i="1" s="1"/>
  <c r="BK28" i="1" s="1"/>
  <c r="BJ8" i="1"/>
  <c r="BJ26" i="1" s="1"/>
  <c r="BJ28" i="1" s="1"/>
  <c r="BI8" i="1"/>
  <c r="BI26" i="1" s="1"/>
  <c r="BI28" i="1" s="1"/>
  <c r="BH8" i="1"/>
  <c r="BH26" i="1" s="1"/>
  <c r="BH28" i="1" s="1"/>
  <c r="BG8" i="1"/>
  <c r="BF8" i="1"/>
  <c r="BF26" i="1" s="1"/>
  <c r="BF28" i="1" s="1"/>
  <c r="BE8" i="1"/>
  <c r="BD8" i="1"/>
  <c r="BD26" i="1" s="1"/>
  <c r="BD28" i="1" s="1"/>
  <c r="BC8" i="1"/>
  <c r="BC26" i="1" s="1"/>
  <c r="BC28" i="1" s="1"/>
  <c r="BB8" i="1"/>
  <c r="BB26" i="1" s="1"/>
  <c r="BB28" i="1" s="1"/>
  <c r="BA8" i="1"/>
  <c r="BA26" i="1" s="1"/>
  <c r="BA28" i="1" s="1"/>
  <c r="AZ8" i="1"/>
  <c r="AZ26" i="1" s="1"/>
  <c r="AZ28" i="1" s="1"/>
  <c r="AY8" i="1"/>
  <c r="AX8" i="1"/>
  <c r="AX26" i="1" s="1"/>
  <c r="AX28" i="1" s="1"/>
  <c r="AW8" i="1"/>
  <c r="AV8" i="1"/>
  <c r="AV26" i="1" s="1"/>
  <c r="AV28" i="1" s="1"/>
  <c r="AU8" i="1"/>
  <c r="AU26" i="1" s="1"/>
  <c r="AU28" i="1" s="1"/>
  <c r="AT8" i="1"/>
  <c r="AT26" i="1" s="1"/>
  <c r="AT28" i="1" s="1"/>
  <c r="AS8" i="1"/>
  <c r="AS26" i="1" s="1"/>
  <c r="AS28" i="1" s="1"/>
  <c r="AR8" i="1"/>
  <c r="AR26" i="1" s="1"/>
  <c r="AR28" i="1" s="1"/>
  <c r="AQ8" i="1"/>
  <c r="AP8" i="1"/>
  <c r="AP26" i="1" s="1"/>
  <c r="AP28" i="1" s="1"/>
  <c r="AO8" i="1"/>
  <c r="AN8" i="1"/>
  <c r="AN26" i="1" s="1"/>
  <c r="AN28" i="1" s="1"/>
  <c r="AM8" i="1"/>
  <c r="AM26" i="1" s="1"/>
  <c r="AM28" i="1" s="1"/>
  <c r="AL8" i="1"/>
  <c r="AL26" i="1" s="1"/>
  <c r="AL28" i="1" s="1"/>
  <c r="AK8" i="1"/>
  <c r="AK26" i="1" s="1"/>
  <c r="AK28" i="1" s="1"/>
  <c r="AJ8" i="1"/>
  <c r="AJ26" i="1" s="1"/>
  <c r="AJ28" i="1" s="1"/>
  <c r="AI8" i="1"/>
  <c r="AH8" i="1"/>
  <c r="AH26" i="1" s="1"/>
  <c r="AH28" i="1" s="1"/>
  <c r="AG8" i="1"/>
  <c r="AF8" i="1"/>
  <c r="AF26" i="1" s="1"/>
  <c r="AF28" i="1" s="1"/>
  <c r="AE8" i="1"/>
  <c r="AE26" i="1" s="1"/>
  <c r="AE28" i="1" s="1"/>
  <c r="AD8" i="1"/>
  <c r="AD26" i="1" s="1"/>
  <c r="AD28" i="1" s="1"/>
  <c r="AC8" i="1"/>
  <c r="AC26" i="1" s="1"/>
  <c r="AC28" i="1" s="1"/>
  <c r="AB8" i="1"/>
  <c r="AB26" i="1" s="1"/>
  <c r="AB28" i="1" s="1"/>
  <c r="AA8" i="1"/>
  <c r="Z8" i="1"/>
  <c r="Z26" i="1" s="1"/>
  <c r="Z28" i="1" s="1"/>
  <c r="Y8" i="1"/>
  <c r="X8" i="1"/>
  <c r="X26" i="1" s="1"/>
  <c r="X28" i="1" s="1"/>
  <c r="W8" i="1"/>
  <c r="W26" i="1" s="1"/>
  <c r="W28" i="1" s="1"/>
  <c r="V8" i="1"/>
  <c r="V26" i="1" s="1"/>
  <c r="V28" i="1" s="1"/>
  <c r="U8" i="1"/>
  <c r="U26" i="1" s="1"/>
  <c r="U28" i="1" s="1"/>
  <c r="T8" i="1"/>
  <c r="T26" i="1" s="1"/>
  <c r="T28" i="1" s="1"/>
  <c r="S8" i="1"/>
  <c r="R8" i="1"/>
  <c r="R26" i="1" s="1"/>
  <c r="R28" i="1" s="1"/>
  <c r="Q8" i="1"/>
  <c r="P8" i="1"/>
  <c r="P26" i="1" s="1"/>
  <c r="P28" i="1" s="1"/>
  <c r="O8" i="1"/>
  <c r="O26" i="1" s="1"/>
  <c r="O28" i="1" s="1"/>
  <c r="N8" i="1"/>
  <c r="N26" i="1" s="1"/>
  <c r="N28" i="1" s="1"/>
  <c r="M8" i="1"/>
  <c r="M26" i="1" s="1"/>
  <c r="M28" i="1" s="1"/>
  <c r="L8" i="1"/>
  <c r="L26" i="1" s="1"/>
  <c r="L28" i="1" s="1"/>
  <c r="K8" i="1"/>
  <c r="J8" i="1"/>
  <c r="J26" i="1" s="1"/>
  <c r="J28" i="1" s="1"/>
  <c r="I8" i="1"/>
  <c r="H8" i="1"/>
  <c r="H26" i="1" s="1"/>
  <c r="H28" i="1" s="1"/>
  <c r="G8" i="1"/>
  <c r="G26" i="1" s="1"/>
  <c r="G28" i="1" s="1"/>
  <c r="F8" i="1"/>
  <c r="F26" i="1" s="1"/>
  <c r="F28" i="1" s="1"/>
  <c r="E8" i="1"/>
  <c r="E26" i="1" s="1"/>
  <c r="E28" i="1" s="1"/>
  <c r="D8" i="1"/>
  <c r="D26" i="1" s="1"/>
  <c r="D28" i="1" s="1"/>
  <c r="C8" i="1"/>
  <c r="B8" i="1"/>
  <c r="B26" i="1" s="1"/>
  <c r="B28" i="1" s="1"/>
  <c r="CR7" i="1"/>
  <c r="CQ7" i="1"/>
  <c r="AI6" i="1"/>
  <c r="AH6" i="1"/>
  <c r="AG6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U29" i="1" l="1"/>
  <c r="U25" i="1"/>
  <c r="U27" i="1" s="1"/>
  <c r="U13" i="1"/>
  <c r="BA29" i="1"/>
  <c r="BA25" i="1"/>
  <c r="BA27" i="1" s="1"/>
  <c r="BA13" i="1"/>
  <c r="CG29" i="1"/>
  <c r="CG25" i="1"/>
  <c r="CG27" i="1" s="1"/>
  <c r="CG13" i="1"/>
  <c r="AW23" i="1"/>
  <c r="AW14" i="1"/>
  <c r="CC23" i="1"/>
  <c r="CC14" i="1"/>
  <c r="M29" i="1"/>
  <c r="M25" i="1"/>
  <c r="M27" i="1" s="1"/>
  <c r="M13" i="1"/>
  <c r="BI29" i="1"/>
  <c r="BI25" i="1"/>
  <c r="BI27" i="1" s="1"/>
  <c r="BI13" i="1"/>
  <c r="Y23" i="1"/>
  <c r="Y14" i="1"/>
  <c r="BM23" i="1"/>
  <c r="BM14" i="1"/>
  <c r="CS23" i="1"/>
  <c r="CS14" i="1"/>
  <c r="DB29" i="1"/>
  <c r="AK29" i="1"/>
  <c r="AK25" i="1"/>
  <c r="AK27" i="1" s="1"/>
  <c r="AK13" i="1"/>
  <c r="BQ29" i="1"/>
  <c r="BQ25" i="1"/>
  <c r="BQ27" i="1" s="1"/>
  <c r="BQ13" i="1"/>
  <c r="AG23" i="1"/>
  <c r="AG14" i="1"/>
  <c r="BE23" i="1"/>
  <c r="BE14" i="1"/>
  <c r="CK23" i="1"/>
  <c r="CK14" i="1"/>
  <c r="E29" i="1"/>
  <c r="E25" i="1"/>
  <c r="E27" i="1" s="1"/>
  <c r="E13" i="1"/>
  <c r="AS29" i="1"/>
  <c r="AS25" i="1"/>
  <c r="AS27" i="1" s="1"/>
  <c r="AS13" i="1"/>
  <c r="BY29" i="1"/>
  <c r="BY25" i="1"/>
  <c r="BY27" i="1" s="1"/>
  <c r="BY13" i="1"/>
  <c r="I23" i="1"/>
  <c r="I14" i="1"/>
  <c r="AO23" i="1"/>
  <c r="AO14" i="1"/>
  <c r="BU23" i="1"/>
  <c r="BU14" i="1"/>
  <c r="Z29" i="1"/>
  <c r="AP29" i="1"/>
  <c r="AX29" i="1"/>
  <c r="BF29" i="1"/>
  <c r="BN29" i="1"/>
  <c r="Q14" i="1"/>
  <c r="CT29" i="1"/>
  <c r="AC29" i="1"/>
  <c r="AC25" i="1"/>
  <c r="AC27" i="1" s="1"/>
  <c r="AC13" i="1"/>
  <c r="CO29" i="1"/>
  <c r="CO25" i="1"/>
  <c r="CO27" i="1" s="1"/>
  <c r="CO13" i="1"/>
  <c r="CR29" i="1"/>
  <c r="C29" i="1"/>
  <c r="C25" i="1"/>
  <c r="C27" i="1" s="1"/>
  <c r="C13" i="1"/>
  <c r="K29" i="1"/>
  <c r="K25" i="1"/>
  <c r="K27" i="1" s="1"/>
  <c r="K13" i="1"/>
  <c r="S29" i="1"/>
  <c r="S25" i="1"/>
  <c r="S27" i="1" s="1"/>
  <c r="S13" i="1"/>
  <c r="AA29" i="1"/>
  <c r="AA25" i="1"/>
  <c r="AA27" i="1" s="1"/>
  <c r="AA13" i="1"/>
  <c r="AI29" i="1"/>
  <c r="AI25" i="1"/>
  <c r="AI27" i="1" s="1"/>
  <c r="AI13" i="1"/>
  <c r="AQ29" i="1"/>
  <c r="AQ25" i="1"/>
  <c r="AQ27" i="1" s="1"/>
  <c r="AQ13" i="1"/>
  <c r="AY29" i="1"/>
  <c r="AY25" i="1"/>
  <c r="AY27" i="1" s="1"/>
  <c r="AY13" i="1"/>
  <c r="BG29" i="1"/>
  <c r="BG25" i="1"/>
  <c r="BG27" i="1" s="1"/>
  <c r="BG13" i="1"/>
  <c r="BO29" i="1"/>
  <c r="BO25" i="1"/>
  <c r="BO27" i="1" s="1"/>
  <c r="BO13" i="1"/>
  <c r="BW25" i="1"/>
  <c r="BW27" i="1" s="1"/>
  <c r="BW29" i="1"/>
  <c r="BW13" i="1"/>
  <c r="CE25" i="1"/>
  <c r="CE27" i="1" s="1"/>
  <c r="CE29" i="1"/>
  <c r="CE13" i="1"/>
  <c r="CX25" i="1"/>
  <c r="CX27" i="1" s="1"/>
  <c r="CX29" i="1"/>
  <c r="DF25" i="1"/>
  <c r="DF27" i="1" s="1"/>
  <c r="DF29" i="1"/>
  <c r="CR13" i="1"/>
  <c r="CS10" i="1"/>
  <c r="D25" i="1"/>
  <c r="D27" i="1" s="1"/>
  <c r="D29" i="1"/>
  <c r="D13" i="1"/>
  <c r="L25" i="1"/>
  <c r="L27" i="1" s="1"/>
  <c r="L13" i="1"/>
  <c r="L29" i="1"/>
  <c r="T25" i="1"/>
  <c r="T27" i="1" s="1"/>
  <c r="T29" i="1"/>
  <c r="T13" i="1"/>
  <c r="AB25" i="1"/>
  <c r="AB27" i="1" s="1"/>
  <c r="AB29" i="1"/>
  <c r="AB13" i="1"/>
  <c r="AJ25" i="1"/>
  <c r="AJ27" i="1" s="1"/>
  <c r="AJ29" i="1"/>
  <c r="AJ13" i="1"/>
  <c r="AR25" i="1"/>
  <c r="AR27" i="1" s="1"/>
  <c r="AR29" i="1"/>
  <c r="AR13" i="1"/>
  <c r="AZ25" i="1"/>
  <c r="AZ27" i="1" s="1"/>
  <c r="AZ13" i="1"/>
  <c r="AZ29" i="1"/>
  <c r="BH25" i="1"/>
  <c r="BH27" i="1" s="1"/>
  <c r="BH29" i="1"/>
  <c r="BH13" i="1"/>
  <c r="BP25" i="1"/>
  <c r="BP27" i="1" s="1"/>
  <c r="BP29" i="1"/>
  <c r="BP13" i="1"/>
  <c r="BX25" i="1"/>
  <c r="BX27" i="1" s="1"/>
  <c r="BX13" i="1"/>
  <c r="BX29" i="1"/>
  <c r="CF25" i="1"/>
  <c r="CF27" i="1" s="1"/>
  <c r="CF29" i="1"/>
  <c r="CF13" i="1"/>
  <c r="CN25" i="1"/>
  <c r="CN27" i="1" s="1"/>
  <c r="CN29" i="1"/>
  <c r="CN13" i="1"/>
  <c r="CY29" i="1"/>
  <c r="CY25" i="1"/>
  <c r="CY27" i="1" s="1"/>
  <c r="DG29" i="1"/>
  <c r="DG25" i="1"/>
  <c r="DG27" i="1" s="1"/>
  <c r="I26" i="1"/>
  <c r="I28" i="1" s="1"/>
  <c r="AG26" i="1"/>
  <c r="AG28" i="1" s="1"/>
  <c r="BE26" i="1"/>
  <c r="BE28" i="1" s="1"/>
  <c r="BM26" i="1"/>
  <c r="BM28" i="1" s="1"/>
  <c r="CK26" i="1"/>
  <c r="CK28" i="1" s="1"/>
  <c r="F25" i="1"/>
  <c r="F27" i="1" s="1"/>
  <c r="F29" i="1"/>
  <c r="N25" i="1"/>
  <c r="N27" i="1" s="1"/>
  <c r="N29" i="1"/>
  <c r="V25" i="1"/>
  <c r="V27" i="1" s="1"/>
  <c r="V29" i="1"/>
  <c r="AD25" i="1"/>
  <c r="AD27" i="1" s="1"/>
  <c r="AD29" i="1"/>
  <c r="AL25" i="1"/>
  <c r="AL27" i="1" s="1"/>
  <c r="AL29" i="1"/>
  <c r="AT25" i="1"/>
  <c r="AT27" i="1" s="1"/>
  <c r="AT29" i="1"/>
  <c r="BB25" i="1"/>
  <c r="BB27" i="1" s="1"/>
  <c r="BB29" i="1"/>
  <c r="BJ25" i="1"/>
  <c r="BJ27" i="1" s="1"/>
  <c r="BJ29" i="1"/>
  <c r="BR25" i="1"/>
  <c r="BR27" i="1" s="1"/>
  <c r="BR29" i="1"/>
  <c r="BZ25" i="1"/>
  <c r="BZ27" i="1" s="1"/>
  <c r="BZ29" i="1"/>
  <c r="CH25" i="1"/>
  <c r="CH27" i="1" s="1"/>
  <c r="CH29" i="1"/>
  <c r="CP25" i="1"/>
  <c r="CP27" i="1" s="1"/>
  <c r="CP29" i="1"/>
  <c r="CZ29" i="1"/>
  <c r="CZ25" i="1"/>
  <c r="CZ27" i="1" s="1"/>
  <c r="J14" i="1"/>
  <c r="R14" i="1"/>
  <c r="Z14" i="1"/>
  <c r="AH14" i="1"/>
  <c r="AP14" i="1"/>
  <c r="AX14" i="1"/>
  <c r="BF14" i="1"/>
  <c r="BN14" i="1"/>
  <c r="BV14" i="1"/>
  <c r="CD14" i="1"/>
  <c r="CL14" i="1"/>
  <c r="CE23" i="1"/>
  <c r="J29" i="1"/>
  <c r="AG29" i="1"/>
  <c r="BV29" i="1"/>
  <c r="F30" i="1"/>
  <c r="AB30" i="1"/>
  <c r="AY30" i="1"/>
  <c r="BR30" i="1"/>
  <c r="CN30" i="1"/>
  <c r="Y26" i="1"/>
  <c r="Y28" i="1" s="1"/>
  <c r="AO26" i="1"/>
  <c r="AO28" i="1" s="1"/>
  <c r="BU26" i="1"/>
  <c r="BU28" i="1" s="1"/>
  <c r="G29" i="1"/>
  <c r="O29" i="1"/>
  <c r="W29" i="1"/>
  <c r="AE29" i="1"/>
  <c r="AM29" i="1"/>
  <c r="AU29" i="1"/>
  <c r="BC29" i="1"/>
  <c r="BK29" i="1"/>
  <c r="BS29" i="1"/>
  <c r="CA29" i="1"/>
  <c r="CI29" i="1"/>
  <c r="CS12" i="1"/>
  <c r="C14" i="1"/>
  <c r="K14" i="1"/>
  <c r="S14" i="1"/>
  <c r="AA14" i="1"/>
  <c r="AI14" i="1"/>
  <c r="AQ14" i="1"/>
  <c r="AY14" i="1"/>
  <c r="BG14" i="1"/>
  <c r="BO14" i="1"/>
  <c r="BW14" i="1"/>
  <c r="CM14" i="1"/>
  <c r="CF23" i="1"/>
  <c r="CP23" i="1"/>
  <c r="Z25" i="1"/>
  <c r="Z27" i="1" s="1"/>
  <c r="AP25" i="1"/>
  <c r="AP27" i="1" s="1"/>
  <c r="BF25" i="1"/>
  <c r="BF27" i="1" s="1"/>
  <c r="CU25" i="1"/>
  <c r="CU27" i="1" s="1"/>
  <c r="AH29" i="1"/>
  <c r="BE29" i="1"/>
  <c r="K30" i="1"/>
  <c r="AD30" i="1"/>
  <c r="AZ30" i="1"/>
  <c r="BW30" i="1"/>
  <c r="CP30" i="1"/>
  <c r="Q26" i="1"/>
  <c r="Q28" i="1" s="1"/>
  <c r="AW26" i="1"/>
  <c r="AW28" i="1" s="1"/>
  <c r="CC26" i="1"/>
  <c r="CC28" i="1" s="1"/>
  <c r="C26" i="1"/>
  <c r="C28" i="1" s="1"/>
  <c r="K26" i="1"/>
  <c r="K28" i="1" s="1"/>
  <c r="S26" i="1"/>
  <c r="S28" i="1" s="1"/>
  <c r="AA26" i="1"/>
  <c r="AA28" i="1" s="1"/>
  <c r="AI26" i="1"/>
  <c r="AI28" i="1" s="1"/>
  <c r="AQ26" i="1"/>
  <c r="AQ28" i="1" s="1"/>
  <c r="AY26" i="1"/>
  <c r="AY28" i="1" s="1"/>
  <c r="BG26" i="1"/>
  <c r="BG28" i="1" s="1"/>
  <c r="BO26" i="1"/>
  <c r="BO28" i="1" s="1"/>
  <c r="BW26" i="1"/>
  <c r="BW28" i="1" s="1"/>
  <c r="CE26" i="1"/>
  <c r="CE28" i="1" s="1"/>
  <c r="CM26" i="1"/>
  <c r="CM28" i="1" s="1"/>
  <c r="H29" i="1"/>
  <c r="P29" i="1"/>
  <c r="X29" i="1"/>
  <c r="AF29" i="1"/>
  <c r="AN29" i="1"/>
  <c r="AV29" i="1"/>
  <c r="BD29" i="1"/>
  <c r="BL29" i="1"/>
  <c r="BT29" i="1"/>
  <c r="CB29" i="1"/>
  <c r="CJ29" i="1"/>
  <c r="D14" i="1"/>
  <c r="L14" i="1"/>
  <c r="T14" i="1"/>
  <c r="AB14" i="1"/>
  <c r="AJ14" i="1"/>
  <c r="AR14" i="1"/>
  <c r="AZ14" i="1"/>
  <c r="BH14" i="1"/>
  <c r="BP14" i="1"/>
  <c r="CN14" i="1"/>
  <c r="CQ23" i="1"/>
  <c r="CA25" i="1"/>
  <c r="CA27" i="1" s="1"/>
  <c r="Q29" i="1"/>
  <c r="CC29" i="1"/>
  <c r="CV29" i="1"/>
  <c r="L30" i="1"/>
  <c r="AI30" i="1"/>
  <c r="BB30" i="1"/>
  <c r="BX30" i="1"/>
  <c r="CU30" i="1"/>
  <c r="CU29" i="1"/>
  <c r="CH23" i="1"/>
  <c r="O25" i="1"/>
  <c r="O27" i="1" s="1"/>
  <c r="AE25" i="1"/>
  <c r="AE27" i="1" s="1"/>
  <c r="AU25" i="1"/>
  <c r="AU27" i="1" s="1"/>
  <c r="BK25" i="1"/>
  <c r="BK27" i="1" s="1"/>
  <c r="CB25" i="1"/>
  <c r="CB27" i="1" s="1"/>
  <c r="R29" i="1"/>
  <c r="AO29" i="1"/>
  <c r="CD29" i="1"/>
  <c r="DA29" i="1"/>
  <c r="N30" i="1"/>
  <c r="AJ30" i="1"/>
  <c r="BG30" i="1"/>
  <c r="BZ30" i="1"/>
  <c r="DC29" i="1"/>
  <c r="CQ29" i="1"/>
  <c r="DG30" i="1"/>
  <c r="CY30" i="1"/>
  <c r="CQ30" i="1"/>
  <c r="CI30" i="1"/>
  <c r="CA30" i="1"/>
  <c r="BS30" i="1"/>
  <c r="BK30" i="1"/>
  <c r="BC30" i="1"/>
  <c r="AU30" i="1"/>
  <c r="AM30" i="1"/>
  <c r="AE30" i="1"/>
  <c r="W30" i="1"/>
  <c r="O30" i="1"/>
  <c r="G30" i="1"/>
  <c r="DE30" i="1"/>
  <c r="CW30" i="1"/>
  <c r="CO30" i="1"/>
  <c r="CG30" i="1"/>
  <c r="BY30" i="1"/>
  <c r="BQ30" i="1"/>
  <c r="BI30" i="1"/>
  <c r="BA30" i="1"/>
  <c r="AS30" i="1"/>
  <c r="AK30" i="1"/>
  <c r="AC30" i="1"/>
  <c r="U30" i="1"/>
  <c r="M30" i="1"/>
  <c r="E30" i="1"/>
  <c r="DB30" i="1"/>
  <c r="CT30" i="1"/>
  <c r="CL30" i="1"/>
  <c r="CD30" i="1"/>
  <c r="BV30" i="1"/>
  <c r="BN30" i="1"/>
  <c r="BF30" i="1"/>
  <c r="AX30" i="1"/>
  <c r="AP30" i="1"/>
  <c r="AH30" i="1"/>
  <c r="Z30" i="1"/>
  <c r="R30" i="1"/>
  <c r="J30" i="1"/>
  <c r="DA30" i="1"/>
  <c r="CS30" i="1"/>
  <c r="CK30" i="1"/>
  <c r="CC30" i="1"/>
  <c r="BU30" i="1"/>
  <c r="BM30" i="1"/>
  <c r="BE30" i="1"/>
  <c r="AW30" i="1"/>
  <c r="AO30" i="1"/>
  <c r="AG30" i="1"/>
  <c r="Y30" i="1"/>
  <c r="Q30" i="1"/>
  <c r="I30" i="1"/>
  <c r="CZ30" i="1"/>
  <c r="CR30" i="1"/>
  <c r="CJ30" i="1"/>
  <c r="CB30" i="1"/>
  <c r="BT30" i="1"/>
  <c r="BL30" i="1"/>
  <c r="BD30" i="1"/>
  <c r="AV30" i="1"/>
  <c r="AN30" i="1"/>
  <c r="AF30" i="1"/>
  <c r="X30" i="1"/>
  <c r="P30" i="1"/>
  <c r="H30" i="1"/>
  <c r="F13" i="1"/>
  <c r="N13" i="1"/>
  <c r="V13" i="1"/>
  <c r="AD13" i="1"/>
  <c r="AL13" i="1"/>
  <c r="AT13" i="1"/>
  <c r="BB13" i="1"/>
  <c r="BJ13" i="1"/>
  <c r="BR13" i="1"/>
  <c r="BZ13" i="1"/>
  <c r="CH13" i="1"/>
  <c r="CP13" i="1"/>
  <c r="F14" i="1"/>
  <c r="N14" i="1"/>
  <c r="V14" i="1"/>
  <c r="AD14" i="1"/>
  <c r="AL14" i="1"/>
  <c r="AT14" i="1"/>
  <c r="BB14" i="1"/>
  <c r="BJ14" i="1"/>
  <c r="BR14" i="1"/>
  <c r="BZ14" i="1"/>
  <c r="CI23" i="1"/>
  <c r="P25" i="1"/>
  <c r="P27" i="1" s="1"/>
  <c r="AF25" i="1"/>
  <c r="AF27" i="1" s="1"/>
  <c r="AV25" i="1"/>
  <c r="AV27" i="1" s="1"/>
  <c r="BL25" i="1"/>
  <c r="BL27" i="1" s="1"/>
  <c r="DC25" i="1"/>
  <c r="DC27" i="1" s="1"/>
  <c r="BM29" i="1"/>
  <c r="S30" i="1"/>
  <c r="AL30" i="1"/>
  <c r="BH30" i="1"/>
  <c r="CE30" i="1"/>
  <c r="CX30" i="1"/>
  <c r="CM25" i="1"/>
  <c r="CM27" i="1" s="1"/>
  <c r="CM29" i="1"/>
  <c r="CW29" i="1"/>
  <c r="DE29" i="1"/>
  <c r="G13" i="1"/>
  <c r="O13" i="1"/>
  <c r="W13" i="1"/>
  <c r="AE13" i="1"/>
  <c r="AM13" i="1"/>
  <c r="AU13" i="1"/>
  <c r="BC13" i="1"/>
  <c r="BK13" i="1"/>
  <c r="BS13" i="1"/>
  <c r="CA13" i="1"/>
  <c r="CI13" i="1"/>
  <c r="CQ13" i="1"/>
  <c r="CA14" i="1"/>
  <c r="B25" i="1"/>
  <c r="B27" i="1" s="1"/>
  <c r="AX25" i="1"/>
  <c r="AX27" i="1" s="1"/>
  <c r="BN25" i="1"/>
  <c r="BN27" i="1" s="1"/>
  <c r="CI25" i="1"/>
  <c r="CI27" i="1" s="1"/>
  <c r="DE25" i="1"/>
  <c r="DE27" i="1" s="1"/>
  <c r="B29" i="1"/>
  <c r="Y29" i="1"/>
  <c r="CK29" i="1"/>
  <c r="DD29" i="1"/>
  <c r="T30" i="1"/>
  <c r="AQ30" i="1"/>
  <c r="BJ30" i="1"/>
  <c r="CF30" i="1"/>
  <c r="DC30" i="1"/>
  <c r="CS27" i="1"/>
  <c r="CS28" i="1"/>
  <c r="CS8" i="1" s="1"/>
  <c r="CJ25" i="1"/>
  <c r="CJ27" i="1" s="1"/>
  <c r="AW29" i="1"/>
  <c r="CL29" i="1"/>
  <c r="C30" i="1"/>
  <c r="V30" i="1"/>
  <c r="AR30" i="1"/>
  <c r="BO30" i="1"/>
  <c r="CH30" i="1"/>
  <c r="DD30" i="1"/>
  <c r="G25" i="1"/>
  <c r="G27" i="1" s="1"/>
  <c r="W25" i="1"/>
  <c r="W27" i="1" s="1"/>
  <c r="AM25" i="1"/>
  <c r="AM27" i="1" s="1"/>
  <c r="BC25" i="1"/>
  <c r="BC27" i="1" s="1"/>
  <c r="BS25" i="1"/>
  <c r="BS27" i="1" s="1"/>
  <c r="I29" i="1"/>
  <c r="BU29" i="1"/>
  <c r="D30" i="1"/>
  <c r="AA30" i="1"/>
  <c r="AT30" i="1"/>
  <c r="BP30" i="1"/>
  <c r="CM30" i="1"/>
  <c r="DF30" i="1"/>
  <c r="CS7" i="1" l="1"/>
  <c r="CS29" i="1"/>
  <c r="CS13" i="1"/>
</calcChain>
</file>

<file path=xl/sharedStrings.xml><?xml version="1.0" encoding="utf-8"?>
<sst xmlns="http://schemas.openxmlformats.org/spreadsheetml/2006/main" count="253" uniqueCount="192">
  <si>
    <t>Motor name</t>
  </si>
  <si>
    <t>T-motor U8 KV100</t>
  </si>
  <si>
    <t>T-motor U3 KV700</t>
  </si>
  <si>
    <t>T-motor U5 KV400</t>
  </si>
  <si>
    <t>T-motor U7 V2.0 KV280</t>
  </si>
  <si>
    <t>T-motor U11 KV90</t>
  </si>
  <si>
    <t>T-motor U11 II KV120</t>
  </si>
  <si>
    <t>T-motor U13 KV85</t>
  </si>
  <si>
    <t>T-motor U13 II KV130</t>
  </si>
  <si>
    <t>T-motor U15 II KV80</t>
  </si>
  <si>
    <t>T-motor U8 KV135</t>
  </si>
  <si>
    <t>T-motor U8 KV170</t>
  </si>
  <si>
    <t>T-motor U8 PRO KV100</t>
  </si>
  <si>
    <t>T-motor U8 PRO KV135</t>
  </si>
  <si>
    <t>T-motor U8 PRO KV170</t>
  </si>
  <si>
    <t>T-motor U8 II KV85</t>
  </si>
  <si>
    <t>T-motor U8 II KV100</t>
  </si>
  <si>
    <t>T-motor U8 II KV150</t>
  </si>
  <si>
    <t>T-motor U8 II KV190</t>
  </si>
  <si>
    <t>T-motor U8 Lite KV85</t>
  </si>
  <si>
    <t>T-motor U8 Lite KV100</t>
  </si>
  <si>
    <t>T-motor U8 Lite KV150</t>
  </si>
  <si>
    <t>T-motor U8 Lite KV190</t>
  </si>
  <si>
    <t>T-motor U10 KV80</t>
  </si>
  <si>
    <t>T-motor U10 KV100</t>
  </si>
  <si>
    <t>T-motor U10 II KV100</t>
  </si>
  <si>
    <t>T-motor U12 KV85</t>
  </si>
  <si>
    <t>T-motor U12 KV90</t>
  </si>
  <si>
    <t>T-motor U12 KV100</t>
  </si>
  <si>
    <t>T-motor U12 II KV120</t>
  </si>
  <si>
    <t>T-motor P60 KV170</t>
  </si>
  <si>
    <t>T-motor P60 KV340</t>
  </si>
  <si>
    <t>T-motor P80 KV100</t>
  </si>
  <si>
    <t>T-motor P80 KV120</t>
  </si>
  <si>
    <t>T-motor P80 KV170</t>
  </si>
  <si>
    <t>T-motor P80 III Pin KV100</t>
  </si>
  <si>
    <t>T-motor P80 III Pin KV120</t>
  </si>
  <si>
    <t>T-motor P80 III Without Pin KV100</t>
  </si>
  <si>
    <t>T-motor P80 III Without Pin KV120</t>
  </si>
  <si>
    <t>T-motor Antigravity MN4004 KV300</t>
  </si>
  <si>
    <t>T-motor Antigravity MN4004 KV400</t>
  </si>
  <si>
    <t>T-motor Antigravity MN4006 KV380</t>
  </si>
  <si>
    <t>T-motor MN6007 KV160</t>
  </si>
  <si>
    <t>T-motor MN6007 KV320</t>
  </si>
  <si>
    <t>T-motor MN7005 KV115</t>
  </si>
  <si>
    <t>T-motor MN7005 KV230</t>
  </si>
  <si>
    <t>T-motor MN1005 KV90</t>
  </si>
  <si>
    <t>T-motor MN501-S KV240</t>
  </si>
  <si>
    <t>T-motor MN501-S KV300</t>
  </si>
  <si>
    <t>T-motor MN501-S KV360</t>
  </si>
  <si>
    <t>T-motor MN505-S KV320</t>
  </si>
  <si>
    <t>T-motor MN505-S KV380</t>
  </si>
  <si>
    <t>T-motor MN601-S KV170</t>
  </si>
  <si>
    <t>T-motor MN601-S KV320</t>
  </si>
  <si>
    <t>T-motor MN605-S KV170</t>
  </si>
  <si>
    <t>T-motor MN605-S KV320</t>
  </si>
  <si>
    <t>T-motor MN701-S KV135</t>
  </si>
  <si>
    <t>T-motor MN701-S KV280</t>
  </si>
  <si>
    <t>T-motor MN705-S KV125</t>
  </si>
  <si>
    <t>T-motor MN705-S KV260</t>
  </si>
  <si>
    <t>T-motor MN801-S KV120</t>
  </si>
  <si>
    <t>T-motor MN801-S KV150</t>
  </si>
  <si>
    <t>T-motor MN805-S KV120</t>
  </si>
  <si>
    <t>T-motor MN805-S KV150</t>
  </si>
  <si>
    <t>T-motor MN805-S KV170</t>
  </si>
  <si>
    <t>T-motor MN1804 KV2400</t>
  </si>
  <si>
    <t>T-motor MN1806 KV1400</t>
  </si>
  <si>
    <t>T-motor MN1806 KV2300</t>
  </si>
  <si>
    <t>T-motor MN2204 KV1400</t>
  </si>
  <si>
    <t>T-motor MN2204 KV2300</t>
  </si>
  <si>
    <t>T-motor MN2212 V2.0 KV780</t>
  </si>
  <si>
    <t>T-motor MN2212 V2.0 KV920</t>
  </si>
  <si>
    <t>T-motor MN3110 KV470</t>
  </si>
  <si>
    <t>T-motor MN3110 KV700</t>
  </si>
  <si>
    <t>T-motor MN3110 KV780</t>
  </si>
  <si>
    <t>T-motor MN3508 KV380</t>
  </si>
  <si>
    <t>T-motor MN3508 KV580</t>
  </si>
  <si>
    <t>T-motor MN3508 KV700</t>
  </si>
  <si>
    <t>T-motor MN3510 KV360</t>
  </si>
  <si>
    <t>T-motor MN3510 KV630</t>
  </si>
  <si>
    <t>T-motor MN3510 KV700</t>
  </si>
  <si>
    <t>T-motor MN3515 KV400</t>
  </si>
  <si>
    <t>T-motor MN3520 KV400</t>
  </si>
  <si>
    <t>T-motor MN4010 KV370</t>
  </si>
  <si>
    <t>T-motor MN4010 KV475</t>
  </si>
  <si>
    <t>T-motor MN4010 KV580</t>
  </si>
  <si>
    <t>T-motor MN4012 KV340</t>
  </si>
  <si>
    <t>T-motor MN4012 KV400</t>
  </si>
  <si>
    <t>T-motor MN4012 KV480</t>
  </si>
  <si>
    <t>T-motor MN4014 KV330</t>
  </si>
  <si>
    <t>T-motor MN4014 KV400</t>
  </si>
  <si>
    <t>T-motor MN5208 KV340</t>
  </si>
  <si>
    <t>T-motor MN5212 KV340</t>
  </si>
  <si>
    <t>T-motor MN5212 KV420</t>
  </si>
  <si>
    <t>Halodi REV01-30</t>
  </si>
  <si>
    <t>Halodi REV01-15</t>
  </si>
  <si>
    <t>Halodi REV01-5</t>
  </si>
  <si>
    <t>TQ ILM25x04</t>
  </si>
  <si>
    <t>TQ ILM25x08</t>
  </si>
  <si>
    <t>TQ ILM38x06</t>
  </si>
  <si>
    <t>TQ ILM38x12</t>
  </si>
  <si>
    <t>TQ ILM50x08</t>
  </si>
  <si>
    <t>TQ ILM50x14</t>
  </si>
  <si>
    <t>TQ ILM70x10</t>
  </si>
  <si>
    <t>TQ ILM70x18</t>
  </si>
  <si>
    <t>TQ ILM85x04</t>
  </si>
  <si>
    <t>TQ ILM85x13</t>
  </si>
  <si>
    <t>TQ ILM85x23</t>
  </si>
  <si>
    <t>TQ ILM85x26</t>
  </si>
  <si>
    <t>TQ ILM115x25</t>
  </si>
  <si>
    <t>TQ ILM115x50</t>
  </si>
  <si>
    <t>Voltage, nominal (V)</t>
  </si>
  <si>
    <t>Voltage, knee (V)</t>
  </si>
  <si>
    <t>Transmission ratio, knee</t>
  </si>
  <si>
    <t>Speed, nominal (rad/s)</t>
  </si>
  <si>
    <t>Current, no load (A)</t>
  </si>
  <si>
    <t>Current, nominal (A)</t>
  </si>
  <si>
    <t>Current, peak (A)</t>
  </si>
  <si>
    <t>Power, nominal (W)</t>
  </si>
  <si>
    <t>Resistance, terminal (Ohm)</t>
  </si>
  <si>
    <t>Inductance, terminal (H)</t>
  </si>
  <si>
    <t>Torque constant, k_t (Nm/A)</t>
  </si>
  <si>
    <t>Motor constant, k_m (Nm/W^{1/2})</t>
  </si>
  <si>
    <t>Inertia (kg-m^2)</t>
  </si>
  <si>
    <t>Damping (Nm-s/rad)</t>
  </si>
  <si>
    <t>Thermal resistance, WA (K/W)</t>
  </si>
  <si>
    <t>Thermal resistance, HA (K/W)</t>
  </si>
  <si>
    <t>Thermal resistance, WH (K/W)</t>
  </si>
  <si>
    <t>Thermal time constant, winding (s)</t>
  </si>
  <si>
    <t>Thermal time constant, motor (s)</t>
  </si>
  <si>
    <t>Diameter (m)</t>
  </si>
  <si>
    <t>Height (m)</t>
  </si>
  <si>
    <t>Volume (m^3)</t>
  </si>
  <si>
    <t>Mass (kg)</t>
  </si>
  <si>
    <t>Torque, nominal (Nm)</t>
  </si>
  <si>
    <t>Torque, peak (Nm)</t>
  </si>
  <si>
    <t>Torque density, nominal (Nm/kg)</t>
  </si>
  <si>
    <t>Torque density, peak (Nm/kg)</t>
  </si>
  <si>
    <t>Power Loss Ratio per motor torque</t>
  </si>
  <si>
    <t>Transmission ratio for 20 Nm output</t>
  </si>
  <si>
    <t>Pole pairs</t>
  </si>
  <si>
    <t>Max efficiency (%)</t>
  </si>
  <si>
    <t>Frameless</t>
  </si>
  <si>
    <t>Website</t>
  </si>
  <si>
    <t>http://uav-en.tmotor.com/html/uav/html/2018/u_1106/9.html</t>
  </si>
  <si>
    <t>http://uav-en.tmotor.com/html/uav/html/2018/u_0222/3.html</t>
  </si>
  <si>
    <t>http://store-en.tmotor.com/goods.php?id=318</t>
  </si>
  <si>
    <t>http://uav-en.tmotor.com/html/uav/html/2018/u_0330/5.html</t>
  </si>
  <si>
    <t>http://uav-en.tmotor.com/html/uav/html/2018/u_0330/6.html</t>
  </si>
  <si>
    <t>http://uav-en.tmotor.com/html/uav/html/2018/u_1121/185.html</t>
  </si>
  <si>
    <t>http://uav-en.tmotor.com/html/uav/html/2018/u_1106/7.html</t>
  </si>
  <si>
    <t>http://uav-en.tmotor.com/html/uav/html/2019/u_0121/206.html</t>
  </si>
  <si>
    <t>http://uav-en.tmotor.com/html/uav/html/2018/u_0330/8.html</t>
  </si>
  <si>
    <t>http://uav-en.tmotor.com/html/uav/html/2018/u_0330/10.html</t>
  </si>
  <si>
    <t>http://uav-en.tmotor.com/html/uav/html/2018/u_0402/22.html</t>
  </si>
  <si>
    <t>http://uav-en.tmotor.com/html/uav/html/2018/u_0402/21.html</t>
  </si>
  <si>
    <t>http://uav-en.tmotor.com/html/uav/html/2018/u_0330/11.html</t>
  </si>
  <si>
    <t>http://uav-en.tmotor.com/html/uav/html/2018/u_1020/20.html</t>
  </si>
  <si>
    <t>http://uav-en.tmotor.com/html/uav/html/2018/u_0330/13.html</t>
  </si>
  <si>
    <t>http://uav-en.tmotor.com/html/uav/html/2018/p_0331/14.html</t>
  </si>
  <si>
    <t>http://uav-en.tmotor.com/html/uav/html/2018/p_0330/15.html</t>
  </si>
  <si>
    <t>http://uav-en.tmotor.com/html/uav/html/2019/p_0129/208.html</t>
  </si>
  <si>
    <t>http://uav-en.tmotor.com/html/uav/html/2019/p_0129/209.html</t>
  </si>
  <si>
    <t>http://uav-en.tmotor.com/html/uav/html/2018/antigravity_0402/23.html</t>
  </si>
  <si>
    <t>http://uav-en.tmotor.com/html/uav/html/2018/antigravity_0402/24.html</t>
  </si>
  <si>
    <t>http://uav-en.tmotor.com/html/uav/html/2019/antigravity_0109/195.html</t>
  </si>
  <si>
    <t>http://uav-en.tmotor.com/html/uav/html/2018/antigravity_0402/61.html</t>
  </si>
  <si>
    <t>http://uav-en.tmotor.com/html/uav/html/2019/antigravity_0809/283.html</t>
  </si>
  <si>
    <t>http://uav-en.tmotor.com/html/uav/html/2018/navigato_0402/39.html</t>
  </si>
  <si>
    <t>http://uav-en.tmotor.com/html/uav/html/2018/navigato_0402/40.html</t>
  </si>
  <si>
    <t>http://uav-en.tmotor.com/html/uav/html/2018/navigato_0402/41.html</t>
  </si>
  <si>
    <t>http://uav-en.tmotor.com/html/uav/html/2018/navigato_0402/42.html</t>
  </si>
  <si>
    <t>http://uav-en.tmotor.com/html/uav/html/2018/navigato_0402/43.html</t>
  </si>
  <si>
    <t>http://uav-en.tmotor.com/html/uav/html/2018/navigato_0402/44.html</t>
  </si>
  <si>
    <t>http://uav-en.tmotor.com/html/uav/html/2018/navigato_0402/45.html</t>
  </si>
  <si>
    <t>http://uav-en.tmotor.com/html/uav/html/2018/navigato_0402/46.html</t>
  </si>
  <si>
    <t>http://uav-en.tmotor.com/html/uav/html/2018/navigato_0402/47.html</t>
  </si>
  <si>
    <t>http://uav-en.tmotor.com/html/uav/html/2018/navigato_0402/48.html</t>
  </si>
  <si>
    <t>http://uav-en.tmotor.com/html/uav/html/2018/navigato_0402/49.html</t>
  </si>
  <si>
    <t>http://uav-en.tmotor.com/html/uav/html/2018/navigato_0402/50.html</t>
  </si>
  <si>
    <t>http://uav-en.tmotor.com/html/uav/html/2018/navigato_0402/51.html</t>
  </si>
  <si>
    <t>http://uav-en.tmotor.com/html/uav/html/2018/navigato_0402/52.html</t>
  </si>
  <si>
    <t>http://uav-en.tmotor.com/html/uav/html/2018/navigato_0402/53.html</t>
  </si>
  <si>
    <t>http://uav-en.tmotor.com/html/uav/html/2018/navigato_0402/54.html</t>
  </si>
  <si>
    <t>http://uav-en.tmotor.com/html/uav/html/2018/navigato_0402/55.html</t>
  </si>
  <si>
    <t>http://uav-en.tmotor.com/html/uav/html/2018/navigato_0402/56.html</t>
  </si>
  <si>
    <t>http://uav-en.tmotor.com/html/uav/html/2018/navigato_0402/57.html</t>
  </si>
  <si>
    <t>http://uav-en.tmotor.com/html/uav/html/2018/navigato_0402/58.html</t>
  </si>
  <si>
    <t>http://uav-en.tmotor.com/html/uav/html/2018/navigato_0402/59.html</t>
  </si>
  <si>
    <t>http://uav-en.tmotor.com/html/uav/html/2018/navigato_0402/60.html</t>
  </si>
  <si>
    <t>https://www.halodi.com/revo1</t>
  </si>
  <si>
    <t>https://www.tq-group.com/filedownloads/files/products/robodrive/data-sheets/en/DRVA_DB_Servo-Kits_ILM_EN_Rev402_Web_01.pdf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</si>
</sst>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"/>
    <numFmt numFmtId="166" formatCode="0.000"/>
    <numFmt numFmtId="167" formatCode="0.00000"/>
    <numFmt numFmtId="168" formatCode="0.0000000"/>
    <numFmt numFmtId="169" formatCode="0.00000000"/>
    <numFmt numFmtId="170" formatCode="0.0000000000"/>
    <numFmt numFmtId="171" formatCode="0.000000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2" fontId="1" fillId="0" borderId="0" xfId="0" applyNumberFormat="1" applyFont="1" applyFill="1" applyAlignment="1"/>
    <xf numFmtId="0" fontId="0" fillId="0" borderId="0" xfId="0" applyFont="1" applyFill="1" applyAlignment="1"/>
    <xf numFmtId="1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/>
    <xf numFmtId="164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/>
    <xf numFmtId="165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 applyAlignment="1">
      <alignment horizontal="right"/>
    </xf>
    <xf numFmtId="168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 applyAlignment="1"/>
    <xf numFmtId="2" fontId="3" fillId="0" borderId="0" xfId="0" applyNumberFormat="1" applyFont="1" applyFill="1" applyAlignment="1"/>
    <xf numFmtId="2" fontId="4" fillId="0" borderId="1" xfId="0" applyNumberFormat="1" applyFont="1" applyFill="1" applyBorder="1" applyAlignment="1"/>
    <xf numFmtId="2" fontId="1" fillId="0" borderId="1" xfId="0" applyNumberFormat="1" applyFont="1" applyFill="1" applyBorder="1" applyAlignment="1"/>
    <xf numFmtId="169" fontId="1" fillId="0" borderId="0" xfId="0" applyNumberFormat="1" applyFont="1" applyFill="1" applyAlignment="1"/>
    <xf numFmtId="170" fontId="1" fillId="0" borderId="0" xfId="0" applyNumberFormat="1" applyFont="1" applyFill="1" applyAlignment="1"/>
    <xf numFmtId="171" fontId="1" fillId="0" borderId="0" xfId="0" applyNumberFormat="1" applyFont="1" applyFill="1" applyAlignment="1"/>
    <xf numFmtId="2" fontId="5" fillId="0" borderId="0" xfId="0" applyNumberFormat="1" applyFont="1" applyFill="1" applyAlignment="1"/>
    <xf numFmtId="1" fontId="5" fillId="0" borderId="0" xfId="0" applyNumberFormat="1" applyFont="1" applyFill="1" applyAlignment="1"/>
    <xf numFmtId="1" fontId="6" fillId="0" borderId="0" xfId="0" applyNumberFormat="1" applyFont="1" applyFill="1" applyAlignment="1"/>
    <xf numFmtId="164" fontId="5" fillId="0" borderId="0" xfId="0" applyNumberFormat="1" applyFont="1" applyFill="1" applyAlignment="1"/>
    <xf numFmtId="165" fontId="5" fillId="0" borderId="0" xfId="0" applyNumberFormat="1" applyFont="1" applyFill="1" applyAlignment="1"/>
    <xf numFmtId="166" fontId="5" fillId="0" borderId="0" xfId="0" applyNumberFormat="1" applyFont="1" applyFill="1" applyAlignment="1"/>
    <xf numFmtId="167" fontId="5" fillId="0" borderId="0" xfId="0" applyNumberFormat="1" applyFont="1" applyFill="1" applyAlignment="1"/>
    <xf numFmtId="169" fontId="5" fillId="0" borderId="0" xfId="0" applyNumberFormat="1" applyFont="1" applyFill="1" applyAlignment="1"/>
    <xf numFmtId="171" fontId="5" fillId="0" borderId="0" xfId="0" applyNumberFormat="1" applyFont="1" applyFill="1" applyAlignment="1"/>
    <xf numFmtId="0" fontId="7" fillId="0" borderId="0" xfId="0" applyFont="1" applyFill="1" applyAlignment="1"/>
    <xf numFmtId="171" fontId="1" fillId="0" borderId="0" xfId="0" applyNumberFormat="1" applyFont="1" applyFill="1" applyAlignment="1">
      <alignment horizontal="right"/>
    </xf>
    <xf numFmtId="171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uav-en.tmotor.com/html/uav/html/2018/u_0330/13.html" TargetMode="External"/><Relationship Id="rId21" Type="http://schemas.openxmlformats.org/officeDocument/2006/relationships/hyperlink" Target="http://uav-en.tmotor.com/html/uav/html/2018/u_0402/21.html" TargetMode="External"/><Relationship Id="rId42" Type="http://schemas.openxmlformats.org/officeDocument/2006/relationships/hyperlink" Target="http://uav-en.tmotor.com/html/uav/html/2019/antigravity_0109/195.html" TargetMode="External"/><Relationship Id="rId47" Type="http://schemas.openxmlformats.org/officeDocument/2006/relationships/hyperlink" Target="http://uav-en.tmotor.com/html/uav/html/2018/navigato_0402/39.html" TargetMode="External"/><Relationship Id="rId63" Type="http://schemas.openxmlformats.org/officeDocument/2006/relationships/hyperlink" Target="http://uav-en.tmotor.com/html/uav/html/2018/navigato_0402/46.html" TargetMode="External"/><Relationship Id="rId68" Type="http://schemas.openxmlformats.org/officeDocument/2006/relationships/hyperlink" Target="http://uav-en.tmotor.com/html/uav/html/2018/navigato_0402/49.html" TargetMode="External"/><Relationship Id="rId84" Type="http://schemas.openxmlformats.org/officeDocument/2006/relationships/hyperlink" Target="http://uav-en.tmotor.com/html/uav/html/2018/navigato_0402/56.html" TargetMode="External"/><Relationship Id="rId89" Type="http://schemas.openxmlformats.org/officeDocument/2006/relationships/hyperlink" Target="http://uav-en.tmotor.com/html/uav/html/2018/navigato_0402/58.html" TargetMode="External"/><Relationship Id="rId2" Type="http://schemas.openxmlformats.org/officeDocument/2006/relationships/hyperlink" Target="http://uav-en.tmotor.com/html/uav/html/2018/u_0222/3.html" TargetMode="External"/><Relationship Id="rId16" Type="http://schemas.openxmlformats.org/officeDocument/2006/relationships/hyperlink" Target="http://uav-en.tmotor.com/html/uav/html/2018/u_0402/22.html" TargetMode="External"/><Relationship Id="rId29" Type="http://schemas.openxmlformats.org/officeDocument/2006/relationships/hyperlink" Target="http://uav-en.tmotor.com/html/uav/html/2018/p_0331/14.html" TargetMode="External"/><Relationship Id="rId107" Type="http://schemas.openxmlformats.org/officeDocument/2006/relationships/hyperlink" Target="https://www.tq-group.com/filedownloads/files/products/robodrive/data-sheets/en/DRVA_DB_Servo-Kits_ILM_EN_Rev402_Web_01.pdf" TargetMode="External"/><Relationship Id="rId11" Type="http://schemas.openxmlformats.org/officeDocument/2006/relationships/hyperlink" Target="http://uav-en.tmotor.com/html/uav/html/2018/u_1106/9.html" TargetMode="External"/><Relationship Id="rId24" Type="http://schemas.openxmlformats.org/officeDocument/2006/relationships/hyperlink" Target="http://uav-en.tmotor.com/html/uav/html/2018/u_0330/11.html" TargetMode="External"/><Relationship Id="rId32" Type="http://schemas.openxmlformats.org/officeDocument/2006/relationships/hyperlink" Target="http://uav-en.tmotor.com/html/uav/html/2018/p_0330/15.html" TargetMode="External"/><Relationship Id="rId37" Type="http://schemas.openxmlformats.org/officeDocument/2006/relationships/hyperlink" Target="http://uav-en.tmotor.com/html/uav/html/2019/p_0129/209.html" TargetMode="External"/><Relationship Id="rId40" Type="http://schemas.openxmlformats.org/officeDocument/2006/relationships/hyperlink" Target="http://uav-en.tmotor.com/html/uav/html/2018/antigravity_0402/24.html" TargetMode="External"/><Relationship Id="rId45" Type="http://schemas.openxmlformats.org/officeDocument/2006/relationships/hyperlink" Target="http://uav-en.tmotor.com/html/uav/html/2019/antigravity_0809/283.html" TargetMode="External"/><Relationship Id="rId53" Type="http://schemas.openxmlformats.org/officeDocument/2006/relationships/hyperlink" Target="http://uav-en.tmotor.com/html/uav/html/2018/navigato_0402/42.html" TargetMode="External"/><Relationship Id="rId58" Type="http://schemas.openxmlformats.org/officeDocument/2006/relationships/hyperlink" Target="http://uav-en.tmotor.com/html/uav/html/2018/navigato_0402/44.html" TargetMode="External"/><Relationship Id="rId66" Type="http://schemas.openxmlformats.org/officeDocument/2006/relationships/hyperlink" Target="http://uav-en.tmotor.com/html/uav/html/2018/navigato_0402/48.html" TargetMode="External"/><Relationship Id="rId74" Type="http://schemas.openxmlformats.org/officeDocument/2006/relationships/hyperlink" Target="http://uav-en.tmotor.com/html/uav/html/2018/navigato_0402/52.html" TargetMode="External"/><Relationship Id="rId79" Type="http://schemas.openxmlformats.org/officeDocument/2006/relationships/hyperlink" Target="http://uav-en.tmotor.com/html/uav/html/2018/navigato_0402/53.html" TargetMode="External"/><Relationship Id="rId87" Type="http://schemas.openxmlformats.org/officeDocument/2006/relationships/hyperlink" Target="http://uav-en.tmotor.com/html/uav/html/2018/navigato_0402/57.html" TargetMode="External"/><Relationship Id="rId102" Type="http://schemas.openxmlformats.org/officeDocument/2006/relationships/hyperlink" Target="https://www.tq-group.com/filedownloads/files/products/robodrive/data-sheets/en/DRVA_DB_Servo-Kits_ILM_EN_Rev402_Web_01.pdf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://uav-en.tmotor.com/html/uav/html/2018/u_0330/6.html" TargetMode="External"/><Relationship Id="rId61" Type="http://schemas.openxmlformats.org/officeDocument/2006/relationships/hyperlink" Target="http://uav-en.tmotor.com/html/uav/html/2018/navigato_0402/46.html" TargetMode="External"/><Relationship Id="rId82" Type="http://schemas.openxmlformats.org/officeDocument/2006/relationships/hyperlink" Target="http://uav-en.tmotor.com/html/uav/html/2018/navigato_0402/56.html" TargetMode="External"/><Relationship Id="rId90" Type="http://schemas.openxmlformats.org/officeDocument/2006/relationships/hyperlink" Target="http://uav-en.tmotor.com/html/uav/html/2018/navigato_0402/59.html" TargetMode="External"/><Relationship Id="rId95" Type="http://schemas.openxmlformats.org/officeDocument/2006/relationships/hyperlink" Target="https://www.halodi.com/revo1" TargetMode="External"/><Relationship Id="rId19" Type="http://schemas.openxmlformats.org/officeDocument/2006/relationships/hyperlink" Target="http://uav-en.tmotor.com/html/uav/html/2018/u_0402/21.html" TargetMode="External"/><Relationship Id="rId14" Type="http://schemas.openxmlformats.org/officeDocument/2006/relationships/hyperlink" Target="http://uav-en.tmotor.com/html/uav/html/2018/u_0330/10.html" TargetMode="External"/><Relationship Id="rId22" Type="http://schemas.openxmlformats.org/officeDocument/2006/relationships/hyperlink" Target="http://uav-en.tmotor.com/html/uav/html/2018/u_0402/21.html" TargetMode="External"/><Relationship Id="rId27" Type="http://schemas.openxmlformats.org/officeDocument/2006/relationships/hyperlink" Target="http://uav-en.tmotor.com/html/uav/html/2018/u_0330/13.html" TargetMode="External"/><Relationship Id="rId30" Type="http://schemas.openxmlformats.org/officeDocument/2006/relationships/hyperlink" Target="http://uav-en.tmotor.com/html/uav/html/2018/p_0331/14.html" TargetMode="External"/><Relationship Id="rId35" Type="http://schemas.openxmlformats.org/officeDocument/2006/relationships/hyperlink" Target="http://uav-en.tmotor.com/html/uav/html/2019/p_0129/208.html" TargetMode="External"/><Relationship Id="rId43" Type="http://schemas.openxmlformats.org/officeDocument/2006/relationships/hyperlink" Target="http://uav-en.tmotor.com/html/uav/html/2018/antigravity_0402/61.html" TargetMode="External"/><Relationship Id="rId48" Type="http://schemas.openxmlformats.org/officeDocument/2006/relationships/hyperlink" Target="http://uav-en.tmotor.com/html/uav/html/2018/navigato_0402/39.html" TargetMode="External"/><Relationship Id="rId56" Type="http://schemas.openxmlformats.org/officeDocument/2006/relationships/hyperlink" Target="http://uav-en.tmotor.com/html/uav/html/2018/navigato_0402/43.html" TargetMode="External"/><Relationship Id="rId64" Type="http://schemas.openxmlformats.org/officeDocument/2006/relationships/hyperlink" Target="http://uav-en.tmotor.com/html/uav/html/2018/navigato_0402/47.html" TargetMode="External"/><Relationship Id="rId69" Type="http://schemas.openxmlformats.org/officeDocument/2006/relationships/hyperlink" Target="http://uav-en.tmotor.com/html/uav/html/2018/navigato_0402/50.html" TargetMode="External"/><Relationship Id="rId77" Type="http://schemas.openxmlformats.org/officeDocument/2006/relationships/hyperlink" Target="http://uav-en.tmotor.com/html/uav/html/2018/navigato_0402/53.html" TargetMode="External"/><Relationship Id="rId100" Type="http://schemas.openxmlformats.org/officeDocument/2006/relationships/hyperlink" Target="https://www.tq-group.com/filedownloads/files/products/robodrive/data-sheets/en/DRVA_DB_Servo-Kits_ILM_EN_Rev402_Web_01.pdf" TargetMode="External"/><Relationship Id="rId105" Type="http://schemas.openxmlformats.org/officeDocument/2006/relationships/hyperlink" Target="https://www.tq-group.com/filedownloads/files/products/robodrive/data-sheets/en/DRVA_DB_Servo-Kits_ILM_EN_Rev402_Web_01.pdf" TargetMode="External"/><Relationship Id="rId8" Type="http://schemas.openxmlformats.org/officeDocument/2006/relationships/hyperlink" Target="http://uav-en.tmotor.com/html/uav/html/2019/u_0121/206.html" TargetMode="External"/><Relationship Id="rId51" Type="http://schemas.openxmlformats.org/officeDocument/2006/relationships/hyperlink" Target="http://uav-en.tmotor.com/html/uav/html/2018/navigato_0402/41.html" TargetMode="External"/><Relationship Id="rId72" Type="http://schemas.openxmlformats.org/officeDocument/2006/relationships/hyperlink" Target="http://uav-en.tmotor.com/html/uav/html/2018/navigato_0402/51.html" TargetMode="External"/><Relationship Id="rId80" Type="http://schemas.openxmlformats.org/officeDocument/2006/relationships/hyperlink" Target="http://uav-en.tmotor.com/html/uav/html/2018/navigato_0402/54.html" TargetMode="External"/><Relationship Id="rId85" Type="http://schemas.openxmlformats.org/officeDocument/2006/relationships/hyperlink" Target="http://uav-en.tmotor.com/html/uav/html/2018/navigato_0402/57.html" TargetMode="External"/><Relationship Id="rId93" Type="http://schemas.openxmlformats.org/officeDocument/2006/relationships/hyperlink" Target="https://www.halodi.com/revo1" TargetMode="External"/><Relationship Id="rId98" Type="http://schemas.openxmlformats.org/officeDocument/2006/relationships/hyperlink" Target="https://www.tq-group.com/filedownloads/files/products/robodrive/data-sheets/en/DRVA_DB_Servo-Kits_ILM_EN_Rev402_Web_01.pdf" TargetMode="External"/><Relationship Id="rId3" Type="http://schemas.openxmlformats.org/officeDocument/2006/relationships/hyperlink" Target="http://store-en.tmotor.com/goods.php?id=318" TargetMode="External"/><Relationship Id="rId12" Type="http://schemas.openxmlformats.org/officeDocument/2006/relationships/hyperlink" Target="http://uav-en.tmotor.com/html/uav/html/2018/u_0330/10.html" TargetMode="External"/><Relationship Id="rId17" Type="http://schemas.openxmlformats.org/officeDocument/2006/relationships/hyperlink" Target="http://uav-en.tmotor.com/html/uav/html/2018/u_0402/22.html" TargetMode="External"/><Relationship Id="rId25" Type="http://schemas.openxmlformats.org/officeDocument/2006/relationships/hyperlink" Target="http://uav-en.tmotor.com/html/uav/html/2018/u_1020/20.html" TargetMode="External"/><Relationship Id="rId33" Type="http://schemas.openxmlformats.org/officeDocument/2006/relationships/hyperlink" Target="http://uav-en.tmotor.com/html/uav/html/2018/p_0330/15.html" TargetMode="External"/><Relationship Id="rId38" Type="http://schemas.openxmlformats.org/officeDocument/2006/relationships/hyperlink" Target="http://uav-en.tmotor.com/html/uav/html/2018/antigravity_0402/23.html" TargetMode="External"/><Relationship Id="rId46" Type="http://schemas.openxmlformats.org/officeDocument/2006/relationships/hyperlink" Target="http://uav-en.tmotor.com/html/uav/html/2018/navigato_0402/39.html" TargetMode="External"/><Relationship Id="rId59" Type="http://schemas.openxmlformats.org/officeDocument/2006/relationships/hyperlink" Target="http://uav-en.tmotor.com/html/uav/html/2018/navigato_0402/45.html" TargetMode="External"/><Relationship Id="rId67" Type="http://schemas.openxmlformats.org/officeDocument/2006/relationships/hyperlink" Target="http://uav-en.tmotor.com/html/uav/html/2018/navigato_0402/49.html" TargetMode="External"/><Relationship Id="rId103" Type="http://schemas.openxmlformats.org/officeDocument/2006/relationships/hyperlink" Target="https://www.tq-group.com/filedownloads/files/products/robodrive/data-sheets/en/DRVA_DB_Servo-Kits_ILM_EN_Rev402_Web_01.pdf" TargetMode="External"/><Relationship Id="rId108" Type="http://schemas.openxmlformats.org/officeDocument/2006/relationships/hyperlink" Target="https://www.tq-group.com/filedownloads/files/products/robodrive/data-sheets/en/DRVA_DB_Servo-Kits_ILM_EN_Rev402_Web_01.pdf" TargetMode="External"/><Relationship Id="rId20" Type="http://schemas.openxmlformats.org/officeDocument/2006/relationships/hyperlink" Target="http://uav-en.tmotor.com/html/uav/html/2018/u_0402/21.html" TargetMode="External"/><Relationship Id="rId41" Type="http://schemas.openxmlformats.org/officeDocument/2006/relationships/hyperlink" Target="http://uav-en.tmotor.com/html/uav/html/2019/antigravity_0109/195.html" TargetMode="External"/><Relationship Id="rId54" Type="http://schemas.openxmlformats.org/officeDocument/2006/relationships/hyperlink" Target="http://uav-en.tmotor.com/html/uav/html/2018/navigato_0402/42.html" TargetMode="External"/><Relationship Id="rId62" Type="http://schemas.openxmlformats.org/officeDocument/2006/relationships/hyperlink" Target="http://uav-en.tmotor.com/html/uav/html/2018/navigato_0402/46.html" TargetMode="External"/><Relationship Id="rId70" Type="http://schemas.openxmlformats.org/officeDocument/2006/relationships/hyperlink" Target="http://uav-en.tmotor.com/html/uav/html/2018/navigato_0402/50.html" TargetMode="External"/><Relationship Id="rId75" Type="http://schemas.openxmlformats.org/officeDocument/2006/relationships/hyperlink" Target="http://uav-en.tmotor.com/html/uav/html/2018/navigato_0402/52.html" TargetMode="External"/><Relationship Id="rId83" Type="http://schemas.openxmlformats.org/officeDocument/2006/relationships/hyperlink" Target="http://uav-en.tmotor.com/html/uav/html/2018/navigato_0402/56.html" TargetMode="External"/><Relationship Id="rId88" Type="http://schemas.openxmlformats.org/officeDocument/2006/relationships/hyperlink" Target="http://uav-en.tmotor.com/html/uav/html/2018/navigato_0402/58.html" TargetMode="External"/><Relationship Id="rId91" Type="http://schemas.openxmlformats.org/officeDocument/2006/relationships/hyperlink" Target="http://uav-en.tmotor.com/html/uav/html/2018/navigato_0402/60.html" TargetMode="External"/><Relationship Id="rId96" Type="http://schemas.openxmlformats.org/officeDocument/2006/relationships/hyperlink" Target="https://www.tq-group.com/filedownloads/files/products/robodrive/data-sheets/en/DRVA_DB_Servo-Kits_ILM_EN_Rev402_Web_01.pdf" TargetMode="External"/><Relationship Id="rId1" Type="http://schemas.openxmlformats.org/officeDocument/2006/relationships/hyperlink" Target="http://uav-en.tmotor.com/html/uav/html/2018/u_1106/9.html" TargetMode="External"/><Relationship Id="rId6" Type="http://schemas.openxmlformats.org/officeDocument/2006/relationships/hyperlink" Target="http://uav-en.tmotor.com/html/uav/html/2018/u_1121/185.html" TargetMode="External"/><Relationship Id="rId15" Type="http://schemas.openxmlformats.org/officeDocument/2006/relationships/hyperlink" Target="http://uav-en.tmotor.com/html/uav/html/2018/u_0402/22.html" TargetMode="External"/><Relationship Id="rId23" Type="http://schemas.openxmlformats.org/officeDocument/2006/relationships/hyperlink" Target="http://uav-en.tmotor.com/html/uav/html/2018/u_0330/11.html" TargetMode="External"/><Relationship Id="rId28" Type="http://schemas.openxmlformats.org/officeDocument/2006/relationships/hyperlink" Target="http://uav-en.tmotor.com/html/uav/html/2018/u_0330/13.html" TargetMode="External"/><Relationship Id="rId36" Type="http://schemas.openxmlformats.org/officeDocument/2006/relationships/hyperlink" Target="http://uav-en.tmotor.com/html/uav/html/2019/p_0129/209.html" TargetMode="External"/><Relationship Id="rId49" Type="http://schemas.openxmlformats.org/officeDocument/2006/relationships/hyperlink" Target="http://uav-en.tmotor.com/html/uav/html/2018/navigato_0402/40.html" TargetMode="External"/><Relationship Id="rId57" Type="http://schemas.openxmlformats.org/officeDocument/2006/relationships/hyperlink" Target="http://uav-en.tmotor.com/html/uav/html/2018/navigato_0402/44.html" TargetMode="External"/><Relationship Id="rId106" Type="http://schemas.openxmlformats.org/officeDocument/2006/relationships/hyperlink" Target="https://www.tq-group.com/filedownloads/files/products/robodrive/data-sheets/en/DRVA_DB_Servo-Kits_ILM_EN_Rev402_Web_01.pdf" TargetMode="External"/><Relationship Id="rId10" Type="http://schemas.openxmlformats.org/officeDocument/2006/relationships/hyperlink" Target="http://uav-en.tmotor.com/html/uav/html/2018/u_1106/9.html" TargetMode="External"/><Relationship Id="rId31" Type="http://schemas.openxmlformats.org/officeDocument/2006/relationships/hyperlink" Target="http://uav-en.tmotor.com/html/uav/html/2018/p_0330/15.html" TargetMode="External"/><Relationship Id="rId44" Type="http://schemas.openxmlformats.org/officeDocument/2006/relationships/hyperlink" Target="http://uav-en.tmotor.com/html/uav/html/2018/antigravity_0402/61.html" TargetMode="External"/><Relationship Id="rId52" Type="http://schemas.openxmlformats.org/officeDocument/2006/relationships/hyperlink" Target="http://uav-en.tmotor.com/html/uav/html/2018/navigato_0402/41.html" TargetMode="External"/><Relationship Id="rId60" Type="http://schemas.openxmlformats.org/officeDocument/2006/relationships/hyperlink" Target="http://uav-en.tmotor.com/html/uav/html/2018/navigato_0402/45.html" TargetMode="External"/><Relationship Id="rId65" Type="http://schemas.openxmlformats.org/officeDocument/2006/relationships/hyperlink" Target="http://uav-en.tmotor.com/html/uav/html/2018/navigato_0402/48.html" TargetMode="External"/><Relationship Id="rId73" Type="http://schemas.openxmlformats.org/officeDocument/2006/relationships/hyperlink" Target="http://uav-en.tmotor.com/html/uav/html/2018/navigato_0402/51.html" TargetMode="External"/><Relationship Id="rId78" Type="http://schemas.openxmlformats.org/officeDocument/2006/relationships/hyperlink" Target="http://uav-en.tmotor.com/html/uav/html/2018/navigato_0402/53.html" TargetMode="External"/><Relationship Id="rId81" Type="http://schemas.openxmlformats.org/officeDocument/2006/relationships/hyperlink" Target="http://uav-en.tmotor.com/html/uav/html/2018/navigato_0402/55.html" TargetMode="External"/><Relationship Id="rId86" Type="http://schemas.openxmlformats.org/officeDocument/2006/relationships/hyperlink" Target="http://uav-en.tmotor.com/html/uav/html/2018/navigato_0402/57.html" TargetMode="External"/><Relationship Id="rId94" Type="http://schemas.openxmlformats.org/officeDocument/2006/relationships/hyperlink" Target="https://www.halodi.com/revo1" TargetMode="External"/><Relationship Id="rId99" Type="http://schemas.openxmlformats.org/officeDocument/2006/relationships/hyperlink" Target="https://www.tq-group.com/filedownloads/files/products/robodrive/data-sheets/en/DRVA_DB_Servo-Kits_ILM_EN_Rev402_Web_01.pdf" TargetMode="External"/><Relationship Id="rId101" Type="http://schemas.openxmlformats.org/officeDocument/2006/relationships/hyperlink" Target="https://www.tq-group.com/filedownloads/files/products/robodrive/data-sheets/en/DRVA_DB_Servo-Kits_ILM_EN_Rev402_Web_01.pdf" TargetMode="External"/><Relationship Id="rId4" Type="http://schemas.openxmlformats.org/officeDocument/2006/relationships/hyperlink" Target="http://uav-en.tmotor.com/html/uav/html/2018/u_0330/5.html" TargetMode="External"/><Relationship Id="rId9" Type="http://schemas.openxmlformats.org/officeDocument/2006/relationships/hyperlink" Target="http://uav-en.tmotor.com/html/uav/html/2018/u_0330/8.html" TargetMode="External"/><Relationship Id="rId13" Type="http://schemas.openxmlformats.org/officeDocument/2006/relationships/hyperlink" Target="http://uav-en.tmotor.com/html/uav/html/2018/u_0330/10.html" TargetMode="External"/><Relationship Id="rId18" Type="http://schemas.openxmlformats.org/officeDocument/2006/relationships/hyperlink" Target="http://uav-en.tmotor.com/html/uav/html/2018/u_0402/22.html" TargetMode="External"/><Relationship Id="rId39" Type="http://schemas.openxmlformats.org/officeDocument/2006/relationships/hyperlink" Target="http://uav-en.tmotor.com/html/uav/html/2018/antigravity_0402/23.html" TargetMode="External"/><Relationship Id="rId109" Type="http://schemas.openxmlformats.org/officeDocument/2006/relationships/hyperlink" Target="https://www.tq-group.com/filedownloads/files/products/robodrive/data-sheets/en/DRVA_DB_Servo-Kits_ILM_EN_Rev402_Web_01.pdf" TargetMode="External"/><Relationship Id="rId34" Type="http://schemas.openxmlformats.org/officeDocument/2006/relationships/hyperlink" Target="http://uav-en.tmotor.com/html/uav/html/2019/p_0129/208.html" TargetMode="External"/><Relationship Id="rId50" Type="http://schemas.openxmlformats.org/officeDocument/2006/relationships/hyperlink" Target="http://uav-en.tmotor.com/html/uav/html/2018/navigato_0402/40.html" TargetMode="External"/><Relationship Id="rId55" Type="http://schemas.openxmlformats.org/officeDocument/2006/relationships/hyperlink" Target="http://uav-en.tmotor.com/html/uav/html/2018/navigato_0402/43.html" TargetMode="External"/><Relationship Id="rId76" Type="http://schemas.openxmlformats.org/officeDocument/2006/relationships/hyperlink" Target="http://uav-en.tmotor.com/html/uav/html/2018/navigato_0402/52.html" TargetMode="External"/><Relationship Id="rId97" Type="http://schemas.openxmlformats.org/officeDocument/2006/relationships/hyperlink" Target="https://www.tq-group.com/filedownloads/files/products/robodrive/data-sheets/en/DRVA_DB_Servo-Kits_ILM_EN_Rev402_Web_01.pdf" TargetMode="External"/><Relationship Id="rId104" Type="http://schemas.openxmlformats.org/officeDocument/2006/relationships/hyperlink" Target="https://www.tq-group.com/filedownloads/files/products/robodrive/data-sheets/en/DRVA_DB_Servo-Kits_ILM_EN_Rev402_Web_01.pdf" TargetMode="External"/><Relationship Id="rId7" Type="http://schemas.openxmlformats.org/officeDocument/2006/relationships/hyperlink" Target="http://uav-en.tmotor.com/html/uav/html/2018/u_1106/7.html" TargetMode="External"/><Relationship Id="rId71" Type="http://schemas.openxmlformats.org/officeDocument/2006/relationships/hyperlink" Target="http://uav-en.tmotor.com/html/uav/html/2018/navigato_0402/51.html" TargetMode="External"/><Relationship Id="rId92" Type="http://schemas.openxmlformats.org/officeDocument/2006/relationships/hyperlink" Target="http://uav-en.tmotor.com/html/uav/html/2018/navigato_0402/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E1010"/>
  <sheetViews>
    <sheetView tabSelected="1" workbookViewId="0">
      <pane xSplit="2" topLeftCell="C1" activePane="topRight" state="frozen"/>
      <selection pane="topRight" activeCell="D11" sqref="D11"/>
    </sheetView>
  </sheetViews>
  <sheetFormatPr defaultColWidth="14.41015625" defaultRowHeight="15.75" customHeight="1" x14ac:dyDescent="0.4"/>
  <cols>
    <col min="1" max="1" width="35" style="31" customWidth="1"/>
    <col min="2" max="2" width="17.29296875" style="2" customWidth="1"/>
    <col min="3" max="86" width="14.41015625" style="2"/>
    <col min="87" max="87" width="16.703125" style="2" customWidth="1"/>
    <col min="88" max="88" width="19.5859375" style="2" customWidth="1"/>
    <col min="89" max="89" width="18.1171875" style="2" customWidth="1"/>
    <col min="90" max="16384" width="14.41015625" style="2"/>
  </cols>
  <sheetData>
    <row r="1" spans="1:161" s="31" customFormat="1" x14ac:dyDescent="0.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2" t="s">
        <v>75</v>
      </c>
      <c r="BY1" s="22" t="s">
        <v>76</v>
      </c>
      <c r="BZ1" s="22" t="s">
        <v>77</v>
      </c>
      <c r="CA1" s="22" t="s">
        <v>78</v>
      </c>
      <c r="CB1" s="22" t="s">
        <v>79</v>
      </c>
      <c r="CC1" s="22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22" t="s">
        <v>99</v>
      </c>
      <c r="CW1" s="22" t="s">
        <v>100</v>
      </c>
      <c r="CX1" s="22" t="s">
        <v>101</v>
      </c>
      <c r="CY1" s="22" t="s">
        <v>102</v>
      </c>
      <c r="CZ1" s="22" t="s">
        <v>103</v>
      </c>
      <c r="DA1" s="22" t="s">
        <v>104</v>
      </c>
      <c r="DB1" s="22" t="s">
        <v>105</v>
      </c>
      <c r="DC1" s="22" t="s">
        <v>106</v>
      </c>
      <c r="DD1" s="22" t="s">
        <v>107</v>
      </c>
      <c r="DE1" s="22" t="s">
        <v>108</v>
      </c>
      <c r="DF1" s="22" t="s">
        <v>109</v>
      </c>
      <c r="DG1" s="22" t="s">
        <v>110</v>
      </c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</row>
    <row r="2" spans="1:161" x14ac:dyDescent="0.4">
      <c r="A2" s="23" t="s">
        <v>111</v>
      </c>
      <c r="B2" s="4">
        <f>12*4</f>
        <v>48</v>
      </c>
      <c r="C2" s="4">
        <f>4*4</f>
        <v>16</v>
      </c>
      <c r="D2" s="4">
        <f t="shared" ref="D2:E2" si="0">8*4</f>
        <v>32</v>
      </c>
      <c r="E2" s="4">
        <f t="shared" si="0"/>
        <v>32</v>
      </c>
      <c r="F2" s="4">
        <f t="shared" ref="F2:H2" si="1">12*4</f>
        <v>48</v>
      </c>
      <c r="G2" s="4">
        <f t="shared" si="1"/>
        <v>48</v>
      </c>
      <c r="H2" s="4">
        <f t="shared" si="1"/>
        <v>48</v>
      </c>
      <c r="I2" s="4">
        <f>14*4</f>
        <v>56</v>
      </c>
      <c r="J2" s="4">
        <f>24*4</f>
        <v>96</v>
      </c>
      <c r="K2" s="4">
        <f t="shared" ref="K2:Q2" si="2">12*4</f>
        <v>48</v>
      </c>
      <c r="L2" s="4">
        <f t="shared" si="2"/>
        <v>48</v>
      </c>
      <c r="M2" s="4">
        <f t="shared" si="2"/>
        <v>48</v>
      </c>
      <c r="N2" s="4">
        <f t="shared" si="2"/>
        <v>48</v>
      </c>
      <c r="O2" s="4">
        <f t="shared" si="2"/>
        <v>48</v>
      </c>
      <c r="P2" s="4">
        <f t="shared" si="2"/>
        <v>48</v>
      </c>
      <c r="Q2" s="4">
        <f t="shared" si="2"/>
        <v>48</v>
      </c>
      <c r="R2" s="4">
        <f t="shared" ref="R2:S2" si="3">6*4</f>
        <v>24</v>
      </c>
      <c r="S2" s="4">
        <f t="shared" si="3"/>
        <v>24</v>
      </c>
      <c r="T2" s="4">
        <f t="shared" ref="T2:U2" si="4">12*4</f>
        <v>48</v>
      </c>
      <c r="U2" s="4">
        <f t="shared" si="4"/>
        <v>48</v>
      </c>
      <c r="V2" s="4">
        <f t="shared" ref="V2:W2" si="5">6*4</f>
        <v>24</v>
      </c>
      <c r="W2" s="4">
        <f t="shared" si="5"/>
        <v>24</v>
      </c>
      <c r="X2" s="4">
        <f t="shared" ref="X2:AC2" si="6">12*4</f>
        <v>48</v>
      </c>
      <c r="Y2" s="4">
        <f t="shared" si="6"/>
        <v>48</v>
      </c>
      <c r="Z2" s="4">
        <f t="shared" si="6"/>
        <v>48</v>
      </c>
      <c r="AA2" s="4">
        <f t="shared" si="6"/>
        <v>48</v>
      </c>
      <c r="AB2" s="4">
        <f t="shared" si="6"/>
        <v>48</v>
      </c>
      <c r="AC2" s="4">
        <f t="shared" si="6"/>
        <v>48</v>
      </c>
      <c r="AD2" s="4">
        <f t="shared" ref="AD2:AE2" si="7">14*4</f>
        <v>56</v>
      </c>
      <c r="AE2" s="4">
        <f t="shared" si="7"/>
        <v>56</v>
      </c>
      <c r="AF2" s="4">
        <f>8*4</f>
        <v>32</v>
      </c>
      <c r="AG2" s="4">
        <f t="shared" ref="AG2:AH2" si="8">12*4</f>
        <v>48</v>
      </c>
      <c r="AH2" s="4">
        <f t="shared" si="8"/>
        <v>48</v>
      </c>
      <c r="AI2" s="4">
        <f>8*4</f>
        <v>32</v>
      </c>
      <c r="AJ2" s="4">
        <f t="shared" ref="AJ2:AM2" si="9">12*4</f>
        <v>48</v>
      </c>
      <c r="AK2" s="4">
        <f t="shared" si="9"/>
        <v>48</v>
      </c>
      <c r="AL2" s="4">
        <f t="shared" si="9"/>
        <v>48</v>
      </c>
      <c r="AM2" s="4">
        <f t="shared" si="9"/>
        <v>48</v>
      </c>
      <c r="AN2" s="4">
        <f t="shared" ref="AN2:AP2" si="10">6*4</f>
        <v>24</v>
      </c>
      <c r="AO2" s="4">
        <f t="shared" si="10"/>
        <v>24</v>
      </c>
      <c r="AP2" s="4">
        <f t="shared" si="10"/>
        <v>24</v>
      </c>
      <c r="AQ2" s="4">
        <f>12*4</f>
        <v>48</v>
      </c>
      <c r="AR2" s="4">
        <f>6*4</f>
        <v>24</v>
      </c>
      <c r="AS2" s="4">
        <f>12*4</f>
        <v>48</v>
      </c>
      <c r="AT2" s="4">
        <f>6*4</f>
        <v>24</v>
      </c>
      <c r="AU2" s="4">
        <f t="shared" ref="AU2:AV2" si="11">12*4</f>
        <v>48</v>
      </c>
      <c r="AV2" s="4">
        <f t="shared" si="11"/>
        <v>48</v>
      </c>
      <c r="AW2" s="4">
        <f>8*4</f>
        <v>32</v>
      </c>
      <c r="AX2" s="4">
        <f t="shared" ref="AX2:AZ2" si="12">6*4</f>
        <v>24</v>
      </c>
      <c r="AY2" s="4">
        <f t="shared" si="12"/>
        <v>24</v>
      </c>
      <c r="AZ2" s="4">
        <f t="shared" si="12"/>
        <v>24</v>
      </c>
      <c r="BA2" s="4">
        <f>12*4</f>
        <v>48</v>
      </c>
      <c r="BB2" s="4">
        <f>6*4</f>
        <v>24</v>
      </c>
      <c r="BC2" s="4">
        <f>12*4</f>
        <v>48</v>
      </c>
      <c r="BD2" s="4">
        <f>6*4</f>
        <v>24</v>
      </c>
      <c r="BE2" s="4">
        <f>12*4</f>
        <v>48</v>
      </c>
      <c r="BF2" s="4">
        <f>6*4</f>
        <v>24</v>
      </c>
      <c r="BG2" s="4">
        <f>12*4</f>
        <v>48</v>
      </c>
      <c r="BH2" s="4">
        <f>6*4</f>
        <v>24</v>
      </c>
      <c r="BI2" s="4">
        <f t="shared" ref="BI2:BM2" si="13">12*4</f>
        <v>48</v>
      </c>
      <c r="BJ2" s="4">
        <f t="shared" si="13"/>
        <v>48</v>
      </c>
      <c r="BK2" s="4">
        <f t="shared" si="13"/>
        <v>48</v>
      </c>
      <c r="BL2" s="4">
        <f t="shared" si="13"/>
        <v>48</v>
      </c>
      <c r="BM2" s="4">
        <f t="shared" si="13"/>
        <v>48</v>
      </c>
      <c r="BN2" s="4">
        <f t="shared" ref="BN2:BR2" si="14">3*4</f>
        <v>12</v>
      </c>
      <c r="BO2" s="4">
        <f t="shared" si="14"/>
        <v>12</v>
      </c>
      <c r="BP2" s="4">
        <f t="shared" si="14"/>
        <v>12</v>
      </c>
      <c r="BQ2" s="4">
        <f t="shared" si="14"/>
        <v>12</v>
      </c>
      <c r="BR2" s="4">
        <f t="shared" si="14"/>
        <v>12</v>
      </c>
      <c r="BS2" s="4">
        <f t="shared" ref="BS2:BT2" si="15">4*4</f>
        <v>16</v>
      </c>
      <c r="BT2" s="4">
        <f t="shared" si="15"/>
        <v>16</v>
      </c>
      <c r="BU2" s="4">
        <f t="shared" ref="BU2:BX2" si="16">6*4</f>
        <v>24</v>
      </c>
      <c r="BV2" s="4">
        <f t="shared" si="16"/>
        <v>24</v>
      </c>
      <c r="BW2" s="4">
        <f t="shared" si="16"/>
        <v>24</v>
      </c>
      <c r="BX2" s="4">
        <f t="shared" si="16"/>
        <v>24</v>
      </c>
      <c r="BY2" s="4">
        <f t="shared" ref="BY2:BZ2" si="17">4*4</f>
        <v>16</v>
      </c>
      <c r="BZ2" s="4">
        <f t="shared" si="17"/>
        <v>16</v>
      </c>
      <c r="CA2" s="4">
        <f>4*6</f>
        <v>24</v>
      </c>
      <c r="CB2" s="4">
        <f>4*4</f>
        <v>16</v>
      </c>
      <c r="CC2" s="4">
        <f>4*6</f>
        <v>24</v>
      </c>
      <c r="CD2" s="4">
        <f t="shared" ref="CD2:CM2" si="18">8*4</f>
        <v>32</v>
      </c>
      <c r="CE2" s="4">
        <f t="shared" si="18"/>
        <v>32</v>
      </c>
      <c r="CF2" s="4">
        <f t="shared" si="18"/>
        <v>32</v>
      </c>
      <c r="CG2" s="4">
        <f t="shared" si="18"/>
        <v>32</v>
      </c>
      <c r="CH2" s="4">
        <f t="shared" si="18"/>
        <v>32</v>
      </c>
      <c r="CI2" s="4">
        <f t="shared" si="18"/>
        <v>32</v>
      </c>
      <c r="CJ2" s="4">
        <f t="shared" si="18"/>
        <v>32</v>
      </c>
      <c r="CK2" s="4">
        <f t="shared" si="18"/>
        <v>32</v>
      </c>
      <c r="CL2" s="4">
        <f t="shared" si="18"/>
        <v>32</v>
      </c>
      <c r="CM2" s="4">
        <f t="shared" si="18"/>
        <v>32</v>
      </c>
      <c r="CN2" s="4">
        <f>6*4</f>
        <v>24</v>
      </c>
      <c r="CO2" s="4">
        <f t="shared" ref="CO2:CP2" si="19">8*4</f>
        <v>32</v>
      </c>
      <c r="CP2" s="4">
        <f t="shared" si="19"/>
        <v>32</v>
      </c>
      <c r="CQ2" s="4">
        <v>400</v>
      </c>
      <c r="CR2" s="4">
        <v>400</v>
      </c>
      <c r="CS2" s="4">
        <v>400</v>
      </c>
      <c r="CT2" s="4">
        <v>24</v>
      </c>
      <c r="CU2" s="4">
        <v>24</v>
      </c>
      <c r="CV2" s="4">
        <v>24</v>
      </c>
      <c r="CW2" s="4">
        <v>48</v>
      </c>
      <c r="CX2" s="4">
        <v>48</v>
      </c>
      <c r="CY2" s="4">
        <v>48</v>
      </c>
      <c r="CZ2" s="4">
        <v>48</v>
      </c>
      <c r="DA2" s="4">
        <v>48</v>
      </c>
      <c r="DB2" s="4">
        <v>48</v>
      </c>
      <c r="DC2" s="4">
        <v>48</v>
      </c>
      <c r="DD2" s="4">
        <v>48</v>
      </c>
      <c r="DE2" s="4">
        <v>48</v>
      </c>
      <c r="DF2" s="4">
        <v>48</v>
      </c>
      <c r="DG2" s="4">
        <v>48</v>
      </c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</row>
    <row r="3" spans="1:161" x14ac:dyDescent="0.4">
      <c r="A3" s="24" t="s">
        <v>112</v>
      </c>
      <c r="B3" s="5">
        <v>12</v>
      </c>
      <c r="C3" s="5">
        <v>8</v>
      </c>
      <c r="D3" s="5"/>
      <c r="E3" s="5"/>
      <c r="F3" s="5">
        <v>16</v>
      </c>
      <c r="G3" s="5">
        <v>12</v>
      </c>
      <c r="H3" s="5">
        <v>12</v>
      </c>
      <c r="I3" s="5">
        <v>8</v>
      </c>
      <c r="J3" s="5">
        <v>8</v>
      </c>
      <c r="K3" s="5">
        <v>12</v>
      </c>
      <c r="L3" s="5"/>
      <c r="M3" s="5">
        <v>12</v>
      </c>
      <c r="N3" s="5">
        <v>12</v>
      </c>
      <c r="O3" s="5"/>
      <c r="P3" s="5">
        <v>12</v>
      </c>
      <c r="Q3" s="5">
        <v>12</v>
      </c>
      <c r="R3" s="5">
        <v>8</v>
      </c>
      <c r="S3" s="5"/>
      <c r="T3" s="5"/>
      <c r="U3" s="5">
        <v>12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>
        <v>16</v>
      </c>
      <c r="AO3" s="5"/>
      <c r="AP3" s="5">
        <v>16</v>
      </c>
      <c r="AQ3" s="5"/>
      <c r="AR3" s="5"/>
      <c r="AS3" s="5"/>
      <c r="AT3" s="5"/>
      <c r="AU3" s="5">
        <v>16</v>
      </c>
      <c r="AV3" s="5"/>
      <c r="AW3" s="5">
        <v>16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>
        <v>12</v>
      </c>
      <c r="CH3" s="5"/>
      <c r="CI3" s="5"/>
      <c r="CJ3" s="5"/>
      <c r="CK3" s="5"/>
      <c r="CL3" s="5"/>
      <c r="CM3" s="5"/>
      <c r="CN3" s="5">
        <v>16</v>
      </c>
      <c r="CO3" s="5"/>
      <c r="CP3" s="5"/>
      <c r="CQ3" s="5"/>
      <c r="CR3" s="5"/>
      <c r="CS3" s="5"/>
      <c r="CT3" s="5"/>
      <c r="CU3" s="5"/>
      <c r="CV3" s="5"/>
      <c r="CW3" s="5"/>
      <c r="CX3" s="5"/>
      <c r="CY3" s="5">
        <v>20</v>
      </c>
      <c r="CZ3" s="5">
        <v>16</v>
      </c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</row>
    <row r="4" spans="1:161" x14ac:dyDescent="0.4">
      <c r="A4" s="24" t="s">
        <v>113</v>
      </c>
      <c r="B4" s="5">
        <v>10</v>
      </c>
      <c r="C4" s="5">
        <v>40</v>
      </c>
      <c r="D4" s="5"/>
      <c r="E4" s="5"/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10</v>
      </c>
      <c r="L4" s="5"/>
      <c r="M4" s="5">
        <v>10</v>
      </c>
      <c r="N4" s="5">
        <v>10</v>
      </c>
      <c r="O4" s="5"/>
      <c r="P4" s="5">
        <v>10</v>
      </c>
      <c r="Q4" s="5">
        <v>10</v>
      </c>
      <c r="R4" s="5">
        <v>10</v>
      </c>
      <c r="S4" s="5"/>
      <c r="T4" s="5"/>
      <c r="U4" s="5">
        <v>10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>
        <v>50</v>
      </c>
      <c r="AO4" s="5"/>
      <c r="AP4" s="5">
        <v>45</v>
      </c>
      <c r="AQ4" s="5"/>
      <c r="AR4" s="5"/>
      <c r="AS4" s="5"/>
      <c r="AT4" s="5"/>
      <c r="AU4" s="5">
        <v>5</v>
      </c>
      <c r="AV4" s="5"/>
      <c r="AW4" s="5">
        <v>10</v>
      </c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>
        <v>25</v>
      </c>
      <c r="CH4" s="5"/>
      <c r="CI4" s="5"/>
      <c r="CJ4" s="5"/>
      <c r="CK4" s="5"/>
      <c r="CL4" s="5"/>
      <c r="CM4" s="5"/>
      <c r="CN4" s="5">
        <v>15</v>
      </c>
      <c r="CO4" s="5"/>
      <c r="CP4" s="5"/>
      <c r="CQ4" s="5"/>
      <c r="CR4" s="5"/>
      <c r="CS4" s="5"/>
      <c r="CT4" s="5"/>
      <c r="CU4" s="5"/>
      <c r="CV4" s="5"/>
      <c r="CW4" s="5"/>
      <c r="CX4" s="5"/>
      <c r="CY4" s="5">
        <v>25</v>
      </c>
      <c r="CZ4" s="5">
        <v>20</v>
      </c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</row>
    <row r="5" spans="1:161" x14ac:dyDescent="0.4">
      <c r="A5" s="22" t="s">
        <v>114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</row>
    <row r="6" spans="1:161" x14ac:dyDescent="0.4">
      <c r="A6" s="25" t="s">
        <v>115</v>
      </c>
      <c r="B6" s="7">
        <v>0.6</v>
      </c>
      <c r="C6" s="7">
        <v>0.5</v>
      </c>
      <c r="D6" s="7">
        <v>0.3</v>
      </c>
      <c r="E6" s="7">
        <v>0.5</v>
      </c>
      <c r="F6" s="7">
        <v>0.7</v>
      </c>
      <c r="G6" s="7">
        <v>1.5</v>
      </c>
      <c r="H6" s="7">
        <v>1.25</v>
      </c>
      <c r="I6" s="7">
        <v>1.5</v>
      </c>
      <c r="J6" s="7">
        <v>3.8</v>
      </c>
      <c r="K6" s="7">
        <v>1</v>
      </c>
      <c r="L6" s="7">
        <v>1.1000000000000001</v>
      </c>
      <c r="M6" s="7">
        <v>0.5</v>
      </c>
      <c r="N6" s="7">
        <v>0.6</v>
      </c>
      <c r="O6" s="7">
        <v>0.9</v>
      </c>
      <c r="P6" s="7">
        <v>0.5</v>
      </c>
      <c r="Q6" s="7">
        <v>0.7</v>
      </c>
      <c r="R6" s="7">
        <v>1</v>
      </c>
      <c r="S6" s="7">
        <v>1.3</v>
      </c>
      <c r="T6" s="7">
        <v>0.5</v>
      </c>
      <c r="U6" s="7">
        <v>0.7</v>
      </c>
      <c r="V6" s="7">
        <v>1</v>
      </c>
      <c r="W6" s="7">
        <v>1.3</v>
      </c>
      <c r="X6" s="7">
        <v>0.6</v>
      </c>
      <c r="Y6" s="7">
        <v>1.4</v>
      </c>
      <c r="Z6" s="7">
        <v>1</v>
      </c>
      <c r="AA6" s="7">
        <v>1.64</v>
      </c>
      <c r="AB6" s="7">
        <v>1.2</v>
      </c>
      <c r="AC6" s="7">
        <v>1.3</v>
      </c>
      <c r="AD6" s="7">
        <v>1.5</v>
      </c>
      <c r="AE6" s="7">
        <v>1</v>
      </c>
      <c r="AF6" s="7">
        <v>2</v>
      </c>
      <c r="AG6" s="7">
        <f t="shared" ref="AG6:AH6" si="20">AVERAGE(1.75,1.95)</f>
        <v>1.85</v>
      </c>
      <c r="AH6" s="7">
        <f t="shared" si="20"/>
        <v>1.85</v>
      </c>
      <c r="AI6" s="7">
        <f>AVERAGE(2.3,2.6)</f>
        <v>2.4500000000000002</v>
      </c>
      <c r="AJ6" s="7">
        <v>1.6</v>
      </c>
      <c r="AK6" s="7">
        <v>2</v>
      </c>
      <c r="AL6" s="7">
        <v>1.6</v>
      </c>
      <c r="AM6" s="7">
        <v>2</v>
      </c>
      <c r="AN6" s="7">
        <v>0.2</v>
      </c>
      <c r="AO6" s="7">
        <v>0.2</v>
      </c>
      <c r="AP6" s="7">
        <v>0.3</v>
      </c>
      <c r="AQ6" s="7">
        <v>0.5</v>
      </c>
      <c r="AR6" s="7">
        <v>1.4</v>
      </c>
      <c r="AS6" s="7">
        <v>0.4</v>
      </c>
      <c r="AT6" s="7">
        <v>0.9</v>
      </c>
      <c r="AU6" s="7">
        <v>0.9</v>
      </c>
      <c r="AV6" s="7">
        <v>0.9</v>
      </c>
      <c r="AW6" s="7">
        <v>1.1000000000000001</v>
      </c>
      <c r="AX6" s="7">
        <v>1.4</v>
      </c>
      <c r="AY6" s="7">
        <v>1.8</v>
      </c>
      <c r="AZ6" s="7">
        <v>2</v>
      </c>
      <c r="BA6" s="7">
        <v>0.8</v>
      </c>
      <c r="BB6" s="7">
        <v>1.6</v>
      </c>
      <c r="BC6" s="7">
        <v>1</v>
      </c>
      <c r="BD6" s="7">
        <v>2.2000000000000002</v>
      </c>
      <c r="BE6" s="7">
        <v>0.9</v>
      </c>
      <c r="BF6" s="7">
        <v>2</v>
      </c>
      <c r="BG6" s="7">
        <v>1.4</v>
      </c>
      <c r="BH6" s="7">
        <v>2.8</v>
      </c>
      <c r="BI6" s="7">
        <v>1.1000000000000001</v>
      </c>
      <c r="BJ6" s="7">
        <v>1.4</v>
      </c>
      <c r="BK6" s="7">
        <v>1.6</v>
      </c>
      <c r="BL6" s="7">
        <v>2.2000000000000002</v>
      </c>
      <c r="BM6" s="7">
        <v>2.6</v>
      </c>
      <c r="BN6" s="7">
        <v>0.7</v>
      </c>
      <c r="BO6" s="7">
        <v>0.2</v>
      </c>
      <c r="BP6" s="7">
        <v>0.6</v>
      </c>
      <c r="BQ6" s="7">
        <v>0.3</v>
      </c>
      <c r="BR6" s="7">
        <v>0.3</v>
      </c>
      <c r="BS6" s="7">
        <v>0.4</v>
      </c>
      <c r="BT6" s="7">
        <v>0.5</v>
      </c>
      <c r="BU6" s="7">
        <v>0.3</v>
      </c>
      <c r="BV6" s="7">
        <v>0.3</v>
      </c>
      <c r="BW6" s="7">
        <v>0.4</v>
      </c>
      <c r="BX6" s="7">
        <v>0.4</v>
      </c>
      <c r="BY6" s="7">
        <v>0.4</v>
      </c>
      <c r="BZ6" s="7">
        <v>0.5</v>
      </c>
      <c r="CA6" s="7">
        <v>0.4</v>
      </c>
      <c r="CB6" s="7">
        <v>0.5</v>
      </c>
      <c r="CC6" s="7">
        <v>0.5</v>
      </c>
      <c r="CD6" s="7">
        <v>0.3</v>
      </c>
      <c r="CE6" s="7">
        <v>1.2</v>
      </c>
      <c r="CF6" s="7">
        <v>0.8</v>
      </c>
      <c r="CG6" s="7">
        <v>0.8</v>
      </c>
      <c r="CH6" s="7">
        <v>1.3</v>
      </c>
      <c r="CI6" s="7">
        <v>0.9</v>
      </c>
      <c r="CJ6" s="7">
        <v>1</v>
      </c>
      <c r="CK6" s="7">
        <v>1.3</v>
      </c>
      <c r="CL6" s="7">
        <v>1.1000000000000001</v>
      </c>
      <c r="CM6" s="7">
        <v>1.3</v>
      </c>
      <c r="CN6" s="7">
        <v>0.9</v>
      </c>
      <c r="CO6" s="7">
        <v>1.1000000000000001</v>
      </c>
      <c r="CP6" s="7">
        <v>1.1000000000000001</v>
      </c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</row>
    <row r="7" spans="1:161" x14ac:dyDescent="0.4">
      <c r="A7" s="25" t="s">
        <v>116</v>
      </c>
      <c r="B7" s="7">
        <v>24</v>
      </c>
      <c r="C7" s="7">
        <v>25</v>
      </c>
      <c r="D7" s="7">
        <v>30</v>
      </c>
      <c r="E7" s="7">
        <v>35</v>
      </c>
      <c r="F7" s="7">
        <v>60</v>
      </c>
      <c r="G7" s="7">
        <v>57.3</v>
      </c>
      <c r="H7" s="7">
        <v>65</v>
      </c>
      <c r="I7" s="7">
        <v>118</v>
      </c>
      <c r="J7" s="7">
        <v>143</v>
      </c>
      <c r="K7" s="7">
        <v>30</v>
      </c>
      <c r="L7" s="7">
        <v>35</v>
      </c>
      <c r="M7" s="7">
        <v>15</v>
      </c>
      <c r="N7" s="7">
        <v>20</v>
      </c>
      <c r="O7" s="7">
        <v>23</v>
      </c>
      <c r="P7" s="7">
        <v>19.100000000000001</v>
      </c>
      <c r="Q7" s="7">
        <v>29.3</v>
      </c>
      <c r="R7" s="7">
        <v>29.7</v>
      </c>
      <c r="S7" s="7">
        <v>43.7</v>
      </c>
      <c r="T7" s="7">
        <v>19.100000000000001</v>
      </c>
      <c r="U7" s="7">
        <v>29.3</v>
      </c>
      <c r="V7" s="7">
        <v>29.7</v>
      </c>
      <c r="W7" s="7">
        <v>43.7</v>
      </c>
      <c r="X7" s="7">
        <v>25</v>
      </c>
      <c r="Y7" s="7">
        <v>35</v>
      </c>
      <c r="Z7" s="7">
        <v>32.4</v>
      </c>
      <c r="AA7" s="7">
        <v>80</v>
      </c>
      <c r="AB7" s="7">
        <v>50</v>
      </c>
      <c r="AC7" s="7">
        <v>50</v>
      </c>
      <c r="AD7" s="7">
        <v>95</v>
      </c>
      <c r="AE7" s="7">
        <v>38</v>
      </c>
      <c r="AF7" s="7">
        <v>65</v>
      </c>
      <c r="AG7" s="7">
        <v>70</v>
      </c>
      <c r="AH7" s="7">
        <v>70</v>
      </c>
      <c r="AI7" s="7">
        <v>70</v>
      </c>
      <c r="AJ7" s="7">
        <v>60</v>
      </c>
      <c r="AK7" s="7">
        <v>70</v>
      </c>
      <c r="AL7" s="7">
        <v>60</v>
      </c>
      <c r="AM7" s="7">
        <v>70</v>
      </c>
      <c r="AN7" s="7">
        <v>9</v>
      </c>
      <c r="AO7" s="7">
        <v>12</v>
      </c>
      <c r="AP7" s="7">
        <v>16</v>
      </c>
      <c r="AQ7" s="7">
        <v>18</v>
      </c>
      <c r="AR7" s="7">
        <v>39</v>
      </c>
      <c r="AS7" s="7">
        <v>15</v>
      </c>
      <c r="AT7" s="7">
        <v>28</v>
      </c>
      <c r="AU7" s="7">
        <v>32</v>
      </c>
      <c r="AV7" s="7">
        <v>25</v>
      </c>
      <c r="AW7" s="7">
        <v>40</v>
      </c>
      <c r="AX7" s="7">
        <v>40</v>
      </c>
      <c r="AY7" s="7">
        <v>55</v>
      </c>
      <c r="AZ7" s="7">
        <v>50</v>
      </c>
      <c r="BA7" s="7">
        <v>30</v>
      </c>
      <c r="BB7" s="7">
        <v>50</v>
      </c>
      <c r="BC7" s="7">
        <v>35</v>
      </c>
      <c r="BD7" s="7">
        <v>55</v>
      </c>
      <c r="BE7" s="7">
        <v>42</v>
      </c>
      <c r="BF7" s="7">
        <v>65</v>
      </c>
      <c r="BG7" s="7">
        <v>45</v>
      </c>
      <c r="BH7" s="7">
        <v>80</v>
      </c>
      <c r="BI7" s="7">
        <v>45</v>
      </c>
      <c r="BJ7" s="7">
        <v>60</v>
      </c>
      <c r="BK7" s="7">
        <v>65</v>
      </c>
      <c r="BL7" s="7">
        <v>75</v>
      </c>
      <c r="BM7" s="7">
        <v>83</v>
      </c>
      <c r="BN7" s="7">
        <v>10</v>
      </c>
      <c r="BO7" s="7">
        <v>12</v>
      </c>
      <c r="BP7" s="7">
        <v>14</v>
      </c>
      <c r="BQ7" s="7">
        <v>8</v>
      </c>
      <c r="BR7" s="7">
        <v>8</v>
      </c>
      <c r="BS7" s="7">
        <v>13</v>
      </c>
      <c r="BT7" s="7">
        <v>15</v>
      </c>
      <c r="BU7" s="7">
        <v>15</v>
      </c>
      <c r="BV7" s="7">
        <v>21</v>
      </c>
      <c r="BW7" s="7">
        <v>26</v>
      </c>
      <c r="BX7" s="7">
        <v>14</v>
      </c>
      <c r="BY7" s="7">
        <v>18</v>
      </c>
      <c r="BZ7" s="7">
        <v>23</v>
      </c>
      <c r="CA7" s="7">
        <v>15</v>
      </c>
      <c r="CB7" s="7">
        <v>22</v>
      </c>
      <c r="CC7" s="7">
        <v>25</v>
      </c>
      <c r="CD7" s="7">
        <v>30</v>
      </c>
      <c r="CE7" s="7">
        <v>38</v>
      </c>
      <c r="CF7" s="7">
        <v>20</v>
      </c>
      <c r="CG7" s="7">
        <v>30</v>
      </c>
      <c r="CH7" s="7">
        <v>31</v>
      </c>
      <c r="CI7" s="7">
        <v>22</v>
      </c>
      <c r="CJ7" s="7">
        <v>25</v>
      </c>
      <c r="CK7" s="7">
        <v>29</v>
      </c>
      <c r="CL7" s="7">
        <v>25</v>
      </c>
      <c r="CM7" s="7">
        <v>30</v>
      </c>
      <c r="CN7" s="7">
        <v>35</v>
      </c>
      <c r="CO7" s="7">
        <v>35</v>
      </c>
      <c r="CP7" s="7">
        <v>60</v>
      </c>
      <c r="CQ7" s="7">
        <f t="shared" ref="CQ7:CS7" si="21">CQ25/CQ12</f>
        <v>11.764705882352942</v>
      </c>
      <c r="CR7" s="7">
        <f t="shared" si="21"/>
        <v>3.7037037037037033</v>
      </c>
      <c r="CS7" s="7">
        <f t="shared" si="21"/>
        <v>0.72340425531914876</v>
      </c>
      <c r="CT7" s="7">
        <v>3.8</v>
      </c>
      <c r="CU7" s="7">
        <v>4.3</v>
      </c>
      <c r="CV7" s="7">
        <v>5.5</v>
      </c>
      <c r="CW7" s="7">
        <v>6.1</v>
      </c>
      <c r="CX7" s="7">
        <v>5.0999999999999996</v>
      </c>
      <c r="CY7" s="7">
        <v>5.3</v>
      </c>
      <c r="CZ7" s="7">
        <v>6.1</v>
      </c>
      <c r="DA7" s="7">
        <v>6.7</v>
      </c>
      <c r="DB7" s="7">
        <v>7.2</v>
      </c>
      <c r="DC7" s="7">
        <v>10.8</v>
      </c>
      <c r="DD7" s="7">
        <v>11.3</v>
      </c>
      <c r="DE7" s="7">
        <v>11.5</v>
      </c>
      <c r="DF7" s="7">
        <v>14.1</v>
      </c>
      <c r="DG7" s="7">
        <v>15</v>
      </c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</row>
    <row r="8" spans="1:161" x14ac:dyDescent="0.4">
      <c r="A8" s="22" t="s">
        <v>117</v>
      </c>
      <c r="B8" s="8">
        <f t="shared" ref="B8:CP8" si="22">B7*3</f>
        <v>72</v>
      </c>
      <c r="C8" s="8">
        <f t="shared" si="22"/>
        <v>75</v>
      </c>
      <c r="D8" s="8">
        <f t="shared" si="22"/>
        <v>90</v>
      </c>
      <c r="E8" s="8">
        <f t="shared" si="22"/>
        <v>105</v>
      </c>
      <c r="F8" s="8">
        <f t="shared" si="22"/>
        <v>180</v>
      </c>
      <c r="G8" s="8">
        <f t="shared" si="22"/>
        <v>171.89999999999998</v>
      </c>
      <c r="H8" s="8">
        <f t="shared" si="22"/>
        <v>195</v>
      </c>
      <c r="I8" s="8">
        <f t="shared" si="22"/>
        <v>354</v>
      </c>
      <c r="J8" s="8">
        <f t="shared" si="22"/>
        <v>429</v>
      </c>
      <c r="K8" s="8">
        <f t="shared" si="22"/>
        <v>90</v>
      </c>
      <c r="L8" s="8">
        <f t="shared" si="22"/>
        <v>105</v>
      </c>
      <c r="M8" s="8">
        <f t="shared" si="22"/>
        <v>45</v>
      </c>
      <c r="N8" s="8">
        <f t="shared" si="22"/>
        <v>60</v>
      </c>
      <c r="O8" s="8">
        <f t="shared" si="22"/>
        <v>69</v>
      </c>
      <c r="P8" s="8">
        <f t="shared" si="22"/>
        <v>57.300000000000004</v>
      </c>
      <c r="Q8" s="8">
        <f t="shared" si="22"/>
        <v>87.9</v>
      </c>
      <c r="R8" s="8">
        <f t="shared" si="22"/>
        <v>89.1</v>
      </c>
      <c r="S8" s="8">
        <f t="shared" si="22"/>
        <v>131.10000000000002</v>
      </c>
      <c r="T8" s="8">
        <f t="shared" si="22"/>
        <v>57.300000000000004</v>
      </c>
      <c r="U8" s="8">
        <f t="shared" si="22"/>
        <v>87.9</v>
      </c>
      <c r="V8" s="8">
        <f t="shared" si="22"/>
        <v>89.1</v>
      </c>
      <c r="W8" s="8">
        <f t="shared" si="22"/>
        <v>131.10000000000002</v>
      </c>
      <c r="X8" s="8">
        <f t="shared" si="22"/>
        <v>75</v>
      </c>
      <c r="Y8" s="8">
        <f t="shared" si="22"/>
        <v>105</v>
      </c>
      <c r="Z8" s="8">
        <f t="shared" si="22"/>
        <v>97.199999999999989</v>
      </c>
      <c r="AA8" s="8">
        <f t="shared" si="22"/>
        <v>240</v>
      </c>
      <c r="AB8" s="8">
        <f t="shared" si="22"/>
        <v>150</v>
      </c>
      <c r="AC8" s="8">
        <f t="shared" si="22"/>
        <v>150</v>
      </c>
      <c r="AD8" s="8">
        <f t="shared" si="22"/>
        <v>285</v>
      </c>
      <c r="AE8" s="8">
        <f t="shared" si="22"/>
        <v>114</v>
      </c>
      <c r="AF8" s="8">
        <f t="shared" si="22"/>
        <v>195</v>
      </c>
      <c r="AG8" s="8">
        <f t="shared" si="22"/>
        <v>210</v>
      </c>
      <c r="AH8" s="8">
        <f t="shared" si="22"/>
        <v>210</v>
      </c>
      <c r="AI8" s="8">
        <f t="shared" si="22"/>
        <v>210</v>
      </c>
      <c r="AJ8" s="8">
        <f t="shared" si="22"/>
        <v>180</v>
      </c>
      <c r="AK8" s="8">
        <f t="shared" si="22"/>
        <v>210</v>
      </c>
      <c r="AL8" s="8">
        <f t="shared" si="22"/>
        <v>180</v>
      </c>
      <c r="AM8" s="8">
        <f t="shared" si="22"/>
        <v>210</v>
      </c>
      <c r="AN8" s="8">
        <f t="shared" si="22"/>
        <v>27</v>
      </c>
      <c r="AO8" s="8">
        <f t="shared" si="22"/>
        <v>36</v>
      </c>
      <c r="AP8" s="8">
        <f t="shared" si="22"/>
        <v>48</v>
      </c>
      <c r="AQ8" s="8">
        <f t="shared" si="22"/>
        <v>54</v>
      </c>
      <c r="AR8" s="8">
        <f t="shared" si="22"/>
        <v>117</v>
      </c>
      <c r="AS8" s="8">
        <f t="shared" si="22"/>
        <v>45</v>
      </c>
      <c r="AT8" s="8">
        <f t="shared" si="22"/>
        <v>84</v>
      </c>
      <c r="AU8" s="8">
        <f t="shared" si="22"/>
        <v>96</v>
      </c>
      <c r="AV8" s="8">
        <f t="shared" si="22"/>
        <v>75</v>
      </c>
      <c r="AW8" s="8">
        <f t="shared" si="22"/>
        <v>120</v>
      </c>
      <c r="AX8" s="8">
        <f t="shared" si="22"/>
        <v>120</v>
      </c>
      <c r="AY8" s="8">
        <f t="shared" si="22"/>
        <v>165</v>
      </c>
      <c r="AZ8" s="8">
        <f t="shared" si="22"/>
        <v>150</v>
      </c>
      <c r="BA8" s="8">
        <f t="shared" si="22"/>
        <v>90</v>
      </c>
      <c r="BB8" s="8">
        <f t="shared" si="22"/>
        <v>150</v>
      </c>
      <c r="BC8" s="8">
        <f t="shared" si="22"/>
        <v>105</v>
      </c>
      <c r="BD8" s="8">
        <f t="shared" si="22"/>
        <v>165</v>
      </c>
      <c r="BE8" s="8">
        <f t="shared" si="22"/>
        <v>126</v>
      </c>
      <c r="BF8" s="8">
        <f t="shared" si="22"/>
        <v>195</v>
      </c>
      <c r="BG8" s="8">
        <f t="shared" si="22"/>
        <v>135</v>
      </c>
      <c r="BH8" s="8">
        <f t="shared" si="22"/>
        <v>240</v>
      </c>
      <c r="BI8" s="8">
        <f t="shared" si="22"/>
        <v>135</v>
      </c>
      <c r="BJ8" s="8">
        <f t="shared" si="22"/>
        <v>180</v>
      </c>
      <c r="BK8" s="8">
        <f t="shared" si="22"/>
        <v>195</v>
      </c>
      <c r="BL8" s="8">
        <f t="shared" si="22"/>
        <v>225</v>
      </c>
      <c r="BM8" s="8">
        <f t="shared" si="22"/>
        <v>249</v>
      </c>
      <c r="BN8" s="8">
        <f t="shared" si="22"/>
        <v>30</v>
      </c>
      <c r="BO8" s="8">
        <f t="shared" si="22"/>
        <v>36</v>
      </c>
      <c r="BP8" s="8">
        <f t="shared" si="22"/>
        <v>42</v>
      </c>
      <c r="BQ8" s="8">
        <f t="shared" si="22"/>
        <v>24</v>
      </c>
      <c r="BR8" s="8">
        <f t="shared" si="22"/>
        <v>24</v>
      </c>
      <c r="BS8" s="8">
        <f t="shared" si="22"/>
        <v>39</v>
      </c>
      <c r="BT8" s="8">
        <f t="shared" si="22"/>
        <v>45</v>
      </c>
      <c r="BU8" s="8">
        <f t="shared" si="22"/>
        <v>45</v>
      </c>
      <c r="BV8" s="8">
        <f t="shared" si="22"/>
        <v>63</v>
      </c>
      <c r="BW8" s="8">
        <f t="shared" si="22"/>
        <v>78</v>
      </c>
      <c r="BX8" s="8">
        <f t="shared" si="22"/>
        <v>42</v>
      </c>
      <c r="BY8" s="8">
        <f t="shared" si="22"/>
        <v>54</v>
      </c>
      <c r="BZ8" s="8">
        <f t="shared" si="22"/>
        <v>69</v>
      </c>
      <c r="CA8" s="8">
        <f t="shared" si="22"/>
        <v>45</v>
      </c>
      <c r="CB8" s="8">
        <f t="shared" si="22"/>
        <v>66</v>
      </c>
      <c r="CC8" s="8">
        <f t="shared" si="22"/>
        <v>75</v>
      </c>
      <c r="CD8" s="8">
        <f t="shared" si="22"/>
        <v>90</v>
      </c>
      <c r="CE8" s="8">
        <f t="shared" si="22"/>
        <v>114</v>
      </c>
      <c r="CF8" s="8">
        <f t="shared" si="22"/>
        <v>60</v>
      </c>
      <c r="CG8" s="8">
        <f t="shared" si="22"/>
        <v>90</v>
      </c>
      <c r="CH8" s="8">
        <f t="shared" si="22"/>
        <v>93</v>
      </c>
      <c r="CI8" s="8">
        <f t="shared" si="22"/>
        <v>66</v>
      </c>
      <c r="CJ8" s="8">
        <f t="shared" si="22"/>
        <v>75</v>
      </c>
      <c r="CK8" s="8">
        <f t="shared" si="22"/>
        <v>87</v>
      </c>
      <c r="CL8" s="8">
        <f t="shared" si="22"/>
        <v>75</v>
      </c>
      <c r="CM8" s="8">
        <f t="shared" si="22"/>
        <v>90</v>
      </c>
      <c r="CN8" s="8">
        <f t="shared" si="22"/>
        <v>105</v>
      </c>
      <c r="CO8" s="8">
        <f t="shared" si="22"/>
        <v>105</v>
      </c>
      <c r="CP8" s="8">
        <f t="shared" si="22"/>
        <v>180</v>
      </c>
      <c r="CQ8" s="8">
        <f t="shared" ref="CQ8:CS8" si="23">CQ28/CQ12</f>
        <v>46.000805014087746</v>
      </c>
      <c r="CR8" s="8">
        <f t="shared" si="23"/>
        <v>26.220911176663392</v>
      </c>
      <c r="CS8" s="8">
        <f t="shared" si="23"/>
        <v>11.13696808510638</v>
      </c>
      <c r="CT8" s="8">
        <f t="shared" ref="CT8:DG8" si="24">CT26/CT12</f>
        <v>11.93181818181818</v>
      </c>
      <c r="CU8" s="8">
        <f t="shared" si="24"/>
        <v>13.877551020408163</v>
      </c>
      <c r="CV8" s="8">
        <f t="shared" si="24"/>
        <v>17.58241758241758</v>
      </c>
      <c r="CW8" s="8">
        <f t="shared" si="24"/>
        <v>19.487179487179489</v>
      </c>
      <c r="CX8" s="8">
        <f t="shared" si="24"/>
        <v>16.551724137931032</v>
      </c>
      <c r="CY8" s="8">
        <f t="shared" si="24"/>
        <v>16.990291262135919</v>
      </c>
      <c r="CZ8" s="8">
        <f t="shared" si="24"/>
        <v>19.541284403669724</v>
      </c>
      <c r="DA8" s="8">
        <f t="shared" si="24"/>
        <v>21.657754010695186</v>
      </c>
      <c r="DB8" s="8">
        <f t="shared" si="24"/>
        <v>23.023255813953487</v>
      </c>
      <c r="DC8" s="8">
        <f t="shared" si="24"/>
        <v>34.776119402985074</v>
      </c>
      <c r="DD8" s="8">
        <f t="shared" si="24"/>
        <v>36.244541484716159</v>
      </c>
      <c r="DE8" s="8">
        <f t="shared" si="24"/>
        <v>37.154150197628461</v>
      </c>
      <c r="DF8" s="8">
        <f t="shared" si="24"/>
        <v>45.195729537366539</v>
      </c>
      <c r="DG8" s="8">
        <f t="shared" si="24"/>
        <v>48.214285714285708</v>
      </c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</row>
    <row r="9" spans="1:161" x14ac:dyDescent="0.4">
      <c r="A9" s="23" t="s">
        <v>118</v>
      </c>
      <c r="B9" s="4">
        <v>750</v>
      </c>
      <c r="C9" s="4">
        <v>500</v>
      </c>
      <c r="D9" s="4">
        <v>850</v>
      </c>
      <c r="E9" s="4">
        <v>800</v>
      </c>
      <c r="F9" s="4">
        <v>3000</v>
      </c>
      <c r="G9" s="4">
        <v>2783</v>
      </c>
      <c r="H9" s="4">
        <v>3120</v>
      </c>
      <c r="I9" s="4">
        <v>5659</v>
      </c>
      <c r="J9" s="4">
        <v>8580</v>
      </c>
      <c r="K9" s="4">
        <v>940</v>
      </c>
      <c r="L9" s="4">
        <v>1300</v>
      </c>
      <c r="M9" s="4">
        <v>490</v>
      </c>
      <c r="N9" s="4">
        <v>490</v>
      </c>
      <c r="O9" s="4">
        <v>520</v>
      </c>
      <c r="P9" s="4">
        <v>916.8</v>
      </c>
      <c r="Q9" s="4">
        <v>1406.4</v>
      </c>
      <c r="R9" s="4">
        <v>712.8</v>
      </c>
      <c r="S9" s="4">
        <v>1048.8</v>
      </c>
      <c r="T9" s="4">
        <v>916.8</v>
      </c>
      <c r="U9" s="4">
        <v>1406.4</v>
      </c>
      <c r="V9" s="4">
        <v>712.8</v>
      </c>
      <c r="W9" s="4">
        <v>1048.8</v>
      </c>
      <c r="X9" s="4">
        <v>1200</v>
      </c>
      <c r="Y9" s="4">
        <v>1500</v>
      </c>
      <c r="Z9" s="4">
        <v>1600</v>
      </c>
      <c r="AA9" s="4">
        <v>3848</v>
      </c>
      <c r="AB9" s="4">
        <v>2500</v>
      </c>
      <c r="AC9" s="4">
        <v>2500</v>
      </c>
      <c r="AD9" s="4">
        <v>4560</v>
      </c>
      <c r="AE9" s="4">
        <v>1800</v>
      </c>
      <c r="AF9" s="4">
        <v>1550</v>
      </c>
      <c r="AG9" s="4">
        <v>3000</v>
      </c>
      <c r="AH9" s="4">
        <v>3000</v>
      </c>
      <c r="AI9" s="4">
        <v>1500</v>
      </c>
      <c r="AJ9" s="4">
        <v>2700</v>
      </c>
      <c r="AK9" s="4">
        <v>3600</v>
      </c>
      <c r="AL9" s="4">
        <v>2700</v>
      </c>
      <c r="AM9" s="4">
        <v>3600</v>
      </c>
      <c r="AN9" s="4">
        <v>216</v>
      </c>
      <c r="AO9" s="4">
        <v>300</v>
      </c>
      <c r="AP9" s="4">
        <v>380</v>
      </c>
      <c r="AQ9" s="4">
        <v>864</v>
      </c>
      <c r="AR9" s="4">
        <v>936</v>
      </c>
      <c r="AS9" s="4">
        <v>750</v>
      </c>
      <c r="AT9" s="4">
        <v>700</v>
      </c>
      <c r="AU9" s="4">
        <v>1500</v>
      </c>
      <c r="AV9" s="4">
        <v>1200</v>
      </c>
      <c r="AW9" s="4">
        <v>1000</v>
      </c>
      <c r="AX9" s="4">
        <v>1000</v>
      </c>
      <c r="AY9" s="4">
        <v>1300</v>
      </c>
      <c r="AZ9" s="4">
        <v>1200</v>
      </c>
      <c r="BA9" s="4">
        <v>1500</v>
      </c>
      <c r="BB9" s="4">
        <v>1200</v>
      </c>
      <c r="BC9" s="4">
        <v>1700</v>
      </c>
      <c r="BD9" s="4">
        <v>1400</v>
      </c>
      <c r="BE9" s="4">
        <v>1900</v>
      </c>
      <c r="BF9" s="4">
        <v>1600</v>
      </c>
      <c r="BG9" s="4">
        <v>2200</v>
      </c>
      <c r="BH9" s="4">
        <v>2000</v>
      </c>
      <c r="BI9" s="4">
        <v>2200</v>
      </c>
      <c r="BJ9" s="4">
        <v>2800</v>
      </c>
      <c r="BK9" s="4">
        <v>3200</v>
      </c>
      <c r="BL9" s="4">
        <v>3600</v>
      </c>
      <c r="BM9" s="4">
        <v>4000</v>
      </c>
      <c r="BN9" s="4">
        <v>110</v>
      </c>
      <c r="BO9" s="4">
        <v>96</v>
      </c>
      <c r="BP9" s="4">
        <v>150</v>
      </c>
      <c r="BQ9" s="4">
        <v>88</v>
      </c>
      <c r="BR9" s="4">
        <v>88</v>
      </c>
      <c r="BS9" s="4">
        <v>200</v>
      </c>
      <c r="BT9" s="4">
        <v>220</v>
      </c>
      <c r="BU9" s="4">
        <v>330</v>
      </c>
      <c r="BV9" s="4">
        <v>466</v>
      </c>
      <c r="BW9" s="4">
        <v>481</v>
      </c>
      <c r="BX9" s="4">
        <v>310</v>
      </c>
      <c r="BY9" s="4">
        <v>400</v>
      </c>
      <c r="BZ9" s="4">
        <v>510</v>
      </c>
      <c r="CA9" s="4">
        <v>330</v>
      </c>
      <c r="CB9" s="4">
        <v>495</v>
      </c>
      <c r="CC9" s="4">
        <v>555</v>
      </c>
      <c r="CD9" s="4">
        <v>900</v>
      </c>
      <c r="CE9" s="4">
        <v>1140</v>
      </c>
      <c r="CF9" s="4">
        <v>450</v>
      </c>
      <c r="CG9" s="4">
        <v>540</v>
      </c>
      <c r="CH9" s="4">
        <v>575</v>
      </c>
      <c r="CI9" s="4">
        <v>660</v>
      </c>
      <c r="CJ9" s="4">
        <v>750</v>
      </c>
      <c r="CK9" s="4">
        <v>870</v>
      </c>
      <c r="CL9" s="4">
        <v>750</v>
      </c>
      <c r="CM9" s="4">
        <v>900</v>
      </c>
      <c r="CN9" s="4">
        <v>850</v>
      </c>
      <c r="CO9" s="4">
        <v>840</v>
      </c>
      <c r="CP9" s="4">
        <v>1440</v>
      </c>
      <c r="CQ9" s="4">
        <v>200</v>
      </c>
      <c r="CR9" s="4">
        <v>100</v>
      </c>
      <c r="CS9" s="4">
        <v>50</v>
      </c>
      <c r="CT9" s="4">
        <v>70</v>
      </c>
      <c r="CU9" s="4">
        <v>80</v>
      </c>
      <c r="CV9" s="4">
        <v>110</v>
      </c>
      <c r="CW9" s="4">
        <v>240</v>
      </c>
      <c r="CX9" s="4">
        <v>210</v>
      </c>
      <c r="CY9" s="4">
        <v>210</v>
      </c>
      <c r="CZ9" s="4">
        <v>250</v>
      </c>
      <c r="DA9" s="4">
        <v>270</v>
      </c>
      <c r="DB9" s="4">
        <v>290</v>
      </c>
      <c r="DC9" s="4">
        <v>440</v>
      </c>
      <c r="DD9" s="4">
        <v>460</v>
      </c>
      <c r="DE9" s="4">
        <v>470</v>
      </c>
      <c r="DF9" s="4">
        <v>570</v>
      </c>
      <c r="DG9" s="4">
        <v>570</v>
      </c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1" x14ac:dyDescent="0.4">
      <c r="A10" s="22" t="s">
        <v>119</v>
      </c>
      <c r="B10" s="8">
        <f>186/1000</f>
        <v>0.186</v>
      </c>
      <c r="C10" s="8">
        <f>50/1000</f>
        <v>0.05</v>
      </c>
      <c r="D10" s="8">
        <f>116/1000</f>
        <v>0.11600000000000001</v>
      </c>
      <c r="E10" s="8">
        <f>71/1000</f>
        <v>7.0999999999999994E-2</v>
      </c>
      <c r="F10" s="8">
        <f>99/1000</f>
        <v>9.9000000000000005E-2</v>
      </c>
      <c r="G10" s="8">
        <f>80/1000</f>
        <v>0.08</v>
      </c>
      <c r="H10" s="8">
        <f>23/1000</f>
        <v>2.3E-2</v>
      </c>
      <c r="I10" s="8">
        <f>18/1000</f>
        <v>1.7999999999999999E-2</v>
      </c>
      <c r="J10" s="8">
        <f>17/1000</f>
        <v>1.7000000000000001E-2</v>
      </c>
      <c r="K10" s="8">
        <f>137/1000</f>
        <v>0.13700000000000001</v>
      </c>
      <c r="L10" s="8">
        <f>89/1000</f>
        <v>8.8999999999999996E-2</v>
      </c>
      <c r="M10" s="8">
        <f>179/1000</f>
        <v>0.17899999999999999</v>
      </c>
      <c r="N10" s="8">
        <f>127/1000</f>
        <v>0.127</v>
      </c>
      <c r="O10" s="8">
        <f>81/1000</f>
        <v>8.1000000000000003E-2</v>
      </c>
      <c r="P10" s="8">
        <f>225/1000</f>
        <v>0.22500000000000001</v>
      </c>
      <c r="Q10" s="8">
        <f>170/1000</f>
        <v>0.17</v>
      </c>
      <c r="R10" s="8">
        <f>85/1000</f>
        <v>8.5000000000000006E-2</v>
      </c>
      <c r="S10" s="8">
        <f>48/1000</f>
        <v>4.8000000000000001E-2</v>
      </c>
      <c r="T10" s="8">
        <f>225/1000</f>
        <v>0.22500000000000001</v>
      </c>
      <c r="U10" s="8">
        <f>170/1000</f>
        <v>0.17</v>
      </c>
      <c r="V10" s="8">
        <f>85/1000</f>
        <v>8.5000000000000006E-2</v>
      </c>
      <c r="W10" s="8">
        <f>48/1000</f>
        <v>4.8000000000000001E-2</v>
      </c>
      <c r="X10" s="8">
        <f>135/1000</f>
        <v>0.13500000000000001</v>
      </c>
      <c r="Y10" s="8">
        <f>112/1000</f>
        <v>0.112</v>
      </c>
      <c r="Z10" s="8">
        <f>101/1000</f>
        <v>0.10100000000000001</v>
      </c>
      <c r="AA10" s="8">
        <f>18/1000</f>
        <v>1.7999999999999999E-2</v>
      </c>
      <c r="AB10" s="8">
        <f>36/1000</f>
        <v>3.5999999999999997E-2</v>
      </c>
      <c r="AC10" s="8">
        <f>21/1000</f>
        <v>2.1000000000000001E-2</v>
      </c>
      <c r="AD10" s="8">
        <f>22/1000</f>
        <v>2.1999999999999999E-2</v>
      </c>
      <c r="AE10" s="8">
        <f>80/1000</f>
        <v>0.08</v>
      </c>
      <c r="AF10" s="8">
        <f>35/1000</f>
        <v>3.5000000000000003E-2</v>
      </c>
      <c r="AG10" s="8">
        <f>AVERAGE(45,51)/1000</f>
        <v>4.8000000000000001E-2</v>
      </c>
      <c r="AH10" s="8">
        <f>AVERAGE(37,41)/1000</f>
        <v>3.9E-2</v>
      </c>
      <c r="AI10" s="8">
        <f>AVERAGE(17,23)/1000</f>
        <v>0.02</v>
      </c>
      <c r="AJ10" s="8">
        <f>AVERAGE(45,51)/1000</f>
        <v>4.8000000000000001E-2</v>
      </c>
      <c r="AK10" s="8">
        <f>AVERAGE(36,41)/1000</f>
        <v>3.85E-2</v>
      </c>
      <c r="AL10" s="8">
        <f>AVERAGE(45,51)/1000</f>
        <v>4.8000000000000001E-2</v>
      </c>
      <c r="AM10" s="8">
        <f>AVERAGE(36,41)/1000</f>
        <v>3.85E-2</v>
      </c>
      <c r="AN10" s="8">
        <f>452/1000</f>
        <v>0.45200000000000001</v>
      </c>
      <c r="AO10" s="8">
        <f>359/1000</f>
        <v>0.35899999999999999</v>
      </c>
      <c r="AP10" s="8">
        <f>194/1000</f>
        <v>0.19400000000000001</v>
      </c>
      <c r="AQ10" s="8">
        <f>227/1000</f>
        <v>0.22700000000000001</v>
      </c>
      <c r="AR10" s="8">
        <f>50/1000</f>
        <v>0.05</v>
      </c>
      <c r="AS10" s="8">
        <f>288/1000</f>
        <v>0.28799999999999998</v>
      </c>
      <c r="AT10" s="8">
        <f>71/1000</f>
        <v>7.0999999999999994E-2</v>
      </c>
      <c r="AU10" s="8">
        <f>168/1000</f>
        <v>0.16800000000000001</v>
      </c>
      <c r="AV10" s="8">
        <f>85/1000</f>
        <v>8.5000000000000006E-2</v>
      </c>
      <c r="AW10" s="8">
        <f>63/1000</f>
        <v>6.3E-2</v>
      </c>
      <c r="AX10" s="8">
        <f>45/1000</f>
        <v>4.4999999999999998E-2</v>
      </c>
      <c r="AY10" s="8">
        <f>38/1000</f>
        <v>3.7999999999999999E-2</v>
      </c>
      <c r="AZ10" s="8">
        <f>28/1000</f>
        <v>2.8000000000000001E-2</v>
      </c>
      <c r="BA10" s="8">
        <f>115/1000</f>
        <v>0.115</v>
      </c>
      <c r="BB10" s="8">
        <f>39/1000</f>
        <v>3.9E-2</v>
      </c>
      <c r="BC10" s="8">
        <f>65/1000</f>
        <v>6.5000000000000002E-2</v>
      </c>
      <c r="BD10" s="8">
        <f>21/1000</f>
        <v>2.1000000000000001E-2</v>
      </c>
      <c r="BE10" s="8">
        <f>94/1000</f>
        <v>9.4E-2</v>
      </c>
      <c r="BF10" s="8">
        <f>23/1000</f>
        <v>2.3E-2</v>
      </c>
      <c r="BG10" s="8">
        <f>63/1000</f>
        <v>6.3E-2</v>
      </c>
      <c r="BH10" s="8">
        <f>16/1000</f>
        <v>1.6E-2</v>
      </c>
      <c r="BI10" s="8">
        <f>80/1000</f>
        <v>0.08</v>
      </c>
      <c r="BJ10" s="8">
        <f>50/1000</f>
        <v>0.05</v>
      </c>
      <c r="BK10" s="8">
        <f>48/1000</f>
        <v>4.8000000000000001E-2</v>
      </c>
      <c r="BL10" s="8">
        <f>32/1000</f>
        <v>3.2000000000000001E-2</v>
      </c>
      <c r="BM10" s="8">
        <f>28/1000</f>
        <v>2.8000000000000001E-2</v>
      </c>
      <c r="BN10" s="8">
        <f>230/1000</f>
        <v>0.23</v>
      </c>
      <c r="BO10" s="8">
        <f>325/1000</f>
        <v>0.32500000000000001</v>
      </c>
      <c r="BP10" s="8">
        <f>117/1000</f>
        <v>0.11700000000000001</v>
      </c>
      <c r="BQ10" s="8">
        <f t="shared" ref="BQ10:BR10" si="25">290/1000</f>
        <v>0.28999999999999998</v>
      </c>
      <c r="BR10" s="8">
        <f t="shared" si="25"/>
        <v>0.28999999999999998</v>
      </c>
      <c r="BS10" s="8">
        <f>173/1000</f>
        <v>0.17299999999999999</v>
      </c>
      <c r="BT10" s="8">
        <f>142/1000</f>
        <v>0.14199999999999999</v>
      </c>
      <c r="BU10" s="8">
        <f>135/1000</f>
        <v>0.13500000000000001</v>
      </c>
      <c r="BV10" s="8">
        <f>92/1000</f>
        <v>9.1999999999999998E-2</v>
      </c>
      <c r="BW10" s="8">
        <f>71/1000</f>
        <v>7.0999999999999994E-2</v>
      </c>
      <c r="BX10" s="8">
        <f>205/1000</f>
        <v>0.20499999999999999</v>
      </c>
      <c r="BY10" s="8">
        <f>110/1000</f>
        <v>0.11</v>
      </c>
      <c r="BZ10" s="8">
        <f>72/1000</f>
        <v>7.1999999999999995E-2</v>
      </c>
      <c r="CA10" s="8">
        <f>188/1000</f>
        <v>0.188</v>
      </c>
      <c r="CB10" s="8">
        <f>65/1000</f>
        <v>6.5000000000000002E-2</v>
      </c>
      <c r="CC10" s="8">
        <f>50/1000</f>
        <v>0.05</v>
      </c>
      <c r="CD10" s="8">
        <f>116/1000</f>
        <v>0.11600000000000001</v>
      </c>
      <c r="CE10" s="8">
        <f>82/1000</f>
        <v>8.2000000000000003E-2</v>
      </c>
      <c r="CF10" s="8">
        <f t="shared" ref="CF10:CG10" si="26">98/1000</f>
        <v>9.8000000000000004E-2</v>
      </c>
      <c r="CG10" s="8">
        <f t="shared" si="26"/>
        <v>9.8000000000000004E-2</v>
      </c>
      <c r="CH10" s="8">
        <f>42/1000</f>
        <v>4.2000000000000003E-2</v>
      </c>
      <c r="CI10" s="8">
        <f>113/1000</f>
        <v>0.113</v>
      </c>
      <c r="CJ10" s="8">
        <f>75/1000</f>
        <v>7.4999999999999997E-2</v>
      </c>
      <c r="CK10" s="8">
        <f>57/1000</f>
        <v>5.7000000000000002E-2</v>
      </c>
      <c r="CL10" s="8">
        <f>85/1000</f>
        <v>8.5000000000000006E-2</v>
      </c>
      <c r="CM10" s="8">
        <f>67/1000</f>
        <v>6.7000000000000004E-2</v>
      </c>
      <c r="CN10" s="8">
        <f>93/1000</f>
        <v>9.2999999999999999E-2</v>
      </c>
      <c r="CO10" s="8">
        <f t="shared" ref="CO10:CP10" si="27">69/1000</f>
        <v>6.9000000000000006E-2</v>
      </c>
      <c r="CP10" s="8">
        <f t="shared" si="27"/>
        <v>6.9000000000000006E-2</v>
      </c>
      <c r="CQ10" s="8">
        <f t="shared" ref="CQ10:CS10" si="28">(-20326*CQ21^3+7987*CQ21^2-1244*CQ21+71)*CQ22</f>
        <v>0.20739376836898174</v>
      </c>
      <c r="CR10" s="8">
        <f t="shared" si="28"/>
        <v>0.12496803991464285</v>
      </c>
      <c r="CS10" s="8">
        <f t="shared" si="28"/>
        <v>7.1790150589262913E-2</v>
      </c>
      <c r="CT10" s="8">
        <f>1/1000*530</f>
        <v>0.53</v>
      </c>
      <c r="CU10" s="8">
        <f>1/1000*740</f>
        <v>0.74</v>
      </c>
      <c r="CV10" s="8">
        <f>1/1000*350</f>
        <v>0.35000000000000003</v>
      </c>
      <c r="CW10" s="8">
        <f>1/1000*490</f>
        <v>0.49</v>
      </c>
      <c r="CX10" s="8">
        <f>1/1000*540</f>
        <v>0.54</v>
      </c>
      <c r="CY10" s="8">
        <f>1/1000*770</f>
        <v>0.77</v>
      </c>
      <c r="CZ10" s="8">
        <f>1/1000*470</f>
        <v>0.47000000000000003</v>
      </c>
      <c r="DA10" s="8">
        <f>1/1000*660</f>
        <v>0.66</v>
      </c>
      <c r="DB10" s="8">
        <f>1/1000*140</f>
        <v>0.14000000000000001</v>
      </c>
      <c r="DC10" s="8">
        <f>1/1000*220</f>
        <v>0.22</v>
      </c>
      <c r="DD10" s="8">
        <f>1/1000*300</f>
        <v>0.3</v>
      </c>
      <c r="DE10" s="8">
        <f>1/1000*320</f>
        <v>0.32</v>
      </c>
      <c r="DF10" s="8">
        <f>1/1000*140</f>
        <v>0.14000000000000001</v>
      </c>
      <c r="DG10" s="8">
        <f>1/1000*240</f>
        <v>0.24</v>
      </c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</row>
    <row r="11" spans="1:161" x14ac:dyDescent="0.4">
      <c r="A11" s="26" t="s">
        <v>120</v>
      </c>
      <c r="B11" s="10">
        <f>1/1000000*138</f>
        <v>1.3799999999999999E-4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10">
        <f>1/1000000*180</f>
        <v>1.7999999999999998E-4</v>
      </c>
      <c r="CU11" s="10">
        <f>1/1000000*330</f>
        <v>3.3E-4</v>
      </c>
      <c r="CV11" s="10">
        <f>1/1000000*280</f>
        <v>2.7999999999999998E-4</v>
      </c>
      <c r="CW11" s="10">
        <f>1/1000000*520</f>
        <v>5.1999999999999995E-4</v>
      </c>
      <c r="CX11" s="10">
        <f>1/1000000*490</f>
        <v>4.8999999999999998E-4</v>
      </c>
      <c r="CY11" s="10">
        <f>1/1000000*850</f>
        <v>8.4999999999999995E-4</v>
      </c>
      <c r="CZ11" s="10">
        <f>1/1000000*900</f>
        <v>8.9999999999999998E-4</v>
      </c>
      <c r="DA11" s="10">
        <f>1/1000000*1460</f>
        <v>1.4599999999999999E-3</v>
      </c>
      <c r="DB11" s="10">
        <f>1/1000000*200</f>
        <v>1.9999999999999998E-4</v>
      </c>
      <c r="DC11" s="10">
        <f>1/1000000*560</f>
        <v>5.5999999999999995E-4</v>
      </c>
      <c r="DD11" s="10">
        <f>1/1000000*930</f>
        <v>9.2999999999999995E-4</v>
      </c>
      <c r="DE11" s="10">
        <f>1/1000000*1040</f>
        <v>1.0399999999999999E-3</v>
      </c>
      <c r="DF11" s="10">
        <f>1/1000000*600</f>
        <v>5.9999999999999995E-4</v>
      </c>
      <c r="DG11" s="10">
        <f>1/1000000*1170</f>
        <v>1.17E-3</v>
      </c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</row>
    <row r="12" spans="1:161" x14ac:dyDescent="0.4">
      <c r="A12" s="27" t="s">
        <v>121</v>
      </c>
      <c r="B12" s="12">
        <f>60/2/PI()/100</f>
        <v>9.549296585513721E-2</v>
      </c>
      <c r="C12" s="12">
        <f>60/2/PI()/700</f>
        <v>1.3641852265019601E-2</v>
      </c>
      <c r="D12" s="12">
        <f>60/2/PI()/400</f>
        <v>2.3873241463784303E-2</v>
      </c>
      <c r="E12" s="12">
        <f>60/2/PI()/280</f>
        <v>3.4104630662549006E-2</v>
      </c>
      <c r="F12" s="12">
        <f>60/2/PI()/90</f>
        <v>0.1061032953945969</v>
      </c>
      <c r="G12" s="12">
        <f>60/2/PI()/120</f>
        <v>7.9577471545947673E-2</v>
      </c>
      <c r="H12" s="12">
        <f>60/2/PI()/85</f>
        <v>0.11234466571192613</v>
      </c>
      <c r="I12" s="12">
        <f>60/2/PI()/130</f>
        <v>7.3456127580874775E-2</v>
      </c>
      <c r="J12" s="12">
        <f>60/2/PI()/80</f>
        <v>0.11936620731892152</v>
      </c>
      <c r="K12" s="12">
        <f>60/2/PI()/135</f>
        <v>7.0735530263064603E-2</v>
      </c>
      <c r="L12" s="12">
        <f>60/2/PI()/170</f>
        <v>5.6172332855963063E-2</v>
      </c>
      <c r="M12" s="12">
        <f>60/2/PI()/100</f>
        <v>9.549296585513721E-2</v>
      </c>
      <c r="N12" s="12">
        <f>60/2/PI()/135</f>
        <v>7.0735530263064603E-2</v>
      </c>
      <c r="O12" s="12">
        <f>60/2/PI()/170</f>
        <v>5.6172332855963063E-2</v>
      </c>
      <c r="P12" s="12">
        <f>60/2/PI()/85</f>
        <v>0.11234466571192613</v>
      </c>
      <c r="Q12" s="12">
        <f>60/2/PI()/100</f>
        <v>9.549296585513721E-2</v>
      </c>
      <c r="R12" s="12">
        <f>60/2/PI()/150</f>
        <v>6.3661977236758135E-2</v>
      </c>
      <c r="S12" s="12">
        <f>60/2/PI()/190</f>
        <v>5.0259455713230108E-2</v>
      </c>
      <c r="T12" s="12">
        <f>60/2/PI()/85</f>
        <v>0.11234466571192613</v>
      </c>
      <c r="U12" s="12">
        <f>60/2/PI()/100</f>
        <v>9.549296585513721E-2</v>
      </c>
      <c r="V12" s="12">
        <f>60/2/PI()/150</f>
        <v>6.3661977236758135E-2</v>
      </c>
      <c r="W12" s="12">
        <f>60/2/PI()/190</f>
        <v>5.0259455713230108E-2</v>
      </c>
      <c r="X12" s="12">
        <f>60/2/PI()/80</f>
        <v>0.11936620731892152</v>
      </c>
      <c r="Y12" s="12">
        <f t="shared" ref="Y12:Z12" si="29">60/2/PI()/100</f>
        <v>9.549296585513721E-2</v>
      </c>
      <c r="Z12" s="12">
        <f t="shared" si="29"/>
        <v>9.549296585513721E-2</v>
      </c>
      <c r="AA12" s="12">
        <f>60/2/PI()/85</f>
        <v>0.11234466571192613</v>
      </c>
      <c r="AB12" s="12">
        <f>60/2/PI()/90</f>
        <v>0.1061032953945969</v>
      </c>
      <c r="AC12" s="12">
        <f>60/2/PI()/100</f>
        <v>9.549296585513721E-2</v>
      </c>
      <c r="AD12" s="12">
        <f>60/2/PI()/120</f>
        <v>7.9577471545947673E-2</v>
      </c>
      <c r="AE12" s="12">
        <f>60/2/PI()/170</f>
        <v>5.6172332855963063E-2</v>
      </c>
      <c r="AF12" s="12">
        <f>60/2/PI()/340</f>
        <v>2.8086166427981531E-2</v>
      </c>
      <c r="AG12" s="12">
        <f>60/2/PI()/100</f>
        <v>9.549296585513721E-2</v>
      </c>
      <c r="AH12" s="12">
        <f>60/2/PI()/120</f>
        <v>7.9577471545947673E-2</v>
      </c>
      <c r="AI12" s="12">
        <f>60/2/PI()/170</f>
        <v>5.6172332855963063E-2</v>
      </c>
      <c r="AJ12" s="12">
        <f>60/2/PI()/100</f>
        <v>9.549296585513721E-2</v>
      </c>
      <c r="AK12" s="12">
        <f>60/2/PI()/120</f>
        <v>7.9577471545947673E-2</v>
      </c>
      <c r="AL12" s="12">
        <f>60/2/PI()/100</f>
        <v>9.549296585513721E-2</v>
      </c>
      <c r="AM12" s="12">
        <f>60/2/PI()/120</f>
        <v>7.9577471545947673E-2</v>
      </c>
      <c r="AN12" s="12">
        <f>60/2/PI()/300</f>
        <v>3.1830988618379068E-2</v>
      </c>
      <c r="AO12" s="12">
        <f>60/2/PI()/400</f>
        <v>2.3873241463784303E-2</v>
      </c>
      <c r="AP12" s="12">
        <f>60/2/PI()/380</f>
        <v>2.5129727856615054E-2</v>
      </c>
      <c r="AQ12" s="12">
        <f>60/2/PI()/160</f>
        <v>5.9683103659460758E-2</v>
      </c>
      <c r="AR12" s="12">
        <f>60/2/PI()/320</f>
        <v>2.9841551829730379E-2</v>
      </c>
      <c r="AS12" s="12">
        <f>60/2/PI()/115</f>
        <v>8.3037361613162788E-2</v>
      </c>
      <c r="AT12" s="12">
        <f>60/2/PI()/230</f>
        <v>4.1518680806581394E-2</v>
      </c>
      <c r="AU12" s="12">
        <f>60/2/PI()/90</f>
        <v>0.1061032953945969</v>
      </c>
      <c r="AV12" s="12">
        <f>60/2/PI()/240</f>
        <v>3.9788735772973836E-2</v>
      </c>
      <c r="AW12" s="12">
        <f>60/2/PI()/300</f>
        <v>3.1830988618379068E-2</v>
      </c>
      <c r="AX12" s="12">
        <f>60/2/PI()/360</f>
        <v>2.6525823848649224E-2</v>
      </c>
      <c r="AY12" s="12">
        <f>60/2/PI()/320</f>
        <v>2.9841551829730379E-2</v>
      </c>
      <c r="AZ12" s="12">
        <f>60/2/PI()/380</f>
        <v>2.5129727856615054E-2</v>
      </c>
      <c r="BA12" s="12">
        <f>60/2/PI()/170</f>
        <v>5.6172332855963063E-2</v>
      </c>
      <c r="BB12" s="12">
        <f>60/2/PI()/320</f>
        <v>2.9841551829730379E-2</v>
      </c>
      <c r="BC12" s="12">
        <f>60/2/PI()/170</f>
        <v>5.6172332855963063E-2</v>
      </c>
      <c r="BD12" s="12">
        <f>60/2/PI()/320</f>
        <v>2.9841551829730379E-2</v>
      </c>
      <c r="BE12" s="12">
        <f>60/2/PI()/135</f>
        <v>7.0735530263064603E-2</v>
      </c>
      <c r="BF12" s="12">
        <f>60/2/PI()/280</f>
        <v>3.4104630662549006E-2</v>
      </c>
      <c r="BG12" s="12">
        <f>60/2/PI()/125</f>
        <v>7.6394372684109771E-2</v>
      </c>
      <c r="BH12" s="12">
        <f>60/2/PI()/260</f>
        <v>3.6728063790437387E-2</v>
      </c>
      <c r="BI12" s="12">
        <f>60/2/PI()/120</f>
        <v>7.9577471545947673E-2</v>
      </c>
      <c r="BJ12" s="12">
        <f>60/2/PI()/150</f>
        <v>6.3661977236758135E-2</v>
      </c>
      <c r="BK12" s="12">
        <f>60/2/PI()/120</f>
        <v>7.9577471545947673E-2</v>
      </c>
      <c r="BL12" s="12">
        <f>60/2/PI()/150</f>
        <v>6.3661977236758135E-2</v>
      </c>
      <c r="BM12" s="12">
        <f>60/2/PI()/170</f>
        <v>5.6172332855963063E-2</v>
      </c>
      <c r="BN12" s="12">
        <f>60/2/PI()/2400</f>
        <v>3.9788735772973835E-3</v>
      </c>
      <c r="BO12" s="12">
        <f>60/2/PI()/1400</f>
        <v>6.8209261325098006E-3</v>
      </c>
      <c r="BP12" s="12">
        <f>60/2/PI()/2300</f>
        <v>4.1518680806581394E-3</v>
      </c>
      <c r="BQ12" s="12">
        <f>60/2/PI()/1400</f>
        <v>6.8209261325098006E-3</v>
      </c>
      <c r="BR12" s="12">
        <f>60/2/PI()/2300</f>
        <v>4.1518680806581394E-3</v>
      </c>
      <c r="BS12" s="12">
        <f>60/2/PI()/780</f>
        <v>1.2242687930145796E-2</v>
      </c>
      <c r="BT12" s="12">
        <f>60/2/PI()/920</f>
        <v>1.0379670201645349E-2</v>
      </c>
      <c r="BU12" s="12">
        <f>60/2/PI()/470</f>
        <v>2.0317652309603661E-2</v>
      </c>
      <c r="BV12" s="12">
        <f>60/2/PI()/700</f>
        <v>1.3641852265019601E-2</v>
      </c>
      <c r="BW12" s="12">
        <f>60/2/PI()/780</f>
        <v>1.2242687930145796E-2</v>
      </c>
      <c r="BX12" s="12">
        <f>60/2/PI()/380</f>
        <v>2.5129727856615054E-2</v>
      </c>
      <c r="BY12" s="12">
        <f>60/2/PI()/580</f>
        <v>1.6464304457782276E-2</v>
      </c>
      <c r="BZ12" s="12">
        <f>60/2/PI()/700</f>
        <v>1.3641852265019601E-2</v>
      </c>
      <c r="CA12" s="12">
        <f>60/2/PI()/360</f>
        <v>2.6525823848649224E-2</v>
      </c>
      <c r="CB12" s="12">
        <f>60/2/PI()/630</f>
        <v>1.5157613627799557E-2</v>
      </c>
      <c r="CC12" s="12">
        <f>60/2/PI()/700</f>
        <v>1.3641852265019601E-2</v>
      </c>
      <c r="CD12" s="12">
        <f t="shared" ref="CD12:CE12" si="30">60/2/PI()/400</f>
        <v>2.3873241463784303E-2</v>
      </c>
      <c r="CE12" s="12">
        <f t="shared" si="30"/>
        <v>2.3873241463784303E-2</v>
      </c>
      <c r="CF12" s="12">
        <f>60/2/PI()/370</f>
        <v>2.5808909690577624E-2</v>
      </c>
      <c r="CG12" s="12">
        <f>60/2/PI()/475</f>
        <v>2.0103782285292044E-2</v>
      </c>
      <c r="CH12" s="12">
        <f>60/2/PI()/580</f>
        <v>1.6464304457782276E-2</v>
      </c>
      <c r="CI12" s="12">
        <f>60/2/PI()/340</f>
        <v>2.8086166427981531E-2</v>
      </c>
      <c r="CJ12" s="12">
        <f>60/2/PI()/400</f>
        <v>2.3873241463784303E-2</v>
      </c>
      <c r="CK12" s="12">
        <f>60/2/PI()/480</f>
        <v>1.9894367886486918E-2</v>
      </c>
      <c r="CL12" s="12">
        <f>60/2/PI()/330</f>
        <v>2.8937262380344608E-2</v>
      </c>
      <c r="CM12" s="12">
        <f>60/2/PI()/400</f>
        <v>2.3873241463784303E-2</v>
      </c>
      <c r="CN12" s="12">
        <f t="shared" ref="CN12:CO12" si="31">60/2/PI()/340</f>
        <v>2.8086166427981531E-2</v>
      </c>
      <c r="CO12" s="12">
        <f t="shared" si="31"/>
        <v>2.8086166427981531E-2</v>
      </c>
      <c r="CP12" s="12">
        <f>60/2/PI()/420</f>
        <v>2.2736420441699337E-2</v>
      </c>
      <c r="CQ12" s="12">
        <v>0.85</v>
      </c>
      <c r="CR12" s="12">
        <v>1.35</v>
      </c>
      <c r="CS12" s="12">
        <f>CR12/(CS22/CR22)</f>
        <v>2.3500000000000005</v>
      </c>
      <c r="CT12" s="12">
        <f>1/1000*8.8</f>
        <v>8.8000000000000005E-3</v>
      </c>
      <c r="CU12" s="12">
        <f>1/1000*14.7</f>
        <v>1.47E-2</v>
      </c>
      <c r="CV12" s="12">
        <f>1/1000*18.2</f>
        <v>1.8200000000000001E-2</v>
      </c>
      <c r="CW12" s="12">
        <f>1/1000*39</f>
        <v>3.9E-2</v>
      </c>
      <c r="CX12" s="12">
        <f>1/1000*58</f>
        <v>5.8000000000000003E-2</v>
      </c>
      <c r="CY12" s="12">
        <f>1/1000*103</f>
        <v>0.10300000000000001</v>
      </c>
      <c r="CZ12" s="12">
        <f>1/1000*109</f>
        <v>0.109</v>
      </c>
      <c r="DA12" s="12">
        <f>1/1000*187</f>
        <v>0.187</v>
      </c>
      <c r="DB12" s="12">
        <f>1/1000*43</f>
        <v>4.3000000000000003E-2</v>
      </c>
      <c r="DC12" s="12">
        <f>1/1000*134</f>
        <v>0.13400000000000001</v>
      </c>
      <c r="DD12" s="12">
        <f>1/1000*229</f>
        <v>0.22900000000000001</v>
      </c>
      <c r="DE12" s="12">
        <f>1/1000*253</f>
        <v>0.253</v>
      </c>
      <c r="DF12" s="12">
        <f>1/1000*281</f>
        <v>0.28100000000000003</v>
      </c>
      <c r="DG12" s="12">
        <f>1/1000*560</f>
        <v>0.56000000000000005</v>
      </c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</row>
    <row r="13" spans="1:161" x14ac:dyDescent="0.4">
      <c r="A13" s="22" t="s">
        <v>122</v>
      </c>
      <c r="B13" s="8">
        <f t="shared" ref="B13:CS13" si="32">B12/SQRT(B10)</f>
        <v>0.2214190126926239</v>
      </c>
      <c r="C13" s="8">
        <f t="shared" si="32"/>
        <v>6.1008218007186608E-2</v>
      </c>
      <c r="D13" s="8">
        <f t="shared" si="32"/>
        <v>7.0094250464454694E-2</v>
      </c>
      <c r="E13" s="8">
        <f t="shared" si="32"/>
        <v>0.12799239813632848</v>
      </c>
      <c r="F13" s="8">
        <f t="shared" si="32"/>
        <v>0.33721840918140766</v>
      </c>
      <c r="G13" s="8">
        <f t="shared" si="32"/>
        <v>0.28134884879909566</v>
      </c>
      <c r="H13" s="8">
        <f t="shared" si="32"/>
        <v>0.74077878860621282</v>
      </c>
      <c r="I13" s="8">
        <f t="shared" si="32"/>
        <v>0.5475096487824439</v>
      </c>
      <c r="J13" s="8">
        <f t="shared" si="32"/>
        <v>0.91549701865109534</v>
      </c>
      <c r="K13" s="8">
        <f t="shared" si="32"/>
        <v>0.19110732341475378</v>
      </c>
      <c r="L13" s="8">
        <f t="shared" si="32"/>
        <v>0.18829008752875304</v>
      </c>
      <c r="M13" s="8">
        <f t="shared" si="32"/>
        <v>0.22570691590469474</v>
      </c>
      <c r="N13" s="8">
        <f t="shared" si="32"/>
        <v>0.19848868433200376</v>
      </c>
      <c r="O13" s="8">
        <f t="shared" si="32"/>
        <v>0.19736945923328247</v>
      </c>
      <c r="P13" s="8">
        <f t="shared" si="32"/>
        <v>0.23684335107993901</v>
      </c>
      <c r="Q13" s="8">
        <f t="shared" si="32"/>
        <v>0.23160446160248904</v>
      </c>
      <c r="R13" s="8">
        <f t="shared" si="32"/>
        <v>0.21835878046957247</v>
      </c>
      <c r="S13" s="8">
        <f t="shared" si="32"/>
        <v>0.22940198018390023</v>
      </c>
      <c r="T13" s="8">
        <f t="shared" si="32"/>
        <v>0.23684335107993901</v>
      </c>
      <c r="U13" s="8">
        <f t="shared" si="32"/>
        <v>0.23160446160248904</v>
      </c>
      <c r="V13" s="8">
        <f t="shared" si="32"/>
        <v>0.21835878046957247</v>
      </c>
      <c r="W13" s="8">
        <f t="shared" si="32"/>
        <v>0.22940198018390023</v>
      </c>
      <c r="X13" s="8">
        <f t="shared" si="32"/>
        <v>0.32487366718069843</v>
      </c>
      <c r="Y13" s="8">
        <f t="shared" si="32"/>
        <v>0.28533981195063096</v>
      </c>
      <c r="Z13" s="8">
        <f t="shared" si="32"/>
        <v>0.30047662678758813</v>
      </c>
      <c r="AA13" s="8">
        <f t="shared" si="32"/>
        <v>0.83736769813785539</v>
      </c>
      <c r="AB13" s="8">
        <f t="shared" si="32"/>
        <v>0.55921346782763381</v>
      </c>
      <c r="AC13" s="8">
        <f t="shared" si="32"/>
        <v>0.65896406896085591</v>
      </c>
      <c r="AD13" s="8">
        <f t="shared" si="32"/>
        <v>0.53651120371450489</v>
      </c>
      <c r="AE13" s="8">
        <f t="shared" si="32"/>
        <v>0.19859918738759694</v>
      </c>
      <c r="AF13" s="8">
        <f t="shared" si="32"/>
        <v>0.15012687440202768</v>
      </c>
      <c r="AG13" s="8">
        <f t="shared" si="32"/>
        <v>0.43586376234941043</v>
      </c>
      <c r="AH13" s="8">
        <f t="shared" si="32"/>
        <v>0.4029561908378077</v>
      </c>
      <c r="AI13" s="8">
        <f t="shared" si="32"/>
        <v>0.39719837477519387</v>
      </c>
      <c r="AJ13" s="8">
        <f t="shared" si="32"/>
        <v>0.43586376234941043</v>
      </c>
      <c r="AK13" s="8">
        <f t="shared" si="32"/>
        <v>0.40556434875099789</v>
      </c>
      <c r="AL13" s="8">
        <f t="shared" si="32"/>
        <v>0.43586376234941043</v>
      </c>
      <c r="AM13" s="8">
        <f t="shared" si="32"/>
        <v>0.40556434875099789</v>
      </c>
      <c r="AN13" s="8">
        <f t="shared" si="32"/>
        <v>4.7345740115995301E-2</v>
      </c>
      <c r="AO13" s="8">
        <f t="shared" si="32"/>
        <v>3.9844113302588358E-2</v>
      </c>
      <c r="AP13" s="8">
        <f t="shared" si="32"/>
        <v>5.7054108074556457E-2</v>
      </c>
      <c r="AQ13" s="8">
        <f t="shared" si="32"/>
        <v>0.12526751748077825</v>
      </c>
      <c r="AR13" s="8">
        <f t="shared" si="32"/>
        <v>0.13345547689072071</v>
      </c>
      <c r="AS13" s="8">
        <f t="shared" si="32"/>
        <v>0.15473098769938631</v>
      </c>
      <c r="AT13" s="8">
        <f t="shared" si="32"/>
        <v>0.15581683251379119</v>
      </c>
      <c r="AU13" s="8">
        <f t="shared" si="32"/>
        <v>0.2588655342891672</v>
      </c>
      <c r="AV13" s="8">
        <f t="shared" si="32"/>
        <v>0.13647423779348281</v>
      </c>
      <c r="AW13" s="8">
        <f t="shared" si="32"/>
        <v>0.12681769420028044</v>
      </c>
      <c r="AX13" s="8">
        <f t="shared" si="32"/>
        <v>0.12504393279959808</v>
      </c>
      <c r="AY13" s="8">
        <f t="shared" si="32"/>
        <v>0.15308393084965244</v>
      </c>
      <c r="AZ13" s="8">
        <f t="shared" si="32"/>
        <v>0.15017884839506893</v>
      </c>
      <c r="BA13" s="8">
        <f t="shared" si="32"/>
        <v>0.16564317276134388</v>
      </c>
      <c r="BB13" s="8">
        <f t="shared" si="32"/>
        <v>0.1511085715641779</v>
      </c>
      <c r="BC13" s="8">
        <f t="shared" si="32"/>
        <v>0.22032601642814212</v>
      </c>
      <c r="BD13" s="8">
        <f t="shared" si="32"/>
        <v>0.20592627155026749</v>
      </c>
      <c r="BE13" s="8">
        <f t="shared" si="32"/>
        <v>0.23071386076459191</v>
      </c>
      <c r="BF13" s="8">
        <f t="shared" si="32"/>
        <v>0.22487927511260034</v>
      </c>
      <c r="BG13" s="8">
        <f t="shared" si="32"/>
        <v>0.30436246608067308</v>
      </c>
      <c r="BH13" s="8">
        <f t="shared" si="32"/>
        <v>0.29036083906434834</v>
      </c>
      <c r="BI13" s="8">
        <f t="shared" si="32"/>
        <v>0.28134884879909566</v>
      </c>
      <c r="BJ13" s="8">
        <f t="shared" si="32"/>
        <v>0.28470501736687082</v>
      </c>
      <c r="BK13" s="8">
        <f t="shared" si="32"/>
        <v>0.36321980195784204</v>
      </c>
      <c r="BL13" s="8">
        <f t="shared" si="32"/>
        <v>0.35588127170858852</v>
      </c>
      <c r="BM13" s="8">
        <f t="shared" si="32"/>
        <v>0.33569389641250702</v>
      </c>
      <c r="BN13" s="8">
        <f t="shared" si="32"/>
        <v>8.2965249257734089E-3</v>
      </c>
      <c r="BO13" s="8">
        <f t="shared" si="32"/>
        <v>1.1964695927237201E-2</v>
      </c>
      <c r="BP13" s="8">
        <f t="shared" si="32"/>
        <v>1.2138097317487015E-2</v>
      </c>
      <c r="BQ13" s="8">
        <f t="shared" si="32"/>
        <v>1.266614184857098E-2</v>
      </c>
      <c r="BR13" s="8">
        <f t="shared" si="32"/>
        <v>7.7098254730432044E-3</v>
      </c>
      <c r="BS13" s="8">
        <f t="shared" si="32"/>
        <v>2.9434301070491033E-2</v>
      </c>
      <c r="BT13" s="8">
        <f t="shared" si="32"/>
        <v>2.7544784723377562E-2</v>
      </c>
      <c r="BU13" s="8">
        <f t="shared" si="32"/>
        <v>5.5297645477565681E-2</v>
      </c>
      <c r="BV13" s="8">
        <f t="shared" si="32"/>
        <v>4.4975855022520064E-2</v>
      </c>
      <c r="BW13" s="8">
        <f t="shared" si="32"/>
        <v>4.5945989074579453E-2</v>
      </c>
      <c r="BX13" s="8">
        <f t="shared" si="32"/>
        <v>5.5502283941031662E-2</v>
      </c>
      <c r="BY13" s="8">
        <f t="shared" si="32"/>
        <v>4.9641745746036019E-2</v>
      </c>
      <c r="BZ13" s="8">
        <f t="shared" si="32"/>
        <v>5.0840181672655506E-2</v>
      </c>
      <c r="CA13" s="8">
        <f t="shared" si="32"/>
        <v>6.1177250797639443E-2</v>
      </c>
      <c r="CB13" s="8">
        <f t="shared" si="32"/>
        <v>5.9453052052038352E-2</v>
      </c>
      <c r="CC13" s="8">
        <f t="shared" si="32"/>
        <v>6.1008218007186608E-2</v>
      </c>
      <c r="CD13" s="8">
        <f t="shared" si="32"/>
        <v>7.0094250464454694E-2</v>
      </c>
      <c r="CE13" s="8">
        <f t="shared" si="32"/>
        <v>8.3368975482647142E-2</v>
      </c>
      <c r="CF13" s="8">
        <f t="shared" si="32"/>
        <v>8.2443537847549472E-2</v>
      </c>
      <c r="CG13" s="8">
        <f t="shared" si="32"/>
        <v>6.4219176849670115E-2</v>
      </c>
      <c r="CH13" s="8">
        <f t="shared" si="32"/>
        <v>8.0337579606982915E-2</v>
      </c>
      <c r="CI13" s="8">
        <f t="shared" si="32"/>
        <v>8.3551306087050539E-2</v>
      </c>
      <c r="CJ13" s="8">
        <f t="shared" si="32"/>
        <v>8.7172752469882098E-2</v>
      </c>
      <c r="CK13" s="8">
        <f t="shared" si="32"/>
        <v>8.332833742247843E-2</v>
      </c>
      <c r="CL13" s="8">
        <f t="shared" si="32"/>
        <v>9.9253991122532942E-2</v>
      </c>
      <c r="CM13" s="8">
        <f t="shared" si="32"/>
        <v>9.2230378165437193E-2</v>
      </c>
      <c r="CN13" s="8">
        <f t="shared" si="32"/>
        <v>9.2098167857990937E-2</v>
      </c>
      <c r="CO13" s="8">
        <f t="shared" si="32"/>
        <v>0.10692220825294046</v>
      </c>
      <c r="CP13" s="8">
        <f t="shared" si="32"/>
        <v>8.6556073347618487E-2</v>
      </c>
      <c r="CQ13" s="8">
        <f t="shared" si="32"/>
        <v>1.8664702597380975</v>
      </c>
      <c r="CR13" s="8">
        <f t="shared" si="32"/>
        <v>3.8188648546043753</v>
      </c>
      <c r="CS13" s="8">
        <f t="shared" si="32"/>
        <v>8.7707237052827889</v>
      </c>
      <c r="CT13" s="8">
        <v>1.3899999999999999E-2</v>
      </c>
      <c r="CU13" s="8">
        <v>1.9699999999999999E-2</v>
      </c>
      <c r="CV13" s="8">
        <v>3.5499999999999997E-2</v>
      </c>
      <c r="CW13" s="8">
        <v>6.4000000000000001E-2</v>
      </c>
      <c r="CX13" s="8">
        <v>9.0999999999999998E-2</v>
      </c>
      <c r="CY13" s="8">
        <v>0.13600000000000001</v>
      </c>
      <c r="CZ13" s="8">
        <v>0.184</v>
      </c>
      <c r="DA13" s="8">
        <v>0.26600000000000001</v>
      </c>
      <c r="DB13" s="8">
        <v>0.13300000000000001</v>
      </c>
      <c r="DC13" s="8">
        <v>0.33</v>
      </c>
      <c r="DD13" s="8">
        <v>0.48</v>
      </c>
      <c r="DE13" s="8">
        <v>0.52</v>
      </c>
      <c r="DF13" s="8">
        <v>0.87</v>
      </c>
      <c r="DG13" s="8">
        <v>1.3</v>
      </c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</row>
    <row r="14" spans="1:161" x14ac:dyDescent="0.4">
      <c r="A14" s="26" t="s">
        <v>123</v>
      </c>
      <c r="B14" s="10">
        <f>0.12/1000</f>
        <v>1.1999999999999999E-4</v>
      </c>
      <c r="C14" s="13">
        <f t="shared" ref="C14:CP14" si="33">(0.0000000000000501*(C21*1000)^4 + 5.73E-29*(C21*1000)^3+0.000000000113*(C21*1000)^2+1.2E-24*(C21*1000))*(C22*1000)</f>
        <v>1.0774362908484121E-5</v>
      </c>
      <c r="D14" s="13">
        <f t="shared" si="33"/>
        <v>1.3783479638671877E-5</v>
      </c>
      <c r="E14" s="13">
        <f t="shared" si="33"/>
        <v>4.3310890664109899E-5</v>
      </c>
      <c r="F14" s="13">
        <f t="shared" si="33"/>
        <v>1.3876480000000002E-4</v>
      </c>
      <c r="G14" s="13">
        <f t="shared" si="33"/>
        <v>1.4011777775117253E-4</v>
      </c>
      <c r="H14" s="13">
        <f t="shared" si="33"/>
        <v>6.4920982874803416E-4</v>
      </c>
      <c r="I14" s="13">
        <f t="shared" si="33"/>
        <v>3.6840000000000001E-4</v>
      </c>
      <c r="J14" s="13">
        <f t="shared" si="33"/>
        <v>1.6750406652500001E-3</v>
      </c>
      <c r="K14" s="13">
        <f t="shared" si="33"/>
        <v>9.7925031727120641E-5</v>
      </c>
      <c r="L14" s="13">
        <f t="shared" si="33"/>
        <v>9.7925031727120641E-5</v>
      </c>
      <c r="M14" s="13">
        <f t="shared" si="33"/>
        <v>9.7925031727120641E-5</v>
      </c>
      <c r="N14" s="13">
        <f t="shared" si="33"/>
        <v>9.7925031727120641E-5</v>
      </c>
      <c r="O14" s="13">
        <f t="shared" si="33"/>
        <v>9.7925031727120641E-5</v>
      </c>
      <c r="P14" s="13">
        <f t="shared" si="33"/>
        <v>1.0885438530874784E-4</v>
      </c>
      <c r="Q14" s="13">
        <f t="shared" si="33"/>
        <v>1.0885438530874784E-4</v>
      </c>
      <c r="R14" s="13">
        <f t="shared" si="33"/>
        <v>1.0885438530874784E-4</v>
      </c>
      <c r="S14" s="13">
        <f t="shared" si="33"/>
        <v>1.0885438530874784E-4</v>
      </c>
      <c r="T14" s="13">
        <f t="shared" si="33"/>
        <v>1.0118594923029653E-4</v>
      </c>
      <c r="U14" s="13">
        <f t="shared" si="33"/>
        <v>1.0118594923029653E-4</v>
      </c>
      <c r="V14" s="13">
        <f t="shared" si="33"/>
        <v>1.0118594923029653E-4</v>
      </c>
      <c r="W14" s="13">
        <f t="shared" si="33"/>
        <v>1.0118594923029653E-4</v>
      </c>
      <c r="X14" s="13">
        <f t="shared" si="33"/>
        <v>1.3118258967218047E-4</v>
      </c>
      <c r="Y14" s="13">
        <f t="shared" si="33"/>
        <v>1.3118258967218047E-4</v>
      </c>
      <c r="Z14" s="13">
        <f t="shared" si="33"/>
        <v>1.9310071445350767E-4</v>
      </c>
      <c r="AA14" s="13">
        <f t="shared" si="33"/>
        <v>6.4920982874803416E-4</v>
      </c>
      <c r="AB14" s="13">
        <f t="shared" si="33"/>
        <v>2.908505253737E-4</v>
      </c>
      <c r="AC14" s="13">
        <f t="shared" si="33"/>
        <v>2.908505253737E-4</v>
      </c>
      <c r="AD14" s="13">
        <f t="shared" si="33"/>
        <v>3.7161467074355096E-4</v>
      </c>
      <c r="AE14" s="13">
        <f t="shared" si="33"/>
        <v>6.1086975316649997E-5</v>
      </c>
      <c r="AF14" s="13">
        <f t="shared" si="33"/>
        <v>6.1086975316649997E-5</v>
      </c>
      <c r="AG14" s="13">
        <f t="shared" si="33"/>
        <v>1.9243567627182846E-4</v>
      </c>
      <c r="AH14" s="13">
        <f t="shared" si="33"/>
        <v>1.9243567627182846E-4</v>
      </c>
      <c r="AI14" s="13">
        <f t="shared" si="33"/>
        <v>1.9243567627182846E-4</v>
      </c>
      <c r="AJ14" s="13">
        <f t="shared" si="33"/>
        <v>1.9243567627182846E-4</v>
      </c>
      <c r="AK14" s="13">
        <f t="shared" si="33"/>
        <v>1.9243567627182846E-4</v>
      </c>
      <c r="AL14" s="13">
        <f t="shared" si="33"/>
        <v>1.9243567627182846E-4</v>
      </c>
      <c r="AM14" s="13">
        <f t="shared" si="33"/>
        <v>1.9243567627182846E-4</v>
      </c>
      <c r="AN14" s="13">
        <f t="shared" si="33"/>
        <v>7.9056782122858513E-6</v>
      </c>
      <c r="AO14" s="13">
        <f t="shared" si="33"/>
        <v>7.9056782122858513E-6</v>
      </c>
      <c r="AP14" s="13">
        <f t="shared" si="33"/>
        <v>8.7378548662106768E-6</v>
      </c>
      <c r="AQ14" s="13">
        <f t="shared" si="33"/>
        <v>4.5656527679210011E-5</v>
      </c>
      <c r="AR14" s="13">
        <f t="shared" si="33"/>
        <v>4.5656527679210011E-5</v>
      </c>
      <c r="AS14" s="13">
        <f t="shared" si="33"/>
        <v>5.5789273220099998E-5</v>
      </c>
      <c r="AT14" s="13">
        <f t="shared" si="33"/>
        <v>5.5789273220099998E-5</v>
      </c>
      <c r="AU14" s="13">
        <f t="shared" si="33"/>
        <v>1.807989752323E-4</v>
      </c>
      <c r="AV14" s="13">
        <f t="shared" si="33"/>
        <v>2.8072748080614149E-5</v>
      </c>
      <c r="AW14" s="13">
        <f t="shared" si="33"/>
        <v>2.8072748080614149E-5</v>
      </c>
      <c r="AX14" s="13">
        <f t="shared" si="33"/>
        <v>2.8072748080614149E-5</v>
      </c>
      <c r="AY14" s="13">
        <f t="shared" si="33"/>
        <v>3.2213271396338953E-5</v>
      </c>
      <c r="AZ14" s="13">
        <f t="shared" si="33"/>
        <v>3.2213271396338953E-5</v>
      </c>
      <c r="BA14" s="13">
        <f t="shared" si="33"/>
        <v>5.7842980000907261E-5</v>
      </c>
      <c r="BB14" s="13">
        <f t="shared" si="33"/>
        <v>5.7842980000907261E-5</v>
      </c>
      <c r="BC14" s="13">
        <f t="shared" si="33"/>
        <v>6.6129939886424064E-5</v>
      </c>
      <c r="BD14" s="13">
        <f t="shared" si="33"/>
        <v>6.6129939886424064E-5</v>
      </c>
      <c r="BE14" s="13">
        <f t="shared" si="33"/>
        <v>1.0559371585963623E-4</v>
      </c>
      <c r="BF14" s="13">
        <f t="shared" si="33"/>
        <v>1.0559371585963623E-4</v>
      </c>
      <c r="BG14" s="13">
        <f t="shared" si="33"/>
        <v>1.1899393360832103E-4</v>
      </c>
      <c r="BH14" s="13">
        <f t="shared" si="33"/>
        <v>1.1899393360832103E-4</v>
      </c>
      <c r="BI14" s="13">
        <f t="shared" si="33"/>
        <v>1.5911529539954002E-4</v>
      </c>
      <c r="BJ14" s="13">
        <f t="shared" si="33"/>
        <v>1.5911529539954002E-4</v>
      </c>
      <c r="BK14" s="13">
        <f t="shared" si="33"/>
        <v>1.7930759177004003E-4</v>
      </c>
      <c r="BL14" s="13">
        <f t="shared" si="33"/>
        <v>1.7930759177004003E-4</v>
      </c>
      <c r="BM14" s="13">
        <f t="shared" si="33"/>
        <v>1.7930759177004003E-4</v>
      </c>
      <c r="BN14" s="13">
        <f t="shared" si="33"/>
        <v>1.2176510626500003E-6</v>
      </c>
      <c r="BO14" s="13">
        <f t="shared" si="33"/>
        <v>1.3652451308500004E-6</v>
      </c>
      <c r="BP14" s="13">
        <f t="shared" si="33"/>
        <v>1.3652451308500004E-6</v>
      </c>
      <c r="BQ14" s="13">
        <f t="shared" si="33"/>
        <v>1.7985362026500004E-6</v>
      </c>
      <c r="BR14" s="13">
        <f t="shared" si="33"/>
        <v>1.7985362026500004E-6</v>
      </c>
      <c r="BS14" s="13">
        <f t="shared" si="33"/>
        <v>3.0238923300781255E-6</v>
      </c>
      <c r="BT14" s="13">
        <f t="shared" si="33"/>
        <v>3.0238923300781255E-6</v>
      </c>
      <c r="BU14" s="13">
        <f t="shared" si="33"/>
        <v>7.4616146323451875E-6</v>
      </c>
      <c r="BV14" s="13">
        <f t="shared" si="33"/>
        <v>7.4616146323451875E-6</v>
      </c>
      <c r="BW14" s="13">
        <f t="shared" si="33"/>
        <v>7.4616146323451875E-6</v>
      </c>
      <c r="BX14" s="13">
        <f t="shared" si="33"/>
        <v>9.2852233195066401E-6</v>
      </c>
      <c r="BY14" s="13">
        <f t="shared" si="33"/>
        <v>9.2852233195066401E-6</v>
      </c>
      <c r="BZ14" s="13">
        <f t="shared" si="33"/>
        <v>9.2852233195066401E-6</v>
      </c>
      <c r="CA14" s="13">
        <f t="shared" si="33"/>
        <v>9.9859948907901603E-6</v>
      </c>
      <c r="CB14" s="13">
        <f t="shared" si="33"/>
        <v>9.9859948907901603E-6</v>
      </c>
      <c r="CC14" s="13">
        <f t="shared" si="33"/>
        <v>9.9859948907901603E-6</v>
      </c>
      <c r="CD14" s="13">
        <f t="shared" si="33"/>
        <v>1.2680801267578126E-5</v>
      </c>
      <c r="CE14" s="13">
        <f t="shared" si="33"/>
        <v>1.54374971953125E-5</v>
      </c>
      <c r="CF14" s="13">
        <f t="shared" si="33"/>
        <v>1.2817011710003126E-5</v>
      </c>
      <c r="CG14" s="13">
        <f t="shared" si="33"/>
        <v>1.2817011710003126E-5</v>
      </c>
      <c r="CH14" s="13">
        <f t="shared" si="33"/>
        <v>1.2817011710003126E-5</v>
      </c>
      <c r="CI14" s="13">
        <f t="shared" si="33"/>
        <v>1.3838551635018829E-5</v>
      </c>
      <c r="CJ14" s="13">
        <f t="shared" si="33"/>
        <v>1.3838551635018829E-5</v>
      </c>
      <c r="CK14" s="13">
        <f t="shared" si="33"/>
        <v>1.3838551635018829E-5</v>
      </c>
      <c r="CL14" s="13">
        <f t="shared" si="33"/>
        <v>1.469015481255845E-5</v>
      </c>
      <c r="CM14" s="13">
        <f t="shared" si="33"/>
        <v>1.469015481255845E-5</v>
      </c>
      <c r="CN14" s="13">
        <f t="shared" si="33"/>
        <v>2.9512767189950001E-5</v>
      </c>
      <c r="CO14" s="13">
        <f t="shared" si="33"/>
        <v>3.351449833435E-5</v>
      </c>
      <c r="CP14" s="13">
        <f t="shared" si="33"/>
        <v>3.351449833435E-5</v>
      </c>
      <c r="CQ14" s="13">
        <f t="shared" ref="CQ14:CS14" si="34">(375*CQ21^4-71.2*CQ21^3+5.35*CQ21^2-0.165*CQ21+0.00175)*CQ22</f>
        <v>2.3443884389786265E-4</v>
      </c>
      <c r="CR14" s="13">
        <f t="shared" si="34"/>
        <v>1.4126443157948132E-4</v>
      </c>
      <c r="CS14" s="13">
        <f t="shared" si="34"/>
        <v>8.1151907503106295E-5</v>
      </c>
      <c r="CT14" s="14">
        <f>1/10000*0.00147</f>
        <v>1.4700000000000001E-7</v>
      </c>
      <c r="CU14" s="14">
        <f>1/10000*0.00231</f>
        <v>2.3100000000000002E-7</v>
      </c>
      <c r="CV14" s="14">
        <f>1/10000*0.0101</f>
        <v>1.0100000000000001E-6</v>
      </c>
      <c r="CW14" s="14">
        <f>1/10000*0.0203</f>
        <v>2.03E-6</v>
      </c>
      <c r="CX14" s="14">
        <f>1/10000*0.054</f>
        <v>5.4E-6</v>
      </c>
      <c r="CY14" s="14">
        <f>1/10000*0.09</f>
        <v>9.0000000000000002E-6</v>
      </c>
      <c r="CZ14" s="14">
        <f>1/10000*0.196</f>
        <v>1.9600000000000002E-5</v>
      </c>
      <c r="DA14" s="14">
        <f>1/10000*0.321</f>
        <v>3.2100000000000001E-5</v>
      </c>
      <c r="DB14" s="14">
        <f>1/10000*0.276</f>
        <v>2.7600000000000003E-5</v>
      </c>
      <c r="DC14" s="14">
        <f>1/10000*0.61</f>
        <v>6.0999999999999999E-5</v>
      </c>
      <c r="DD14" s="14">
        <f>1/10000*0.98</f>
        <v>9.7999999999999997E-5</v>
      </c>
      <c r="DE14" s="14">
        <f>1/10000*1.06</f>
        <v>1.0600000000000002E-4</v>
      </c>
      <c r="DF14" s="14">
        <f>1/10000*3.93</f>
        <v>3.9300000000000001E-4</v>
      </c>
      <c r="DG14" s="14">
        <f>1/10000*7.9</f>
        <v>7.9000000000000012E-4</v>
      </c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</row>
    <row r="15" spans="1:161" s="33" customFormat="1" x14ac:dyDescent="0.4">
      <c r="A15" s="30" t="s">
        <v>124</v>
      </c>
      <c r="B15" s="32">
        <f>0.16/1000</f>
        <v>1.6000000000000001E-4</v>
      </c>
      <c r="C15" s="21">
        <f>(C6*C12)/((C2-C6*C10)/C12)</f>
        <v>5.8247303042447706E-6</v>
      </c>
      <c r="D15" s="21">
        <f t="shared" ref="D15:BO15" si="35">(D6*D12)/((D2-D6*D10)/D12)</f>
        <v>5.3489262509368014E-6</v>
      </c>
      <c r="E15" s="21">
        <f t="shared" si="35"/>
        <v>1.8194025131456424E-5</v>
      </c>
      <c r="F15" s="21">
        <f t="shared" si="35"/>
        <v>1.6441521833637229E-4</v>
      </c>
      <c r="G15" s="21">
        <f t="shared" si="35"/>
        <v>1.9838890907412628E-4</v>
      </c>
      <c r="H15" s="21">
        <f t="shared" si="35"/>
        <v>3.2887729405436667E-4</v>
      </c>
      <c r="I15" s="21">
        <f t="shared" si="35"/>
        <v>1.4460014683448499E-4</v>
      </c>
      <c r="J15" s="21">
        <f t="shared" si="35"/>
        <v>5.6437464699031069E-4</v>
      </c>
      <c r="K15" s="21">
        <f t="shared" si="35"/>
        <v>1.0453827051369384E-4</v>
      </c>
      <c r="L15" s="21">
        <f t="shared" si="35"/>
        <v>7.2457451266838378E-5</v>
      </c>
      <c r="M15" s="21">
        <f t="shared" si="35"/>
        <v>9.5166054704192202E-5</v>
      </c>
      <c r="N15" s="21">
        <f t="shared" si="35"/>
        <v>6.2643386896660058E-5</v>
      </c>
      <c r="O15" s="21">
        <f t="shared" si="35"/>
        <v>5.925244549812104E-5</v>
      </c>
      <c r="P15" s="21">
        <f t="shared" si="35"/>
        <v>1.3178098578882201E-4</v>
      </c>
      <c r="Q15" s="21">
        <f t="shared" si="35"/>
        <v>1.3331456255022409E-4</v>
      </c>
      <c r="R15" s="21">
        <f t="shared" si="35"/>
        <v>1.6946884155105631E-4</v>
      </c>
      <c r="S15" s="21">
        <f t="shared" si="35"/>
        <v>1.3718237229994569E-4</v>
      </c>
      <c r="T15" s="21">
        <f t="shared" si="35"/>
        <v>1.3178098578882201E-4</v>
      </c>
      <c r="U15" s="21">
        <f t="shared" si="35"/>
        <v>1.3331456255022409E-4</v>
      </c>
      <c r="V15" s="21">
        <f t="shared" si="35"/>
        <v>1.6946884155105631E-4</v>
      </c>
      <c r="W15" s="21">
        <f t="shared" si="35"/>
        <v>1.3718237229994569E-4</v>
      </c>
      <c r="X15" s="21">
        <f t="shared" si="35"/>
        <v>1.7840470105432609E-4</v>
      </c>
      <c r="Y15" s="21">
        <f t="shared" si="35"/>
        <v>2.6683978368785029E-4</v>
      </c>
      <c r="Z15" s="21">
        <f t="shared" si="35"/>
        <v>1.9037780596276334E-4</v>
      </c>
      <c r="AA15" s="21">
        <f t="shared" si="35"/>
        <v>4.3149393582961988E-4</v>
      </c>
      <c r="AB15" s="21">
        <f t="shared" si="35"/>
        <v>2.8170126347695643E-4</v>
      </c>
      <c r="AC15" s="21">
        <f t="shared" si="35"/>
        <v>2.4711092946933406E-4</v>
      </c>
      <c r="AD15" s="21">
        <f t="shared" si="35"/>
        <v>1.6972253232206777E-4</v>
      </c>
      <c r="AE15" s="21">
        <f t="shared" si="35"/>
        <v>5.6425804336214362E-5</v>
      </c>
      <c r="AF15" s="21">
        <f t="shared" si="35"/>
        <v>4.9410131200768982E-5</v>
      </c>
      <c r="AG15" s="21">
        <f t="shared" si="35"/>
        <v>3.5210925788644915E-4</v>
      </c>
      <c r="AH15" s="21">
        <f t="shared" si="35"/>
        <v>2.4443537230744349E-4</v>
      </c>
      <c r="AI15" s="21">
        <f t="shared" si="35"/>
        <v>2.4195051476569478E-4</v>
      </c>
      <c r="AJ15" s="21">
        <f t="shared" si="35"/>
        <v>3.0445067200221689E-4</v>
      </c>
      <c r="AK15" s="21">
        <f t="shared" si="35"/>
        <v>2.6428120016051213E-4</v>
      </c>
      <c r="AL15" s="21">
        <f t="shared" si="35"/>
        <v>3.0445067200221689E-4</v>
      </c>
      <c r="AM15" s="21">
        <f t="shared" si="35"/>
        <v>2.6428120016051213E-4</v>
      </c>
      <c r="AN15" s="21">
        <f t="shared" si="35"/>
        <v>8.4753558104140413E-6</v>
      </c>
      <c r="AO15" s="21">
        <f t="shared" si="35"/>
        <v>4.7636818313801294E-6</v>
      </c>
      <c r="AP15" s="21">
        <f t="shared" si="35"/>
        <v>7.9129792515291403E-6</v>
      </c>
      <c r="AQ15" s="21">
        <f t="shared" si="35"/>
        <v>3.7192871293850442E-5</v>
      </c>
      <c r="AR15" s="21">
        <f t="shared" si="35"/>
        <v>5.2098850892147027E-5</v>
      </c>
      <c r="AS15" s="21">
        <f t="shared" si="35"/>
        <v>5.759826436510259E-5</v>
      </c>
      <c r="AT15" s="21">
        <f t="shared" si="35"/>
        <v>6.4815102306846624E-5</v>
      </c>
      <c r="AU15" s="21">
        <f t="shared" si="35"/>
        <v>2.1175282063988604E-4</v>
      </c>
      <c r="AV15" s="21">
        <f t="shared" si="35"/>
        <v>2.9731324819146664E-5</v>
      </c>
      <c r="AW15" s="21">
        <f t="shared" si="35"/>
        <v>3.4904747470795047E-5</v>
      </c>
      <c r="AX15" s="21">
        <f t="shared" si="35"/>
        <v>4.1152486242611647E-5</v>
      </c>
      <c r="AY15" s="21">
        <f t="shared" si="35"/>
        <v>6.6979758482160499E-5</v>
      </c>
      <c r="AZ15" s="21">
        <f t="shared" si="35"/>
        <v>5.2748347990940084E-5</v>
      </c>
      <c r="BA15" s="21">
        <f t="shared" si="35"/>
        <v>5.2689838498473864E-5</v>
      </c>
      <c r="BB15" s="21">
        <f t="shared" si="35"/>
        <v>5.9522639904183187E-5</v>
      </c>
      <c r="BC15" s="21">
        <f t="shared" si="35"/>
        <v>6.5825200343821991E-5</v>
      </c>
      <c r="BD15" s="21">
        <f t="shared" si="35"/>
        <v>8.1788278867414184E-5</v>
      </c>
      <c r="BE15" s="21">
        <f t="shared" si="35"/>
        <v>9.3981553267576522E-5</v>
      </c>
      <c r="BF15" s="21">
        <f t="shared" si="35"/>
        <v>9.7113286518233093E-5</v>
      </c>
      <c r="BG15" s="21">
        <f t="shared" si="35"/>
        <v>1.7053294280152529E-4</v>
      </c>
      <c r="BH15" s="21">
        <f t="shared" si="35"/>
        <v>1.5767189902085669E-4</v>
      </c>
      <c r="BI15" s="21">
        <f t="shared" si="35"/>
        <v>1.4538803171252969E-4</v>
      </c>
      <c r="BJ15" s="21">
        <f t="shared" si="35"/>
        <v>1.1838068608326549E-4</v>
      </c>
      <c r="BK15" s="21">
        <f t="shared" si="35"/>
        <v>2.1142407777931726E-4</v>
      </c>
      <c r="BL15" s="21">
        <f t="shared" si="35"/>
        <v>1.8602834491683061E-4</v>
      </c>
      <c r="BM15" s="21">
        <f t="shared" si="35"/>
        <v>1.7117337428539285E-4</v>
      </c>
      <c r="BN15" s="21">
        <f t="shared" si="35"/>
        <v>9.3605916554444569E-7</v>
      </c>
      <c r="BO15" s="21">
        <f t="shared" si="35"/>
        <v>7.7964027323259493E-7</v>
      </c>
      <c r="BP15" s="21">
        <f t="shared" ref="BP15:DG15" si="36">(BP6*BP12)/((BP2-BP6*BP10)/BP12)</f>
        <v>8.6697221541959982E-7</v>
      </c>
      <c r="BQ15" s="21">
        <f t="shared" si="36"/>
        <v>1.1716200781957971E-6</v>
      </c>
      <c r="BR15" s="21">
        <f t="shared" si="36"/>
        <v>4.3409742027670366E-7</v>
      </c>
      <c r="BS15" s="21">
        <f t="shared" si="36"/>
        <v>3.7633617333702655E-6</v>
      </c>
      <c r="BT15" s="21">
        <f t="shared" si="36"/>
        <v>3.3818053077696148E-6</v>
      </c>
      <c r="BU15" s="21">
        <f t="shared" si="36"/>
        <v>5.1688098087265124E-6</v>
      </c>
      <c r="BV15" s="21">
        <f t="shared" si="36"/>
        <v>2.3289299346826397E-6</v>
      </c>
      <c r="BW15" s="21">
        <f t="shared" si="36"/>
        <v>2.5010163319083847E-6</v>
      </c>
      <c r="BX15" s="21">
        <f t="shared" si="36"/>
        <v>1.0561137589222087E-5</v>
      </c>
      <c r="BY15" s="21">
        <f t="shared" si="36"/>
        <v>6.7955207139270331E-6</v>
      </c>
      <c r="BZ15" s="21">
        <f t="shared" si="36"/>
        <v>5.8287438367771366E-6</v>
      </c>
      <c r="CA15" s="21">
        <f t="shared" si="36"/>
        <v>1.1763848907402661E-5</v>
      </c>
      <c r="CB15" s="21">
        <f t="shared" si="36"/>
        <v>7.1944027208283972E-6</v>
      </c>
      <c r="CC15" s="21">
        <f t="shared" si="36"/>
        <v>3.8811289514206549E-6</v>
      </c>
      <c r="CD15" s="21">
        <f t="shared" si="36"/>
        <v>5.3489262509368014E-6</v>
      </c>
      <c r="CE15" s="21">
        <f t="shared" si="36"/>
        <v>2.1438360131961409E-5</v>
      </c>
      <c r="CF15" s="21">
        <f t="shared" si="36"/>
        <v>1.6693394301448338E-5</v>
      </c>
      <c r="CG15" s="21">
        <f t="shared" si="36"/>
        <v>1.0128867279194581E-5</v>
      </c>
      <c r="CH15" s="21">
        <f t="shared" si="36"/>
        <v>1.1031175620343278E-5</v>
      </c>
      <c r="CI15" s="21">
        <f t="shared" si="36"/>
        <v>2.2256655375309945E-5</v>
      </c>
      <c r="CJ15" s="21">
        <f t="shared" si="36"/>
        <v>1.7852205418579483E-5</v>
      </c>
      <c r="CK15" s="21">
        <f t="shared" si="36"/>
        <v>1.6116120005504828E-5</v>
      </c>
      <c r="CL15" s="21">
        <f t="shared" si="36"/>
        <v>2.8868778132223785E-5</v>
      </c>
      <c r="CM15" s="21">
        <f t="shared" si="36"/>
        <v>2.3216666469816129E-5</v>
      </c>
      <c r="CN15" s="21">
        <f t="shared" si="36"/>
        <v>2.9684753501095454E-5</v>
      </c>
      <c r="CO15" s="21">
        <f t="shared" si="36"/>
        <v>2.7180594569065522E-5</v>
      </c>
      <c r="CP15" s="21">
        <f t="shared" si="36"/>
        <v>1.7812226372925028E-5</v>
      </c>
      <c r="CQ15" s="21">
        <f t="shared" si="36"/>
        <v>0</v>
      </c>
      <c r="CR15" s="21">
        <f t="shared" si="36"/>
        <v>0</v>
      </c>
      <c r="CS15" s="21">
        <f t="shared" si="36"/>
        <v>0</v>
      </c>
      <c r="CT15" s="21">
        <f t="shared" si="36"/>
        <v>0</v>
      </c>
      <c r="CU15" s="21">
        <f t="shared" si="36"/>
        <v>0</v>
      </c>
      <c r="CV15" s="21">
        <f t="shared" si="36"/>
        <v>0</v>
      </c>
      <c r="CW15" s="21">
        <f t="shared" si="36"/>
        <v>0</v>
      </c>
      <c r="CX15" s="21">
        <f t="shared" si="36"/>
        <v>0</v>
      </c>
      <c r="CY15" s="21">
        <f t="shared" si="36"/>
        <v>0</v>
      </c>
      <c r="CZ15" s="21">
        <f t="shared" si="36"/>
        <v>0</v>
      </c>
      <c r="DA15" s="21">
        <f t="shared" si="36"/>
        <v>0</v>
      </c>
      <c r="DB15" s="21">
        <f t="shared" si="36"/>
        <v>0</v>
      </c>
      <c r="DC15" s="21">
        <f t="shared" si="36"/>
        <v>0</v>
      </c>
      <c r="DD15" s="21">
        <f t="shared" si="36"/>
        <v>0</v>
      </c>
      <c r="DE15" s="21">
        <f t="shared" si="36"/>
        <v>0</v>
      </c>
      <c r="DF15" s="21">
        <f t="shared" si="36"/>
        <v>0</v>
      </c>
      <c r="DG15" s="21">
        <f t="shared" si="36"/>
        <v>0</v>
      </c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</row>
    <row r="16" spans="1:161" x14ac:dyDescent="0.4">
      <c r="A16" s="22" t="s">
        <v>125</v>
      </c>
      <c r="B16" s="8">
        <v>9861.6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</row>
    <row r="17" spans="1:161" x14ac:dyDescent="0.4">
      <c r="A17" s="22" t="s">
        <v>126</v>
      </c>
      <c r="B17" s="8">
        <v>4.2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</row>
    <row r="18" spans="1:161" x14ac:dyDescent="0.4">
      <c r="A18" s="22" t="s">
        <v>127</v>
      </c>
      <c r="B18" s="8">
        <v>0.5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</row>
    <row r="19" spans="1:161" x14ac:dyDescent="0.4">
      <c r="A19" s="22" t="s">
        <v>128</v>
      </c>
      <c r="B19" s="8">
        <v>12.9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</row>
    <row r="20" spans="1:161" x14ac:dyDescent="0.4">
      <c r="A20" s="22" t="s">
        <v>129</v>
      </c>
      <c r="B20" s="8">
        <v>548.5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</row>
    <row r="21" spans="1:161" x14ac:dyDescent="0.4">
      <c r="A21" s="22" t="s">
        <v>130</v>
      </c>
      <c r="B21" s="8">
        <f>86.8/1000</f>
        <v>8.6800000000000002E-2</v>
      </c>
      <c r="C21" s="8">
        <f>41.8/1000</f>
        <v>4.1799999999999997E-2</v>
      </c>
      <c r="D21" s="8">
        <f>42.5/1000</f>
        <v>4.2500000000000003E-2</v>
      </c>
      <c r="E21" s="8">
        <f>60.7/1000</f>
        <v>6.0700000000000004E-2</v>
      </c>
      <c r="F21" s="8">
        <f>80/1000</f>
        <v>0.08</v>
      </c>
      <c r="G21" s="8">
        <f>79.5/1000</f>
        <v>7.9500000000000001E-2</v>
      </c>
      <c r="H21" s="8">
        <f>118.4/1000</f>
        <v>0.11840000000000001</v>
      </c>
      <c r="I21" s="8">
        <f>100/1000</f>
        <v>0.1</v>
      </c>
      <c r="J21" s="8">
        <f>147.5/1000</f>
        <v>0.14749999999999999</v>
      </c>
      <c r="K21" s="8">
        <f t="shared" ref="K21:O21" si="37">86.8/1000</f>
        <v>8.6800000000000002E-2</v>
      </c>
      <c r="L21" s="8">
        <f t="shared" si="37"/>
        <v>8.6800000000000002E-2</v>
      </c>
      <c r="M21" s="8">
        <f t="shared" si="37"/>
        <v>8.6800000000000002E-2</v>
      </c>
      <c r="N21" s="8">
        <f t="shared" si="37"/>
        <v>8.6800000000000002E-2</v>
      </c>
      <c r="O21" s="8">
        <f t="shared" si="37"/>
        <v>8.6800000000000002E-2</v>
      </c>
      <c r="P21" s="8">
        <f t="shared" ref="P21:W21" si="38">87.1/1000</f>
        <v>8.7099999999999997E-2</v>
      </c>
      <c r="Q21" s="8">
        <f t="shared" si="38"/>
        <v>8.7099999999999997E-2</v>
      </c>
      <c r="R21" s="8">
        <f t="shared" si="38"/>
        <v>8.7099999999999997E-2</v>
      </c>
      <c r="S21" s="8">
        <f t="shared" si="38"/>
        <v>8.7099999999999997E-2</v>
      </c>
      <c r="T21" s="8">
        <f t="shared" si="38"/>
        <v>8.7099999999999997E-2</v>
      </c>
      <c r="U21" s="8">
        <f t="shared" si="38"/>
        <v>8.7099999999999997E-2</v>
      </c>
      <c r="V21" s="8">
        <f t="shared" si="38"/>
        <v>8.7099999999999997E-2</v>
      </c>
      <c r="W21" s="8">
        <f t="shared" si="38"/>
        <v>8.7099999999999997E-2</v>
      </c>
      <c r="X21" s="8">
        <f t="shared" ref="X21:Y21" si="39">86.8/1000</f>
        <v>8.6800000000000002E-2</v>
      </c>
      <c r="Y21" s="8">
        <f t="shared" si="39"/>
        <v>8.6800000000000002E-2</v>
      </c>
      <c r="Z21" s="8">
        <f>98.6/1000</f>
        <v>9.8599999999999993E-2</v>
      </c>
      <c r="AA21" s="8">
        <f>118.4/1000</f>
        <v>0.11840000000000001</v>
      </c>
      <c r="AB21" s="8">
        <f t="shared" ref="AB21:AC21" si="40">107/1000</f>
        <v>0.107</v>
      </c>
      <c r="AC21" s="8">
        <f t="shared" si="40"/>
        <v>0.107</v>
      </c>
      <c r="AD21" s="8">
        <f>106.8/1000</f>
        <v>0.10679999999999999</v>
      </c>
      <c r="AE21" s="8">
        <f t="shared" ref="AE21:AF21" si="41">69/1000</f>
        <v>6.9000000000000006E-2</v>
      </c>
      <c r="AF21" s="8">
        <f t="shared" si="41"/>
        <v>6.9000000000000006E-2</v>
      </c>
      <c r="AG21" s="8">
        <f t="shared" ref="AG21:AM21" si="42">91.6/1000</f>
        <v>9.1600000000000001E-2</v>
      </c>
      <c r="AH21" s="8">
        <f t="shared" si="42"/>
        <v>9.1600000000000001E-2</v>
      </c>
      <c r="AI21" s="8">
        <f t="shared" si="42"/>
        <v>9.1600000000000001E-2</v>
      </c>
      <c r="AJ21" s="8">
        <f t="shared" si="42"/>
        <v>9.1600000000000001E-2</v>
      </c>
      <c r="AK21" s="8">
        <f t="shared" si="42"/>
        <v>9.1600000000000001E-2</v>
      </c>
      <c r="AL21" s="8">
        <f t="shared" si="42"/>
        <v>9.1600000000000001E-2</v>
      </c>
      <c r="AM21" s="8">
        <f t="shared" si="42"/>
        <v>9.1600000000000001E-2</v>
      </c>
      <c r="AN21" s="8">
        <f t="shared" ref="AN21:AP21" si="43">44.35/1000</f>
        <v>4.4350000000000001E-2</v>
      </c>
      <c r="AO21" s="8">
        <f t="shared" si="43"/>
        <v>4.4350000000000001E-2</v>
      </c>
      <c r="AP21" s="8">
        <f t="shared" si="43"/>
        <v>4.4350000000000001E-2</v>
      </c>
      <c r="AQ21" s="8">
        <f t="shared" ref="AQ21:AR21" si="44">67/1000</f>
        <v>6.7000000000000004E-2</v>
      </c>
      <c r="AR21" s="8">
        <f t="shared" si="44"/>
        <v>6.7000000000000004E-2</v>
      </c>
      <c r="AS21" s="8">
        <f t="shared" ref="AS21:AT21" si="45">79/1000</f>
        <v>7.9000000000000001E-2</v>
      </c>
      <c r="AT21" s="8">
        <f t="shared" si="45"/>
        <v>7.9000000000000001E-2</v>
      </c>
      <c r="AU21" s="8">
        <f>107/1000</f>
        <v>0.107</v>
      </c>
      <c r="AV21" s="8">
        <f t="shared" ref="AV21:AZ21" si="46">55.6/1000</f>
        <v>5.5600000000000004E-2</v>
      </c>
      <c r="AW21" s="8">
        <f t="shared" si="46"/>
        <v>5.5600000000000004E-2</v>
      </c>
      <c r="AX21" s="8">
        <f t="shared" si="46"/>
        <v>5.5600000000000004E-2</v>
      </c>
      <c r="AY21" s="8">
        <f t="shared" si="46"/>
        <v>5.5600000000000004E-2</v>
      </c>
      <c r="AZ21" s="8">
        <f t="shared" si="46"/>
        <v>5.5600000000000004E-2</v>
      </c>
      <c r="BA21" s="8">
        <f t="shared" ref="BA21:BD21" si="47">68.8/1000</f>
        <v>6.88E-2</v>
      </c>
      <c r="BB21" s="8">
        <f t="shared" si="47"/>
        <v>6.88E-2</v>
      </c>
      <c r="BC21" s="8">
        <f t="shared" si="47"/>
        <v>6.88E-2</v>
      </c>
      <c r="BD21" s="8">
        <f t="shared" si="47"/>
        <v>6.88E-2</v>
      </c>
      <c r="BE21" s="8">
        <f t="shared" ref="BE21:BH21" si="48">79.2/1000</f>
        <v>7.9200000000000007E-2</v>
      </c>
      <c r="BF21" s="8">
        <f t="shared" si="48"/>
        <v>7.9200000000000007E-2</v>
      </c>
      <c r="BG21" s="8">
        <f t="shared" si="48"/>
        <v>7.9200000000000007E-2</v>
      </c>
      <c r="BH21" s="8">
        <f t="shared" si="48"/>
        <v>7.9200000000000007E-2</v>
      </c>
      <c r="BI21" s="8">
        <f t="shared" ref="BI21:BM21" si="49">89/1000</f>
        <v>8.8999999999999996E-2</v>
      </c>
      <c r="BJ21" s="8">
        <f t="shared" si="49"/>
        <v>8.8999999999999996E-2</v>
      </c>
      <c r="BK21" s="8">
        <f t="shared" si="49"/>
        <v>8.8999999999999996E-2</v>
      </c>
      <c r="BL21" s="8">
        <f t="shared" si="49"/>
        <v>8.8999999999999996E-2</v>
      </c>
      <c r="BM21" s="8">
        <f t="shared" si="49"/>
        <v>8.8999999999999996E-2</v>
      </c>
      <c r="BN21" s="8">
        <f t="shared" ref="BN21:BP21" si="50">23/1000</f>
        <v>2.3E-2</v>
      </c>
      <c r="BO21" s="8">
        <f t="shared" si="50"/>
        <v>2.3E-2</v>
      </c>
      <c r="BP21" s="8">
        <f t="shared" si="50"/>
        <v>2.3E-2</v>
      </c>
      <c r="BQ21" s="8">
        <f t="shared" ref="BQ21:BR21" si="51">27/1000</f>
        <v>2.7E-2</v>
      </c>
      <c r="BR21" s="8">
        <f t="shared" si="51"/>
        <v>2.7E-2</v>
      </c>
      <c r="BS21" s="8">
        <f t="shared" ref="BS21:BT21" si="52">27.5/1000</f>
        <v>2.75E-2</v>
      </c>
      <c r="BT21" s="8">
        <f t="shared" si="52"/>
        <v>2.75E-2</v>
      </c>
      <c r="BU21" s="8">
        <f t="shared" ref="BU21:BW21" si="53">37.7/1000</f>
        <v>3.7700000000000004E-2</v>
      </c>
      <c r="BV21" s="8">
        <f t="shared" si="53"/>
        <v>3.7700000000000004E-2</v>
      </c>
      <c r="BW21" s="8">
        <f t="shared" si="53"/>
        <v>3.7700000000000004E-2</v>
      </c>
      <c r="BX21" s="8">
        <f t="shared" ref="BX21:CC21" si="54">41.8/1000</f>
        <v>4.1799999999999997E-2</v>
      </c>
      <c r="BY21" s="8">
        <f t="shared" si="54"/>
        <v>4.1799999999999997E-2</v>
      </c>
      <c r="BZ21" s="8">
        <f t="shared" si="54"/>
        <v>4.1799999999999997E-2</v>
      </c>
      <c r="CA21" s="8">
        <f t="shared" si="54"/>
        <v>4.1799999999999997E-2</v>
      </c>
      <c r="CB21" s="8">
        <f t="shared" si="54"/>
        <v>4.1799999999999997E-2</v>
      </c>
      <c r="CC21" s="8">
        <f t="shared" si="54"/>
        <v>4.1799999999999997E-2</v>
      </c>
      <c r="CD21" s="8">
        <f t="shared" ref="CD21:CE21" si="55">42.5/1000</f>
        <v>4.2500000000000003E-2</v>
      </c>
      <c r="CE21" s="8">
        <f t="shared" si="55"/>
        <v>4.2500000000000003E-2</v>
      </c>
      <c r="CF21" s="8">
        <f t="shared" ref="CF21:CH21" si="56">44.5/1000</f>
        <v>4.4499999999999998E-2</v>
      </c>
      <c r="CG21" s="8">
        <f t="shared" si="56"/>
        <v>4.4499999999999998E-2</v>
      </c>
      <c r="CH21" s="8">
        <f t="shared" si="56"/>
        <v>4.4499999999999998E-2</v>
      </c>
      <c r="CI21" s="8">
        <f t="shared" ref="CI21:CM21" si="57">44.7/1000</f>
        <v>4.4700000000000004E-2</v>
      </c>
      <c r="CJ21" s="8">
        <f t="shared" si="57"/>
        <v>4.4700000000000004E-2</v>
      </c>
      <c r="CK21" s="8">
        <f t="shared" si="57"/>
        <v>4.4700000000000004E-2</v>
      </c>
      <c r="CL21" s="8">
        <f t="shared" si="57"/>
        <v>4.4700000000000004E-2</v>
      </c>
      <c r="CM21" s="8">
        <f t="shared" si="57"/>
        <v>4.4700000000000004E-2</v>
      </c>
      <c r="CN21" s="8">
        <f t="shared" ref="CN21:CP21" si="58">59/1000</f>
        <v>5.8999999999999997E-2</v>
      </c>
      <c r="CO21" s="8">
        <f t="shared" si="58"/>
        <v>5.8999999999999997E-2</v>
      </c>
      <c r="CP21" s="8">
        <f t="shared" si="58"/>
        <v>5.8999999999999997E-2</v>
      </c>
      <c r="CQ21" s="8">
        <f t="shared" ref="CQ21:CS21" si="59">103.3/1000</f>
        <v>0.1033</v>
      </c>
      <c r="CR21" s="8">
        <f t="shared" si="59"/>
        <v>0.1033</v>
      </c>
      <c r="CS21" s="8">
        <f t="shared" si="59"/>
        <v>0.1033</v>
      </c>
      <c r="CT21" s="8">
        <f t="shared" ref="CT21:CU21" si="60">1/1000*25</f>
        <v>2.5000000000000001E-2</v>
      </c>
      <c r="CU21" s="8">
        <f t="shared" si="60"/>
        <v>2.5000000000000001E-2</v>
      </c>
      <c r="CV21" s="8">
        <f t="shared" ref="CV21:CW21" si="61">1/1000*38</f>
        <v>3.7999999999999999E-2</v>
      </c>
      <c r="CW21" s="8">
        <f t="shared" si="61"/>
        <v>3.7999999999999999E-2</v>
      </c>
      <c r="CX21" s="8">
        <f t="shared" ref="CX21:CY21" si="62">1/1000*50</f>
        <v>0.05</v>
      </c>
      <c r="CY21" s="8">
        <f t="shared" si="62"/>
        <v>0.05</v>
      </c>
      <c r="CZ21" s="8">
        <f t="shared" ref="CZ21:DA21" si="63">1/1000*69</f>
        <v>6.9000000000000006E-2</v>
      </c>
      <c r="DA21" s="8">
        <f t="shared" si="63"/>
        <v>6.9000000000000006E-2</v>
      </c>
      <c r="DB21" s="8">
        <f t="shared" ref="DB21:DE21" si="64">1/1000*85</f>
        <v>8.5000000000000006E-2</v>
      </c>
      <c r="DC21" s="8">
        <f t="shared" si="64"/>
        <v>8.5000000000000006E-2</v>
      </c>
      <c r="DD21" s="8">
        <f t="shared" si="64"/>
        <v>8.5000000000000006E-2</v>
      </c>
      <c r="DE21" s="8">
        <f t="shared" si="64"/>
        <v>8.5000000000000006E-2</v>
      </c>
      <c r="DF21" s="8">
        <f t="shared" ref="DF21:DG21" si="65">1/1000*115</f>
        <v>0.115</v>
      </c>
      <c r="DG21" s="8">
        <f t="shared" si="65"/>
        <v>0.115</v>
      </c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</row>
    <row r="22" spans="1:161" x14ac:dyDescent="0.4">
      <c r="A22" s="22" t="s">
        <v>131</v>
      </c>
      <c r="B22" s="8">
        <f>26.5/1000</f>
        <v>2.6499999999999999E-2</v>
      </c>
      <c r="C22" s="8">
        <f>30.75/1000</f>
        <v>3.075E-2</v>
      </c>
      <c r="D22" s="8">
        <f>37.5/1000</f>
        <v>3.7499999999999999E-2</v>
      </c>
      <c r="E22" s="8">
        <f>39.5/1000</f>
        <v>3.95E-2</v>
      </c>
      <c r="F22" s="8">
        <f>50/1000</f>
        <v>0.05</v>
      </c>
      <c r="G22" s="8">
        <f>51.6/1000</f>
        <v>5.16E-2</v>
      </c>
      <c r="H22" s="8">
        <f>56.8/1000</f>
        <v>5.6799999999999996E-2</v>
      </c>
      <c r="I22" s="8">
        <f>60/1000</f>
        <v>0.06</v>
      </c>
      <c r="J22" s="8">
        <f>64/1000</f>
        <v>6.4000000000000001E-2</v>
      </c>
      <c r="K22" s="8">
        <f t="shared" ref="K22:O22" si="66">26.5/1000</f>
        <v>2.6499999999999999E-2</v>
      </c>
      <c r="L22" s="8">
        <f t="shared" si="66"/>
        <v>2.6499999999999999E-2</v>
      </c>
      <c r="M22" s="8">
        <f t="shared" si="66"/>
        <v>2.6499999999999999E-2</v>
      </c>
      <c r="N22" s="8">
        <f t="shared" si="66"/>
        <v>2.6499999999999999E-2</v>
      </c>
      <c r="O22" s="8">
        <f t="shared" si="66"/>
        <v>2.6499999999999999E-2</v>
      </c>
      <c r="P22" s="8">
        <f t="shared" ref="P22:S22" si="67">29.1/1000</f>
        <v>2.9100000000000001E-2</v>
      </c>
      <c r="Q22" s="8">
        <f t="shared" si="67"/>
        <v>2.9100000000000001E-2</v>
      </c>
      <c r="R22" s="8">
        <f t="shared" si="67"/>
        <v>2.9100000000000001E-2</v>
      </c>
      <c r="S22" s="8">
        <f t="shared" si="67"/>
        <v>2.9100000000000001E-2</v>
      </c>
      <c r="T22" s="8">
        <f t="shared" ref="T22:W22" si="68">27.05/1000</f>
        <v>2.7050000000000001E-2</v>
      </c>
      <c r="U22" s="8">
        <f t="shared" si="68"/>
        <v>2.7050000000000001E-2</v>
      </c>
      <c r="V22" s="8">
        <f t="shared" si="68"/>
        <v>2.7050000000000001E-2</v>
      </c>
      <c r="W22" s="8">
        <f t="shared" si="68"/>
        <v>2.7050000000000001E-2</v>
      </c>
      <c r="X22" s="8">
        <f t="shared" ref="X22:Y22" si="69">35.5/1000</f>
        <v>3.5499999999999997E-2</v>
      </c>
      <c r="Y22" s="8">
        <f t="shared" si="69"/>
        <v>3.5499999999999997E-2</v>
      </c>
      <c r="Z22" s="8">
        <f>33.1/1000</f>
        <v>3.3100000000000004E-2</v>
      </c>
      <c r="AA22" s="8">
        <f>56.8/1000</f>
        <v>5.6799999999999996E-2</v>
      </c>
      <c r="AB22" s="8">
        <f t="shared" ref="AB22:AC22" si="70">37/1000</f>
        <v>3.6999999999999998E-2</v>
      </c>
      <c r="AC22" s="8">
        <f t="shared" si="70"/>
        <v>3.6999999999999998E-2</v>
      </c>
      <c r="AD22" s="8">
        <f>47.6/1000</f>
        <v>4.7600000000000003E-2</v>
      </c>
      <c r="AE22" s="8">
        <f t="shared" ref="AE22:AF22" si="71">36.5/1000</f>
        <v>3.6499999999999998E-2</v>
      </c>
      <c r="AF22" s="8">
        <f t="shared" si="71"/>
        <v>3.6499999999999998E-2</v>
      </c>
      <c r="AG22" s="8">
        <f t="shared" ref="AG22:AM22" si="72">43/1000</f>
        <v>4.2999999999999997E-2</v>
      </c>
      <c r="AH22" s="8">
        <f t="shared" si="72"/>
        <v>4.2999999999999997E-2</v>
      </c>
      <c r="AI22" s="8">
        <f t="shared" si="72"/>
        <v>4.2999999999999997E-2</v>
      </c>
      <c r="AJ22" s="8">
        <f t="shared" si="72"/>
        <v>4.2999999999999997E-2</v>
      </c>
      <c r="AK22" s="8">
        <f t="shared" si="72"/>
        <v>4.2999999999999997E-2</v>
      </c>
      <c r="AL22" s="8">
        <f t="shared" si="72"/>
        <v>4.2999999999999997E-2</v>
      </c>
      <c r="AM22" s="8">
        <f t="shared" si="72"/>
        <v>4.2999999999999997E-2</v>
      </c>
      <c r="AN22" s="8">
        <f t="shared" ref="AN22:AO22" si="73">19/1000</f>
        <v>1.9E-2</v>
      </c>
      <c r="AO22" s="8">
        <f t="shared" si="73"/>
        <v>1.9E-2</v>
      </c>
      <c r="AP22" s="8">
        <f>21/1000</f>
        <v>2.1000000000000001E-2</v>
      </c>
      <c r="AQ22" s="8">
        <f t="shared" ref="AQ22:AR22" si="74">30.1/1000</f>
        <v>3.0100000000000002E-2</v>
      </c>
      <c r="AR22" s="8">
        <f t="shared" si="74"/>
        <v>3.0100000000000002E-2</v>
      </c>
      <c r="AS22" s="8">
        <f t="shared" ref="AS22:AT22" si="75">21/1000</f>
        <v>2.1000000000000001E-2</v>
      </c>
      <c r="AT22" s="8">
        <f t="shared" si="75"/>
        <v>2.1000000000000001E-2</v>
      </c>
      <c r="AU22" s="8">
        <f>23/1000</f>
        <v>2.3E-2</v>
      </c>
      <c r="AV22" s="8">
        <f t="shared" ref="AV22:AX22" si="76">33.9/1000</f>
        <v>3.39E-2</v>
      </c>
      <c r="AW22" s="8">
        <f t="shared" si="76"/>
        <v>3.39E-2</v>
      </c>
      <c r="AX22" s="8">
        <f t="shared" si="76"/>
        <v>3.39E-2</v>
      </c>
      <c r="AY22" s="8">
        <f t="shared" ref="AY22:AZ22" si="77">38.9/1000</f>
        <v>3.8899999999999997E-2</v>
      </c>
      <c r="AZ22" s="8">
        <f t="shared" si="77"/>
        <v>3.8899999999999997E-2</v>
      </c>
      <c r="BA22" s="8">
        <f t="shared" ref="BA22:BB22" si="78">34.9/1000</f>
        <v>3.49E-2</v>
      </c>
      <c r="BB22" s="8">
        <f t="shared" si="78"/>
        <v>3.49E-2</v>
      </c>
      <c r="BC22" s="8">
        <f t="shared" ref="BC22:BD22" si="79">39.9/1000</f>
        <v>3.9899999999999998E-2</v>
      </c>
      <c r="BD22" s="8">
        <f t="shared" si="79"/>
        <v>3.9899999999999998E-2</v>
      </c>
      <c r="BE22" s="8">
        <f t="shared" ref="BE22:BF22" si="80">39.4/1000</f>
        <v>3.9399999999999998E-2</v>
      </c>
      <c r="BF22" s="8">
        <f t="shared" si="80"/>
        <v>3.9399999999999998E-2</v>
      </c>
      <c r="BG22" s="8">
        <f t="shared" ref="BG22:BH22" si="81">44.4/1000</f>
        <v>4.4400000000000002E-2</v>
      </c>
      <c r="BH22" s="8">
        <f t="shared" si="81"/>
        <v>4.4400000000000002E-2</v>
      </c>
      <c r="BI22" s="8">
        <f t="shared" ref="BI22:BJ22" si="82">39.4/1000</f>
        <v>3.9399999999999998E-2</v>
      </c>
      <c r="BJ22" s="8">
        <f t="shared" si="82"/>
        <v>3.9399999999999998E-2</v>
      </c>
      <c r="BK22" s="8">
        <f t="shared" ref="BK22:BM22" si="83">44.4/1000</f>
        <v>4.4400000000000002E-2</v>
      </c>
      <c r="BL22" s="8">
        <f t="shared" si="83"/>
        <v>4.4400000000000002E-2</v>
      </c>
      <c r="BM22" s="8">
        <f t="shared" si="83"/>
        <v>4.4400000000000002E-2</v>
      </c>
      <c r="BN22" s="8">
        <f>16.5/1000</f>
        <v>1.6500000000000001E-2</v>
      </c>
      <c r="BO22" s="8">
        <f t="shared" ref="BO22:BP22" si="84">18.5/1000</f>
        <v>1.8499999999999999E-2</v>
      </c>
      <c r="BP22" s="8">
        <f t="shared" si="84"/>
        <v>1.8499999999999999E-2</v>
      </c>
      <c r="BQ22" s="8">
        <f t="shared" ref="BQ22:BR22" si="85">16.5/1000</f>
        <v>1.6500000000000001E-2</v>
      </c>
      <c r="BR22" s="8">
        <f t="shared" si="85"/>
        <v>1.6500000000000001E-2</v>
      </c>
      <c r="BS22" s="8">
        <f t="shared" ref="BS22:BT22" si="86">26.5/1000</f>
        <v>2.6499999999999999E-2</v>
      </c>
      <c r="BT22" s="8">
        <f t="shared" si="86"/>
        <v>2.6499999999999999E-2</v>
      </c>
      <c r="BU22" s="8">
        <f t="shared" ref="BU22:BW22" si="87">28.5/1000</f>
        <v>2.8500000000000001E-2</v>
      </c>
      <c r="BV22" s="8">
        <f t="shared" si="87"/>
        <v>2.8500000000000001E-2</v>
      </c>
      <c r="BW22" s="8">
        <f t="shared" si="87"/>
        <v>2.8500000000000001E-2</v>
      </c>
      <c r="BX22" s="8">
        <f t="shared" ref="BX22:BZ22" si="88">26.5/1000</f>
        <v>2.6499999999999999E-2</v>
      </c>
      <c r="BY22" s="8">
        <f t="shared" si="88"/>
        <v>2.6499999999999999E-2</v>
      </c>
      <c r="BZ22" s="8">
        <f t="shared" si="88"/>
        <v>2.6499999999999999E-2</v>
      </c>
      <c r="CA22" s="8">
        <f t="shared" ref="CA22:CC22" si="89">28.5/1000</f>
        <v>2.8500000000000001E-2</v>
      </c>
      <c r="CB22" s="8">
        <f t="shared" si="89"/>
        <v>2.8500000000000001E-2</v>
      </c>
      <c r="CC22" s="8">
        <f t="shared" si="89"/>
        <v>2.8500000000000001E-2</v>
      </c>
      <c r="CD22" s="8">
        <f>34.5/1000</f>
        <v>3.4500000000000003E-2</v>
      </c>
      <c r="CE22" s="8">
        <f>42/1000</f>
        <v>4.2000000000000003E-2</v>
      </c>
      <c r="CF22" s="8">
        <f t="shared" ref="CF22:CH22" si="90">30.5/1000</f>
        <v>3.0499999999999999E-2</v>
      </c>
      <c r="CG22" s="8">
        <f t="shared" si="90"/>
        <v>3.0499999999999999E-2</v>
      </c>
      <c r="CH22" s="8">
        <f t="shared" si="90"/>
        <v>3.0499999999999999E-2</v>
      </c>
      <c r="CI22" s="8">
        <f t="shared" ref="CI22:CK22" si="91">32.5/1000</f>
        <v>3.2500000000000001E-2</v>
      </c>
      <c r="CJ22" s="8">
        <f t="shared" si="91"/>
        <v>3.2500000000000001E-2</v>
      </c>
      <c r="CK22" s="8">
        <f t="shared" si="91"/>
        <v>3.2500000000000001E-2</v>
      </c>
      <c r="CL22" s="8">
        <f t="shared" ref="CL22:CM22" si="92">34.5/1000</f>
        <v>3.4500000000000003E-2</v>
      </c>
      <c r="CM22" s="8">
        <f t="shared" si="92"/>
        <v>3.4500000000000003E-2</v>
      </c>
      <c r="CN22" s="8">
        <f>29.5/1000</f>
        <v>2.9499999999999998E-2</v>
      </c>
      <c r="CO22" s="8">
        <f t="shared" ref="CO22:CP22" si="93">33.5/1000</f>
        <v>3.3500000000000002E-2</v>
      </c>
      <c r="CP22" s="8">
        <f t="shared" si="93"/>
        <v>3.3500000000000002E-2</v>
      </c>
      <c r="CQ22" s="8">
        <f>39/1000</f>
        <v>3.9E-2</v>
      </c>
      <c r="CR22" s="8">
        <f>23.5/1000</f>
        <v>2.35E-2</v>
      </c>
      <c r="CS22" s="8">
        <f>13.5/1000</f>
        <v>1.35E-2</v>
      </c>
      <c r="CT22" s="8">
        <f>1/1000*10.8</f>
        <v>1.0800000000000001E-2</v>
      </c>
      <c r="CU22" s="8">
        <f>1/1000*15.2</f>
        <v>1.52E-2</v>
      </c>
      <c r="CV22" s="8">
        <f>1/1000*15.3</f>
        <v>1.5300000000000001E-2</v>
      </c>
      <c r="CW22" s="8">
        <f>1/1000*22.3</f>
        <v>2.23E-2</v>
      </c>
      <c r="CX22" s="8">
        <f>1/1000*16.4</f>
        <v>1.6399999999999998E-2</v>
      </c>
      <c r="CY22" s="8">
        <f>1/1000*22.8</f>
        <v>2.2800000000000001E-2</v>
      </c>
      <c r="CZ22" s="8">
        <f>1/1000*22.6</f>
        <v>2.2600000000000002E-2</v>
      </c>
      <c r="DA22" s="8">
        <f>1/1000*30.5</f>
        <v>3.0499999999999999E-2</v>
      </c>
      <c r="DB22" s="8">
        <f>1/1000*17.6</f>
        <v>1.7600000000000001E-2</v>
      </c>
      <c r="DC22" s="8">
        <f>1/1000*27.2</f>
        <v>2.7199999999999998E-2</v>
      </c>
      <c r="DD22" s="8">
        <f>1/1000*37.2</f>
        <v>3.7200000000000004E-2</v>
      </c>
      <c r="DE22" s="8">
        <f>1/1000*40.7</f>
        <v>4.0700000000000007E-2</v>
      </c>
      <c r="DF22" s="8">
        <f>1/1000*39</f>
        <v>3.9E-2</v>
      </c>
      <c r="DG22" s="8">
        <f>1/1000*68</f>
        <v>6.8000000000000005E-2</v>
      </c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</row>
    <row r="23" spans="1:161" x14ac:dyDescent="0.4">
      <c r="A23" s="28" t="s">
        <v>132</v>
      </c>
      <c r="B23" s="13">
        <f t="shared" ref="B23:DG23" si="94">PI()*(B21/2)^2*B22</f>
        <v>1.5681052385278316E-4</v>
      </c>
      <c r="C23" s="13">
        <f t="shared" si="94"/>
        <v>4.2197581925697641E-5</v>
      </c>
      <c r="D23" s="13">
        <f t="shared" si="94"/>
        <v>5.3198453723874045E-5</v>
      </c>
      <c r="E23" s="13">
        <f t="shared" si="94"/>
        <v>1.1430477132272244E-4</v>
      </c>
      <c r="F23" s="13">
        <f t="shared" si="94"/>
        <v>2.5132741228718348E-4</v>
      </c>
      <c r="G23" s="13">
        <f t="shared" si="94"/>
        <v>2.561378974981765E-4</v>
      </c>
      <c r="H23" s="13">
        <f t="shared" si="94"/>
        <v>6.2537659256068972E-4</v>
      </c>
      <c r="I23" s="13">
        <f t="shared" si="94"/>
        <v>4.7123889803846902E-4</v>
      </c>
      <c r="J23" s="13">
        <f t="shared" si="94"/>
        <v>1.0935884027146068E-3</v>
      </c>
      <c r="K23" s="13">
        <f t="shared" si="94"/>
        <v>1.5681052385278316E-4</v>
      </c>
      <c r="L23" s="13">
        <f t="shared" si="94"/>
        <v>1.5681052385278316E-4</v>
      </c>
      <c r="M23" s="13">
        <f t="shared" si="94"/>
        <v>1.5681052385278316E-4</v>
      </c>
      <c r="N23" s="13">
        <f t="shared" si="94"/>
        <v>1.5681052385278316E-4</v>
      </c>
      <c r="O23" s="13">
        <f t="shared" si="94"/>
        <v>1.5681052385278316E-4</v>
      </c>
      <c r="P23" s="13">
        <f t="shared" si="94"/>
        <v>1.7338805719069902E-4</v>
      </c>
      <c r="Q23" s="13">
        <f t="shared" si="94"/>
        <v>1.7338805719069902E-4</v>
      </c>
      <c r="R23" s="13">
        <f t="shared" si="94"/>
        <v>1.7338805719069902E-4</v>
      </c>
      <c r="S23" s="13">
        <f t="shared" si="94"/>
        <v>1.7338805719069902E-4</v>
      </c>
      <c r="T23" s="13">
        <f t="shared" si="94"/>
        <v>1.6117343460509995E-4</v>
      </c>
      <c r="U23" s="13">
        <f t="shared" si="94"/>
        <v>1.6117343460509995E-4</v>
      </c>
      <c r="V23" s="13">
        <f t="shared" si="94"/>
        <v>1.6117343460509995E-4</v>
      </c>
      <c r="W23" s="13">
        <f t="shared" si="94"/>
        <v>1.6117343460509995E-4</v>
      </c>
      <c r="X23" s="13">
        <f t="shared" si="94"/>
        <v>2.1006692818014347E-4</v>
      </c>
      <c r="Y23" s="13">
        <f t="shared" si="94"/>
        <v>2.1006692818014347E-4</v>
      </c>
      <c r="Z23" s="13">
        <f t="shared" si="94"/>
        <v>2.527386753974364E-4</v>
      </c>
      <c r="AA23" s="13">
        <f t="shared" si="94"/>
        <v>6.2537659256068972E-4</v>
      </c>
      <c r="AB23" s="13">
        <f t="shared" si="94"/>
        <v>3.3270487219128324E-4</v>
      </c>
      <c r="AC23" s="13">
        <f t="shared" si="94"/>
        <v>3.3270487219128324E-4</v>
      </c>
      <c r="AD23" s="13">
        <f t="shared" si="94"/>
        <v>4.2642174149007628E-4</v>
      </c>
      <c r="AE23" s="13">
        <f t="shared" si="94"/>
        <v>1.3648374394163669E-4</v>
      </c>
      <c r="AF23" s="13">
        <f t="shared" si="94"/>
        <v>1.3648374394163669E-4</v>
      </c>
      <c r="AG23" s="13">
        <f t="shared" si="94"/>
        <v>2.8336700779667203E-4</v>
      </c>
      <c r="AH23" s="13">
        <f t="shared" si="94"/>
        <v>2.8336700779667203E-4</v>
      </c>
      <c r="AI23" s="13">
        <f t="shared" si="94"/>
        <v>2.8336700779667203E-4</v>
      </c>
      <c r="AJ23" s="13">
        <f t="shared" si="94"/>
        <v>2.8336700779667203E-4</v>
      </c>
      <c r="AK23" s="13">
        <f t="shared" si="94"/>
        <v>2.8336700779667203E-4</v>
      </c>
      <c r="AL23" s="13">
        <f t="shared" si="94"/>
        <v>2.8336700779667203E-4</v>
      </c>
      <c r="AM23" s="13">
        <f t="shared" si="94"/>
        <v>2.8336700779667203E-4</v>
      </c>
      <c r="AN23" s="13">
        <f t="shared" si="94"/>
        <v>2.9351529061857232E-5</v>
      </c>
      <c r="AO23" s="13">
        <f t="shared" si="94"/>
        <v>2.9351529061857232E-5</v>
      </c>
      <c r="AP23" s="13">
        <f t="shared" si="94"/>
        <v>3.2441163699947467E-5</v>
      </c>
      <c r="AQ23" s="13">
        <f t="shared" si="94"/>
        <v>1.061221359002835E-4</v>
      </c>
      <c r="AR23" s="13">
        <f t="shared" si="94"/>
        <v>1.061221359002835E-4</v>
      </c>
      <c r="AS23" s="13">
        <f t="shared" si="94"/>
        <v>1.0293506869303297E-4</v>
      </c>
      <c r="AT23" s="13">
        <f t="shared" si="94"/>
        <v>1.0293506869303297E-4</v>
      </c>
      <c r="AU23" s="13">
        <f t="shared" si="94"/>
        <v>2.0681654217295987E-4</v>
      </c>
      <c r="AV23" s="13">
        <f t="shared" si="94"/>
        <v>8.2307453010971383E-5</v>
      </c>
      <c r="AW23" s="13">
        <f t="shared" si="94"/>
        <v>8.2307453010971383E-5</v>
      </c>
      <c r="AX23" s="13">
        <f t="shared" si="94"/>
        <v>8.2307453010971383E-5</v>
      </c>
      <c r="AY23" s="13">
        <f t="shared" si="94"/>
        <v>9.4447195342973065E-5</v>
      </c>
      <c r="AZ23" s="13">
        <f t="shared" si="94"/>
        <v>9.4447195342973065E-5</v>
      </c>
      <c r="BA23" s="13">
        <f t="shared" si="94"/>
        <v>1.2974546438106541E-4</v>
      </c>
      <c r="BB23" s="13">
        <f t="shared" si="94"/>
        <v>1.2974546438106541E-4</v>
      </c>
      <c r="BC23" s="13">
        <f t="shared" si="94"/>
        <v>1.4833363979382551E-4</v>
      </c>
      <c r="BD23" s="13">
        <f t="shared" si="94"/>
        <v>1.4833363979382551E-4</v>
      </c>
      <c r="BE23" s="13">
        <f t="shared" si="94"/>
        <v>1.941048854647428E-4</v>
      </c>
      <c r="BF23" s="13">
        <f t="shared" si="94"/>
        <v>1.941048854647428E-4</v>
      </c>
      <c r="BG23" s="13">
        <f t="shared" si="94"/>
        <v>2.1873748514300966E-4</v>
      </c>
      <c r="BH23" s="13">
        <f t="shared" si="94"/>
        <v>2.1873748514300966E-4</v>
      </c>
      <c r="BI23" s="13">
        <f t="shared" si="94"/>
        <v>2.4511287077948473E-4</v>
      </c>
      <c r="BJ23" s="13">
        <f t="shared" si="94"/>
        <v>2.4511287077948473E-4</v>
      </c>
      <c r="BK23" s="13">
        <f t="shared" si="94"/>
        <v>2.7621856504084073E-4</v>
      </c>
      <c r="BL23" s="13">
        <f t="shared" si="94"/>
        <v>2.7621856504084073E-4</v>
      </c>
      <c r="BM23" s="13">
        <f t="shared" si="94"/>
        <v>2.7621856504084073E-4</v>
      </c>
      <c r="BN23" s="13">
        <f t="shared" si="94"/>
        <v>6.8553478692146273E-6</v>
      </c>
      <c r="BO23" s="13">
        <f t="shared" si="94"/>
        <v>7.6862991260891265E-6</v>
      </c>
      <c r="BP23" s="13">
        <f t="shared" si="94"/>
        <v>7.6862991260891265E-6</v>
      </c>
      <c r="BQ23" s="13">
        <f t="shared" si="94"/>
        <v>9.447161808426207E-6</v>
      </c>
      <c r="BR23" s="13">
        <f t="shared" si="94"/>
        <v>9.447161808426207E-6</v>
      </c>
      <c r="BS23" s="13">
        <f t="shared" si="94"/>
        <v>1.5739870068336988E-5</v>
      </c>
      <c r="BT23" s="13">
        <f t="shared" si="94"/>
        <v>1.5739870068336988E-5</v>
      </c>
      <c r="BU23" s="13">
        <f t="shared" si="94"/>
        <v>3.1813938836172048E-5</v>
      </c>
      <c r="BV23" s="13">
        <f t="shared" si="94"/>
        <v>3.1813938836172048E-5</v>
      </c>
      <c r="BW23" s="13">
        <f t="shared" si="94"/>
        <v>3.1813938836172048E-5</v>
      </c>
      <c r="BX23" s="13">
        <f t="shared" si="94"/>
        <v>3.6365395805885769E-5</v>
      </c>
      <c r="BY23" s="13">
        <f t="shared" si="94"/>
        <v>3.6365395805885769E-5</v>
      </c>
      <c r="BZ23" s="13">
        <f t="shared" si="94"/>
        <v>3.6365395805885769E-5</v>
      </c>
      <c r="CA23" s="13">
        <f t="shared" si="94"/>
        <v>3.9109953979914888E-5</v>
      </c>
      <c r="CB23" s="13">
        <f t="shared" si="94"/>
        <v>3.9109953979914888E-5</v>
      </c>
      <c r="CC23" s="13">
        <f t="shared" si="94"/>
        <v>3.9109953979914888E-5</v>
      </c>
      <c r="CD23" s="13">
        <f t="shared" si="94"/>
        <v>4.8942577425964133E-5</v>
      </c>
      <c r="CE23" s="13">
        <f t="shared" si="94"/>
        <v>5.9582268170738938E-5</v>
      </c>
      <c r="CF23" s="13">
        <f t="shared" si="94"/>
        <v>4.7436183748567798E-5</v>
      </c>
      <c r="CG23" s="13">
        <f t="shared" si="94"/>
        <v>4.7436183748567798E-5</v>
      </c>
      <c r="CH23" s="13">
        <f t="shared" si="94"/>
        <v>4.7436183748567798E-5</v>
      </c>
      <c r="CI23" s="13">
        <f t="shared" si="94"/>
        <v>5.1002127029841247E-5</v>
      </c>
      <c r="CJ23" s="13">
        <f t="shared" si="94"/>
        <v>5.1002127029841247E-5</v>
      </c>
      <c r="CK23" s="13">
        <f t="shared" si="94"/>
        <v>5.1002127029841247E-5</v>
      </c>
      <c r="CL23" s="13">
        <f t="shared" si="94"/>
        <v>5.414071946244686E-5</v>
      </c>
      <c r="CM23" s="13">
        <f t="shared" si="94"/>
        <v>5.414071946244686E-5</v>
      </c>
      <c r="CN23" s="13">
        <f t="shared" si="94"/>
        <v>8.0652144700202246E-5</v>
      </c>
      <c r="CO23" s="13">
        <f t="shared" si="94"/>
        <v>9.1588028727348331E-5</v>
      </c>
      <c r="CP23" s="13">
        <f t="shared" si="94"/>
        <v>9.1588028727348331E-5</v>
      </c>
      <c r="CQ23" s="13">
        <f t="shared" si="94"/>
        <v>3.2685499890483169E-4</v>
      </c>
      <c r="CR23" s="13">
        <f t="shared" si="94"/>
        <v>1.9695108908368065E-4</v>
      </c>
      <c r="CS23" s="13">
        <f t="shared" si="94"/>
        <v>1.1314211500551867E-4</v>
      </c>
      <c r="CT23" s="13">
        <f t="shared" si="94"/>
        <v>5.3014376029327768E-6</v>
      </c>
      <c r="CU23" s="13">
        <f t="shared" si="94"/>
        <v>7.4612825522757595E-6</v>
      </c>
      <c r="CV23" s="13">
        <f t="shared" si="94"/>
        <v>1.7351958703572503E-5</v>
      </c>
      <c r="CW23" s="13">
        <f t="shared" si="94"/>
        <v>2.5290763339193911E-5</v>
      </c>
      <c r="CX23" s="13">
        <f t="shared" si="94"/>
        <v>3.2201324699295377E-5</v>
      </c>
      <c r="CY23" s="13">
        <f t="shared" si="94"/>
        <v>4.476769531365456E-5</v>
      </c>
      <c r="CZ23" s="13">
        <f t="shared" si="94"/>
        <v>8.4507742824136697E-5</v>
      </c>
      <c r="DA23" s="13">
        <f t="shared" si="94"/>
        <v>1.1404806000602518E-4</v>
      </c>
      <c r="DB23" s="13">
        <f t="shared" si="94"/>
        <v>9.9871230457619561E-5</v>
      </c>
      <c r="DC23" s="13">
        <f t="shared" si="94"/>
        <v>1.5434644707086658E-4</v>
      </c>
      <c r="DD23" s="13">
        <f t="shared" si="94"/>
        <v>2.1109146437633226E-4</v>
      </c>
      <c r="DE23" s="13">
        <f t="shared" si="94"/>
        <v>2.3095222043324526E-4</v>
      </c>
      <c r="DF23" s="13">
        <f t="shared" si="94"/>
        <v>4.050887377263189E-4</v>
      </c>
      <c r="DG23" s="13">
        <f t="shared" si="94"/>
        <v>7.0630856834332531E-4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</row>
    <row r="24" spans="1:161" x14ac:dyDescent="0.4">
      <c r="A24" s="22" t="s">
        <v>133</v>
      </c>
      <c r="B24" s="8">
        <f>240/1000</f>
        <v>0.24</v>
      </c>
      <c r="C24" s="8">
        <f>97/1000</f>
        <v>9.7000000000000003E-2</v>
      </c>
      <c r="D24" s="8">
        <f>156/1000</f>
        <v>0.156</v>
      </c>
      <c r="E24" s="8">
        <f>255/1000</f>
        <v>0.255</v>
      </c>
      <c r="F24" s="8">
        <f>730/1000</f>
        <v>0.73</v>
      </c>
      <c r="G24" s="8">
        <f>772/1000</f>
        <v>0.77200000000000002</v>
      </c>
      <c r="H24" s="8">
        <f>1280/1000</f>
        <v>1.28</v>
      </c>
      <c r="I24" s="8">
        <f>990/1000</f>
        <v>0.99</v>
      </c>
      <c r="J24" s="8">
        <f>1740/1000</f>
        <v>1.74</v>
      </c>
      <c r="K24" s="8">
        <f t="shared" ref="K24:L24" si="95">239/1000</f>
        <v>0.23899999999999999</v>
      </c>
      <c r="L24" s="8">
        <f t="shared" si="95"/>
        <v>0.23899999999999999</v>
      </c>
      <c r="M24" s="8">
        <f>240/1000</f>
        <v>0.24</v>
      </c>
      <c r="N24" s="8">
        <f t="shared" ref="N24:O24" si="96">239/1000</f>
        <v>0.23899999999999999</v>
      </c>
      <c r="O24" s="8">
        <f t="shared" si="96"/>
        <v>0.23899999999999999</v>
      </c>
      <c r="P24" s="8">
        <f>277/1000</f>
        <v>0.27700000000000002</v>
      </c>
      <c r="Q24" s="8">
        <f>272/1000</f>
        <v>0.27200000000000002</v>
      </c>
      <c r="R24" s="8">
        <f>273/1000</f>
        <v>0.27300000000000002</v>
      </c>
      <c r="S24" s="8">
        <f>277/1000</f>
        <v>0.27700000000000002</v>
      </c>
      <c r="T24" s="8">
        <f>243/1000</f>
        <v>0.24299999999999999</v>
      </c>
      <c r="U24" s="8">
        <f>238/1000</f>
        <v>0.23799999999999999</v>
      </c>
      <c r="V24" s="8">
        <f>239/1000</f>
        <v>0.23899999999999999</v>
      </c>
      <c r="W24" s="8">
        <f>243/1000</f>
        <v>0.24299999999999999</v>
      </c>
      <c r="X24" s="8">
        <f t="shared" ref="X24:Y24" si="97">400/1000</f>
        <v>0.4</v>
      </c>
      <c r="Y24" s="8">
        <f t="shared" si="97"/>
        <v>0.4</v>
      </c>
      <c r="Z24" s="8">
        <f>415/1000</f>
        <v>0.41499999999999998</v>
      </c>
      <c r="AA24" s="8">
        <f>1300/1000</f>
        <v>1.3</v>
      </c>
      <c r="AB24" s="8">
        <f>789/1000</f>
        <v>0.78900000000000003</v>
      </c>
      <c r="AC24" s="8">
        <f>787/1000</f>
        <v>0.78700000000000003</v>
      </c>
      <c r="AD24" s="8">
        <f>778/1000</f>
        <v>0.77800000000000002</v>
      </c>
      <c r="AE24" s="8">
        <f t="shared" ref="AE24:AF24" si="98">347/1000</f>
        <v>0.34699999999999998</v>
      </c>
      <c r="AF24" s="8">
        <f t="shared" si="98"/>
        <v>0.34699999999999998</v>
      </c>
      <c r="AG24" s="8">
        <f t="shared" ref="AG24:AH24" si="99">650/1000</f>
        <v>0.65</v>
      </c>
      <c r="AH24" s="8">
        <f t="shared" si="99"/>
        <v>0.65</v>
      </c>
      <c r="AI24" s="8">
        <f>640/1000</f>
        <v>0.64</v>
      </c>
      <c r="AJ24" s="8">
        <f t="shared" ref="AJ24:AK24" si="100">649/1000</f>
        <v>0.64900000000000002</v>
      </c>
      <c r="AK24" s="8">
        <f t="shared" si="100"/>
        <v>0.64900000000000002</v>
      </c>
      <c r="AL24" s="8">
        <f t="shared" ref="AL24:AM24" si="101">647/1000</f>
        <v>0.64700000000000002</v>
      </c>
      <c r="AM24" s="8">
        <f t="shared" si="101"/>
        <v>0.64700000000000002</v>
      </c>
      <c r="AN24" s="8">
        <f t="shared" ref="AN24:AO24" si="102">52/1000</f>
        <v>5.1999999999999998E-2</v>
      </c>
      <c r="AO24" s="8">
        <f t="shared" si="102"/>
        <v>5.1999999999999998E-2</v>
      </c>
      <c r="AP24" s="8">
        <f>66/1000</f>
        <v>6.6000000000000003E-2</v>
      </c>
      <c r="AQ24" s="8">
        <f t="shared" ref="AQ24:AR24" si="103">180/1000</f>
        <v>0.18</v>
      </c>
      <c r="AR24" s="8">
        <f t="shared" si="103"/>
        <v>0.18</v>
      </c>
      <c r="AS24" s="8">
        <f t="shared" ref="AS24:AT24" si="104">188/1000</f>
        <v>0.188</v>
      </c>
      <c r="AT24" s="8">
        <f t="shared" si="104"/>
        <v>0.188</v>
      </c>
      <c r="AU24" s="8">
        <f>255/1000</f>
        <v>0.255</v>
      </c>
      <c r="AV24" s="8">
        <f t="shared" ref="AV24:AW24" si="105">170/1000</f>
        <v>0.17</v>
      </c>
      <c r="AW24" s="8">
        <f t="shared" si="105"/>
        <v>0.17</v>
      </c>
      <c r="AX24" s="8">
        <f>175/1000</f>
        <v>0.17499999999999999</v>
      </c>
      <c r="AY24" s="8">
        <f t="shared" ref="AY24:AZ24" si="106">225/1000</f>
        <v>0.22500000000000001</v>
      </c>
      <c r="AZ24" s="8">
        <f t="shared" si="106"/>
        <v>0.22500000000000001</v>
      </c>
      <c r="BA24" s="8">
        <f>250/1000</f>
        <v>0.25</v>
      </c>
      <c r="BB24" s="8">
        <f>246/1000</f>
        <v>0.246</v>
      </c>
      <c r="BC24" s="8">
        <f>327/1000</f>
        <v>0.32700000000000001</v>
      </c>
      <c r="BD24" s="8">
        <f>316/1000</f>
        <v>0.316</v>
      </c>
      <c r="BE24" s="8">
        <f>350/1000</f>
        <v>0.35</v>
      </c>
      <c r="BF24" s="8">
        <f>355/1000</f>
        <v>0.35499999999999998</v>
      </c>
      <c r="BG24" s="8">
        <f t="shared" ref="BG24:BH24" si="107">450/1000</f>
        <v>0.45</v>
      </c>
      <c r="BH24" s="8">
        <f t="shared" si="107"/>
        <v>0.45</v>
      </c>
      <c r="BI24" s="8">
        <f>470/1000</f>
        <v>0.47</v>
      </c>
      <c r="BJ24" s="8">
        <f>480/1000</f>
        <v>0.48</v>
      </c>
      <c r="BK24" s="8">
        <f>620/1000</f>
        <v>0.62</v>
      </c>
      <c r="BL24" s="8">
        <f t="shared" ref="BL24:BM24" si="108">625/1000</f>
        <v>0.625</v>
      </c>
      <c r="BM24" s="8">
        <f t="shared" si="108"/>
        <v>0.625</v>
      </c>
      <c r="BN24" s="8">
        <f>16/1000</f>
        <v>1.6E-2</v>
      </c>
      <c r="BO24" s="8">
        <f t="shared" ref="BO24:BP24" si="109">18/1000</f>
        <v>1.7999999999999999E-2</v>
      </c>
      <c r="BP24" s="8">
        <f t="shared" si="109"/>
        <v>1.7999999999999999E-2</v>
      </c>
      <c r="BQ24" s="8">
        <f t="shared" ref="BQ24:BR24" si="110">23/1000</f>
        <v>2.3E-2</v>
      </c>
      <c r="BR24" s="8">
        <f t="shared" si="110"/>
        <v>2.3E-2</v>
      </c>
      <c r="BS24" s="8">
        <f>55/1000</f>
        <v>5.5E-2</v>
      </c>
      <c r="BT24" s="8">
        <f>54/1000</f>
        <v>5.3999999999999999E-2</v>
      </c>
      <c r="BU24" s="8">
        <f t="shared" ref="BU24:BW24" si="111">80/1000</f>
        <v>0.08</v>
      </c>
      <c r="BV24" s="8">
        <f t="shared" si="111"/>
        <v>0.08</v>
      </c>
      <c r="BW24" s="8">
        <f t="shared" si="111"/>
        <v>0.08</v>
      </c>
      <c r="BX24" s="8">
        <f t="shared" ref="BX24:BZ24" si="112">82/1000</f>
        <v>8.2000000000000003E-2</v>
      </c>
      <c r="BY24" s="8">
        <f t="shared" si="112"/>
        <v>8.2000000000000003E-2</v>
      </c>
      <c r="BZ24" s="8">
        <f t="shared" si="112"/>
        <v>8.2000000000000003E-2</v>
      </c>
      <c r="CA24" s="8">
        <f t="shared" ref="CA24:CC24" si="113">97/1000</f>
        <v>9.7000000000000003E-2</v>
      </c>
      <c r="CB24" s="8">
        <f t="shared" si="113"/>
        <v>9.7000000000000003E-2</v>
      </c>
      <c r="CC24" s="8">
        <f t="shared" si="113"/>
        <v>9.7000000000000003E-2</v>
      </c>
      <c r="CD24" s="8">
        <f>153/1000</f>
        <v>0.153</v>
      </c>
      <c r="CE24" s="8">
        <f>194/1000</f>
        <v>0.19400000000000001</v>
      </c>
      <c r="CF24" s="8">
        <f t="shared" ref="CF24:CH24" si="114">112/1000</f>
        <v>0.112</v>
      </c>
      <c r="CG24" s="8">
        <f t="shared" si="114"/>
        <v>0.112</v>
      </c>
      <c r="CH24" s="8">
        <f t="shared" si="114"/>
        <v>0.112</v>
      </c>
      <c r="CI24" s="8">
        <f t="shared" ref="CI24:CK24" si="115">134/1000</f>
        <v>0.13400000000000001</v>
      </c>
      <c r="CJ24" s="8">
        <f t="shared" si="115"/>
        <v>0.13400000000000001</v>
      </c>
      <c r="CK24" s="8">
        <f t="shared" si="115"/>
        <v>0.13400000000000001</v>
      </c>
      <c r="CL24" s="8">
        <f t="shared" ref="CL24:CM24" si="116">150/1000</f>
        <v>0.15</v>
      </c>
      <c r="CM24" s="8">
        <f t="shared" si="116"/>
        <v>0.15</v>
      </c>
      <c r="CN24" s="8">
        <f>145/1000</f>
        <v>0.14499999999999999</v>
      </c>
      <c r="CO24" s="8">
        <f t="shared" ref="CO24:CP24" si="117">205/1000</f>
        <v>0.20499999999999999</v>
      </c>
      <c r="CP24" s="8">
        <f t="shared" si="117"/>
        <v>0.20499999999999999</v>
      </c>
      <c r="CQ24" s="8">
        <f>1023/1000</f>
        <v>1.0229999999999999</v>
      </c>
      <c r="CR24" s="8">
        <f>565/1000</f>
        <v>0.56499999999999995</v>
      </c>
      <c r="CS24" s="8">
        <f>256/1000</f>
        <v>0.25600000000000001</v>
      </c>
      <c r="CT24" s="8">
        <f>1/1000*16</f>
        <v>1.6E-2</v>
      </c>
      <c r="CU24" s="8">
        <f>1/1000*25</f>
        <v>2.5000000000000001E-2</v>
      </c>
      <c r="CV24" s="8">
        <f>1/1000*53</f>
        <v>5.2999999999999999E-2</v>
      </c>
      <c r="CW24" s="8">
        <f>1/1000*89</f>
        <v>8.8999999999999996E-2</v>
      </c>
      <c r="CX24" s="8">
        <f>1/1000*87</f>
        <v>8.7000000000000008E-2</v>
      </c>
      <c r="CY24" s="8">
        <f>1/1000*135</f>
        <v>0.13500000000000001</v>
      </c>
      <c r="CZ24" s="8">
        <f>1/1000*220</f>
        <v>0.22</v>
      </c>
      <c r="DA24" s="8">
        <f>1/1000*330</f>
        <v>0.33</v>
      </c>
      <c r="DB24" s="8">
        <f>1/1000*210</f>
        <v>0.21</v>
      </c>
      <c r="DC24" s="8">
        <f>1/1000*400</f>
        <v>0.4</v>
      </c>
      <c r="DD24" s="8">
        <f>1/1000*620</f>
        <v>0.62</v>
      </c>
      <c r="DE24" s="8">
        <f>1/1000*670</f>
        <v>0.67</v>
      </c>
      <c r="DF24" s="8">
        <f>1/1000*1070</f>
        <v>1.07</v>
      </c>
      <c r="DG24" s="8">
        <f>1/1000*2170</f>
        <v>2.17</v>
      </c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</row>
    <row r="25" spans="1:161" x14ac:dyDescent="0.4">
      <c r="A25" s="22" t="s">
        <v>134</v>
      </c>
      <c r="B25" s="8">
        <f t="shared" ref="B25:CP25" si="118">B12*B7</f>
        <v>2.2918311805232929</v>
      </c>
      <c r="C25" s="8">
        <f t="shared" si="118"/>
        <v>0.34104630662549001</v>
      </c>
      <c r="D25" s="8">
        <f t="shared" si="118"/>
        <v>0.71619724391352912</v>
      </c>
      <c r="E25" s="8">
        <f t="shared" si="118"/>
        <v>1.1936620731892151</v>
      </c>
      <c r="F25" s="8">
        <f t="shared" si="118"/>
        <v>6.366197723675814</v>
      </c>
      <c r="G25" s="8">
        <f t="shared" si="118"/>
        <v>4.5597891195828018</v>
      </c>
      <c r="H25" s="8">
        <f t="shared" si="118"/>
        <v>7.3024032712751978</v>
      </c>
      <c r="I25" s="8">
        <f t="shared" si="118"/>
        <v>8.6678230545432235</v>
      </c>
      <c r="J25" s="8">
        <f t="shared" si="118"/>
        <v>17.069367646605777</v>
      </c>
      <c r="K25" s="8">
        <f t="shared" si="118"/>
        <v>2.1220659078919382</v>
      </c>
      <c r="L25" s="8">
        <f t="shared" si="118"/>
        <v>1.9660316499587072</v>
      </c>
      <c r="M25" s="8">
        <f t="shared" si="118"/>
        <v>1.4323944878270582</v>
      </c>
      <c r="N25" s="8">
        <f t="shared" si="118"/>
        <v>1.4147106052612921</v>
      </c>
      <c r="O25" s="8">
        <f t="shared" si="118"/>
        <v>1.2919636556871505</v>
      </c>
      <c r="P25" s="8">
        <f t="shared" si="118"/>
        <v>2.1457831150977893</v>
      </c>
      <c r="Q25" s="8">
        <f t="shared" si="118"/>
        <v>2.7979438995555204</v>
      </c>
      <c r="R25" s="8">
        <f t="shared" si="118"/>
        <v>1.8907607239317166</v>
      </c>
      <c r="S25" s="8">
        <f t="shared" si="118"/>
        <v>2.196338214668156</v>
      </c>
      <c r="T25" s="8">
        <f t="shared" si="118"/>
        <v>2.1457831150977893</v>
      </c>
      <c r="U25" s="8">
        <f t="shared" si="118"/>
        <v>2.7979438995555204</v>
      </c>
      <c r="V25" s="8">
        <f t="shared" si="118"/>
        <v>1.8907607239317166</v>
      </c>
      <c r="W25" s="8">
        <f t="shared" si="118"/>
        <v>2.196338214668156</v>
      </c>
      <c r="X25" s="8">
        <f t="shared" si="118"/>
        <v>2.9841551829730379</v>
      </c>
      <c r="Y25" s="8">
        <f t="shared" si="118"/>
        <v>3.3422538049298023</v>
      </c>
      <c r="Z25" s="8">
        <f t="shared" si="118"/>
        <v>3.0939720937064457</v>
      </c>
      <c r="AA25" s="8">
        <f t="shared" si="118"/>
        <v>8.9875732569540894</v>
      </c>
      <c r="AB25" s="8">
        <f t="shared" si="118"/>
        <v>5.3051647697298447</v>
      </c>
      <c r="AC25" s="8">
        <f t="shared" si="118"/>
        <v>4.7746482927568605</v>
      </c>
      <c r="AD25" s="8">
        <f t="shared" si="118"/>
        <v>7.5598597968650285</v>
      </c>
      <c r="AE25" s="8">
        <f t="shared" si="118"/>
        <v>2.1345486485265965</v>
      </c>
      <c r="AF25" s="8">
        <f t="shared" si="118"/>
        <v>1.8256008178187995</v>
      </c>
      <c r="AG25" s="8">
        <f t="shared" si="118"/>
        <v>6.6845076098596046</v>
      </c>
      <c r="AH25" s="8">
        <f t="shared" si="118"/>
        <v>5.5704230082163368</v>
      </c>
      <c r="AI25" s="8">
        <f t="shared" si="118"/>
        <v>3.9320632999174143</v>
      </c>
      <c r="AJ25" s="8">
        <f t="shared" si="118"/>
        <v>5.729577951308233</v>
      </c>
      <c r="AK25" s="8">
        <f t="shared" si="118"/>
        <v>5.5704230082163368</v>
      </c>
      <c r="AL25" s="8">
        <f t="shared" si="118"/>
        <v>5.729577951308233</v>
      </c>
      <c r="AM25" s="8">
        <f t="shared" si="118"/>
        <v>5.5704230082163368</v>
      </c>
      <c r="AN25" s="8">
        <f t="shared" si="118"/>
        <v>0.28647889756541162</v>
      </c>
      <c r="AO25" s="8">
        <f t="shared" si="118"/>
        <v>0.28647889756541162</v>
      </c>
      <c r="AP25" s="8">
        <f t="shared" si="118"/>
        <v>0.40207564570584087</v>
      </c>
      <c r="AQ25" s="8">
        <f t="shared" si="118"/>
        <v>1.0742958658702937</v>
      </c>
      <c r="AR25" s="8">
        <f t="shared" si="118"/>
        <v>1.1638205213594848</v>
      </c>
      <c r="AS25" s="8">
        <f t="shared" si="118"/>
        <v>1.2455604241974418</v>
      </c>
      <c r="AT25" s="8">
        <f t="shared" si="118"/>
        <v>1.1625230625842791</v>
      </c>
      <c r="AU25" s="8">
        <f t="shared" si="118"/>
        <v>3.3953054526271007</v>
      </c>
      <c r="AV25" s="8">
        <f t="shared" si="118"/>
        <v>0.99471839432434594</v>
      </c>
      <c r="AW25" s="8">
        <f t="shared" si="118"/>
        <v>1.2732395447351628</v>
      </c>
      <c r="AX25" s="8">
        <f t="shared" si="118"/>
        <v>1.0610329539459689</v>
      </c>
      <c r="AY25" s="8">
        <f t="shared" si="118"/>
        <v>1.6412853506351708</v>
      </c>
      <c r="AZ25" s="8">
        <f t="shared" si="118"/>
        <v>1.2564863928307528</v>
      </c>
      <c r="BA25" s="8">
        <f t="shared" si="118"/>
        <v>1.685169985678892</v>
      </c>
      <c r="BB25" s="8">
        <f t="shared" si="118"/>
        <v>1.492077591486519</v>
      </c>
      <c r="BC25" s="8">
        <f t="shared" si="118"/>
        <v>1.9660316499587072</v>
      </c>
      <c r="BD25" s="8">
        <f t="shared" si="118"/>
        <v>1.6412853506351708</v>
      </c>
      <c r="BE25" s="8">
        <f t="shared" si="118"/>
        <v>2.9708922710487133</v>
      </c>
      <c r="BF25" s="8">
        <f t="shared" si="118"/>
        <v>2.2168009930656853</v>
      </c>
      <c r="BG25" s="8">
        <f t="shared" si="118"/>
        <v>3.4377467707849396</v>
      </c>
      <c r="BH25" s="8">
        <f t="shared" si="118"/>
        <v>2.938245103234991</v>
      </c>
      <c r="BI25" s="8">
        <f t="shared" si="118"/>
        <v>3.5809862195676452</v>
      </c>
      <c r="BJ25" s="8">
        <f t="shared" si="118"/>
        <v>3.8197186342054881</v>
      </c>
      <c r="BK25" s="8">
        <f t="shared" si="118"/>
        <v>5.1725356504865987</v>
      </c>
      <c r="BL25" s="8">
        <f t="shared" si="118"/>
        <v>4.7746482927568605</v>
      </c>
      <c r="BM25" s="8">
        <f t="shared" si="118"/>
        <v>4.6623036270449338</v>
      </c>
      <c r="BN25" s="8">
        <f t="shared" si="118"/>
        <v>3.9788735772973836E-2</v>
      </c>
      <c r="BO25" s="8">
        <f t="shared" si="118"/>
        <v>8.1851113590117611E-2</v>
      </c>
      <c r="BP25" s="8">
        <f t="shared" si="118"/>
        <v>5.8126153129213952E-2</v>
      </c>
      <c r="BQ25" s="8">
        <f t="shared" si="118"/>
        <v>5.4567409060078405E-2</v>
      </c>
      <c r="BR25" s="8">
        <f t="shared" si="118"/>
        <v>3.3214944645265115E-2</v>
      </c>
      <c r="BS25" s="8">
        <f t="shared" si="118"/>
        <v>0.15915494309189535</v>
      </c>
      <c r="BT25" s="8">
        <f t="shared" si="118"/>
        <v>0.15569505302468023</v>
      </c>
      <c r="BU25" s="8">
        <f t="shared" si="118"/>
        <v>0.30476478464405493</v>
      </c>
      <c r="BV25" s="8">
        <f t="shared" si="118"/>
        <v>0.28647889756541162</v>
      </c>
      <c r="BW25" s="8">
        <f t="shared" si="118"/>
        <v>0.31830988618379069</v>
      </c>
      <c r="BX25" s="8">
        <f t="shared" si="118"/>
        <v>0.35181618999261077</v>
      </c>
      <c r="BY25" s="8">
        <f t="shared" si="118"/>
        <v>0.29635748024008096</v>
      </c>
      <c r="BZ25" s="8">
        <f t="shared" si="118"/>
        <v>0.31376260209545082</v>
      </c>
      <c r="CA25" s="8">
        <f t="shared" si="118"/>
        <v>0.39788735772973838</v>
      </c>
      <c r="CB25" s="8">
        <f t="shared" si="118"/>
        <v>0.33346749981159024</v>
      </c>
      <c r="CC25" s="8">
        <f t="shared" si="118"/>
        <v>0.34104630662549001</v>
      </c>
      <c r="CD25" s="8">
        <f t="shared" si="118"/>
        <v>0.71619724391352912</v>
      </c>
      <c r="CE25" s="8">
        <f t="shared" si="118"/>
        <v>0.90718317562380346</v>
      </c>
      <c r="CF25" s="8">
        <f t="shared" si="118"/>
        <v>0.5161781938115525</v>
      </c>
      <c r="CG25" s="8">
        <f t="shared" si="118"/>
        <v>0.60311346855876136</v>
      </c>
      <c r="CH25" s="8">
        <f t="shared" si="118"/>
        <v>0.5103934381912506</v>
      </c>
      <c r="CI25" s="8">
        <f t="shared" si="118"/>
        <v>0.61789566141559371</v>
      </c>
      <c r="CJ25" s="8">
        <f t="shared" si="118"/>
        <v>0.59683103659460757</v>
      </c>
      <c r="CK25" s="8">
        <f t="shared" si="118"/>
        <v>0.57693666870812066</v>
      </c>
      <c r="CL25" s="8">
        <f t="shared" si="118"/>
        <v>0.72343155950861515</v>
      </c>
      <c r="CM25" s="8">
        <f t="shared" si="118"/>
        <v>0.71619724391352912</v>
      </c>
      <c r="CN25" s="8">
        <f t="shared" si="118"/>
        <v>0.98301582497935358</v>
      </c>
      <c r="CO25" s="8">
        <f t="shared" si="118"/>
        <v>0.98301582497935358</v>
      </c>
      <c r="CP25" s="8">
        <f t="shared" si="118"/>
        <v>1.3641852265019603</v>
      </c>
      <c r="CQ25" s="8">
        <v>10</v>
      </c>
      <c r="CR25" s="8">
        <v>5</v>
      </c>
      <c r="CS25" s="8">
        <v>1.7</v>
      </c>
      <c r="CT25" s="8">
        <f t="shared" ref="CT25:DG25" si="119">CT7*CT12</f>
        <v>3.3439999999999998E-2</v>
      </c>
      <c r="CU25" s="8">
        <f t="shared" si="119"/>
        <v>6.3209999999999988E-2</v>
      </c>
      <c r="CV25" s="8">
        <f t="shared" si="119"/>
        <v>0.10010000000000001</v>
      </c>
      <c r="CW25" s="8">
        <f t="shared" si="119"/>
        <v>0.23789999999999997</v>
      </c>
      <c r="CX25" s="8">
        <f t="shared" si="119"/>
        <v>0.29580000000000001</v>
      </c>
      <c r="CY25" s="8">
        <f t="shared" si="119"/>
        <v>0.54590000000000005</v>
      </c>
      <c r="CZ25" s="8">
        <f t="shared" si="119"/>
        <v>0.66489999999999994</v>
      </c>
      <c r="DA25" s="8">
        <f t="shared" si="119"/>
        <v>1.2529000000000001</v>
      </c>
      <c r="DB25" s="8">
        <f t="shared" si="119"/>
        <v>0.30960000000000004</v>
      </c>
      <c r="DC25" s="8">
        <f t="shared" si="119"/>
        <v>1.4472000000000003</v>
      </c>
      <c r="DD25" s="8">
        <f t="shared" si="119"/>
        <v>2.5877000000000003</v>
      </c>
      <c r="DE25" s="8">
        <f t="shared" si="119"/>
        <v>2.9095</v>
      </c>
      <c r="DF25" s="8">
        <f t="shared" si="119"/>
        <v>3.9621000000000004</v>
      </c>
      <c r="DG25" s="8">
        <f t="shared" si="119"/>
        <v>8.4</v>
      </c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</row>
    <row r="26" spans="1:161" x14ac:dyDescent="0.4">
      <c r="A26" s="22" t="s">
        <v>135</v>
      </c>
      <c r="B26" s="8">
        <f t="shared" ref="B26:CP26" si="120">B8*B12</f>
        <v>6.8754935415698792</v>
      </c>
      <c r="C26" s="8">
        <f t="shared" si="120"/>
        <v>1.02313891987647</v>
      </c>
      <c r="D26" s="8">
        <f t="shared" si="120"/>
        <v>2.1485917317405874</v>
      </c>
      <c r="E26" s="8">
        <f t="shared" si="120"/>
        <v>3.5809862195676456</v>
      </c>
      <c r="F26" s="8">
        <f t="shared" si="120"/>
        <v>19.098593171027442</v>
      </c>
      <c r="G26" s="8">
        <f t="shared" si="120"/>
        <v>13.679367358748403</v>
      </c>
      <c r="H26" s="8">
        <f t="shared" si="120"/>
        <v>21.907209813825595</v>
      </c>
      <c r="I26" s="8">
        <f t="shared" si="120"/>
        <v>26.003469163629671</v>
      </c>
      <c r="J26" s="8">
        <f t="shared" si="120"/>
        <v>51.20810293981733</v>
      </c>
      <c r="K26" s="8">
        <f t="shared" si="120"/>
        <v>6.366197723675814</v>
      </c>
      <c r="L26" s="8">
        <f t="shared" si="120"/>
        <v>5.8980949498761213</v>
      </c>
      <c r="M26" s="8">
        <f t="shared" si="120"/>
        <v>4.2971834634811747</v>
      </c>
      <c r="N26" s="8">
        <f t="shared" si="120"/>
        <v>4.2441318157838763</v>
      </c>
      <c r="O26" s="8">
        <f t="shared" si="120"/>
        <v>3.8758909670614514</v>
      </c>
      <c r="P26" s="8">
        <f t="shared" si="120"/>
        <v>6.4373493452933674</v>
      </c>
      <c r="Q26" s="8">
        <f t="shared" si="120"/>
        <v>8.3938316986665615</v>
      </c>
      <c r="R26" s="8">
        <f t="shared" si="120"/>
        <v>5.6722821717951497</v>
      </c>
      <c r="S26" s="8">
        <f t="shared" si="120"/>
        <v>6.5890146440044681</v>
      </c>
      <c r="T26" s="8">
        <f t="shared" si="120"/>
        <v>6.4373493452933674</v>
      </c>
      <c r="U26" s="8">
        <f t="shared" si="120"/>
        <v>8.3938316986665615</v>
      </c>
      <c r="V26" s="8">
        <f t="shared" si="120"/>
        <v>5.6722821717951497</v>
      </c>
      <c r="W26" s="8">
        <f t="shared" si="120"/>
        <v>6.5890146440044681</v>
      </c>
      <c r="X26" s="8">
        <f t="shared" si="120"/>
        <v>8.9524655489191129</v>
      </c>
      <c r="Y26" s="8">
        <f t="shared" si="120"/>
        <v>10.026761414789407</v>
      </c>
      <c r="Z26" s="8">
        <f t="shared" si="120"/>
        <v>9.2819162811193365</v>
      </c>
      <c r="AA26" s="8">
        <f t="shared" si="120"/>
        <v>26.962719770862272</v>
      </c>
      <c r="AB26" s="8">
        <f t="shared" si="120"/>
        <v>15.915494309189535</v>
      </c>
      <c r="AC26" s="8">
        <f t="shared" si="120"/>
        <v>14.323944878270581</v>
      </c>
      <c r="AD26" s="8">
        <f t="shared" si="120"/>
        <v>22.679579390595087</v>
      </c>
      <c r="AE26" s="8">
        <f t="shared" si="120"/>
        <v>6.4036459455797887</v>
      </c>
      <c r="AF26" s="8">
        <f t="shared" si="120"/>
        <v>5.4768024534563988</v>
      </c>
      <c r="AG26" s="8">
        <f t="shared" si="120"/>
        <v>20.053522829578814</v>
      </c>
      <c r="AH26" s="8">
        <f t="shared" si="120"/>
        <v>16.71126902464901</v>
      </c>
      <c r="AI26" s="8">
        <f t="shared" si="120"/>
        <v>11.796189899752243</v>
      </c>
      <c r="AJ26" s="8">
        <f t="shared" si="120"/>
        <v>17.188733853924699</v>
      </c>
      <c r="AK26" s="8">
        <f t="shared" si="120"/>
        <v>16.71126902464901</v>
      </c>
      <c r="AL26" s="8">
        <f t="shared" si="120"/>
        <v>17.188733853924699</v>
      </c>
      <c r="AM26" s="8">
        <f t="shared" si="120"/>
        <v>16.71126902464901</v>
      </c>
      <c r="AN26" s="8">
        <f t="shared" si="120"/>
        <v>0.85943669269623479</v>
      </c>
      <c r="AO26" s="8">
        <f t="shared" si="120"/>
        <v>0.85943669269623491</v>
      </c>
      <c r="AP26" s="8">
        <f t="shared" si="120"/>
        <v>1.2062269371175227</v>
      </c>
      <c r="AQ26" s="8">
        <f t="shared" si="120"/>
        <v>3.2228875976108808</v>
      </c>
      <c r="AR26" s="8">
        <f t="shared" si="120"/>
        <v>3.4914615640784543</v>
      </c>
      <c r="AS26" s="8">
        <f t="shared" si="120"/>
        <v>3.7366812725923255</v>
      </c>
      <c r="AT26" s="8">
        <f t="shared" si="120"/>
        <v>3.487569187752837</v>
      </c>
      <c r="AU26" s="8">
        <f t="shared" si="120"/>
        <v>10.185916357881302</v>
      </c>
      <c r="AV26" s="8">
        <f t="shared" si="120"/>
        <v>2.9841551829730379</v>
      </c>
      <c r="AW26" s="8">
        <f t="shared" si="120"/>
        <v>3.8197186342054881</v>
      </c>
      <c r="AX26" s="8">
        <f t="shared" si="120"/>
        <v>3.183098861837907</v>
      </c>
      <c r="AY26" s="8">
        <f t="shared" si="120"/>
        <v>4.9238560519055126</v>
      </c>
      <c r="AZ26" s="8">
        <f t="shared" si="120"/>
        <v>3.7694591784922582</v>
      </c>
      <c r="BA26" s="8">
        <f t="shared" si="120"/>
        <v>5.0555099570366755</v>
      </c>
      <c r="BB26" s="8">
        <f t="shared" si="120"/>
        <v>4.4762327744595565</v>
      </c>
      <c r="BC26" s="8">
        <f t="shared" si="120"/>
        <v>5.8980949498761213</v>
      </c>
      <c r="BD26" s="8">
        <f t="shared" si="120"/>
        <v>4.9238560519055126</v>
      </c>
      <c r="BE26" s="8">
        <f t="shared" si="120"/>
        <v>8.91267681314614</v>
      </c>
      <c r="BF26" s="8">
        <f t="shared" si="120"/>
        <v>6.6504029791970565</v>
      </c>
      <c r="BG26" s="8">
        <f t="shared" si="120"/>
        <v>10.31324031235482</v>
      </c>
      <c r="BH26" s="8">
        <f t="shared" si="120"/>
        <v>8.8147353097049734</v>
      </c>
      <c r="BI26" s="8">
        <f t="shared" si="120"/>
        <v>10.742958658702936</v>
      </c>
      <c r="BJ26" s="8">
        <f t="shared" si="120"/>
        <v>11.459155902616464</v>
      </c>
      <c r="BK26" s="8">
        <f t="shared" si="120"/>
        <v>15.517606951459797</v>
      </c>
      <c r="BL26" s="8">
        <f t="shared" si="120"/>
        <v>14.323944878270581</v>
      </c>
      <c r="BM26" s="8">
        <f t="shared" si="120"/>
        <v>13.986910881134802</v>
      </c>
      <c r="BN26" s="8">
        <f t="shared" si="120"/>
        <v>0.1193662073189215</v>
      </c>
      <c r="BO26" s="8">
        <f t="shared" si="120"/>
        <v>0.24555334077035282</v>
      </c>
      <c r="BP26" s="8">
        <f t="shared" si="120"/>
        <v>0.17437845938764185</v>
      </c>
      <c r="BQ26" s="8">
        <f t="shared" si="120"/>
        <v>0.16370222718023522</v>
      </c>
      <c r="BR26" s="8">
        <f t="shared" si="120"/>
        <v>9.9644833935795346E-2</v>
      </c>
      <c r="BS26" s="8">
        <f t="shared" si="120"/>
        <v>0.47746482927568601</v>
      </c>
      <c r="BT26" s="8">
        <f t="shared" si="120"/>
        <v>0.46708515907404069</v>
      </c>
      <c r="BU26" s="8">
        <f t="shared" si="120"/>
        <v>0.91429435393216474</v>
      </c>
      <c r="BV26" s="8">
        <f t="shared" si="120"/>
        <v>0.85943669269623491</v>
      </c>
      <c r="BW26" s="8">
        <f t="shared" si="120"/>
        <v>0.95492965855137202</v>
      </c>
      <c r="BX26" s="8">
        <f t="shared" si="120"/>
        <v>1.0554485699778322</v>
      </c>
      <c r="BY26" s="8">
        <f t="shared" si="120"/>
        <v>0.88907244072024294</v>
      </c>
      <c r="BZ26" s="8">
        <f t="shared" si="120"/>
        <v>0.94128780628635245</v>
      </c>
      <c r="CA26" s="8">
        <f t="shared" si="120"/>
        <v>1.1936620731892151</v>
      </c>
      <c r="CB26" s="8">
        <f t="shared" si="120"/>
        <v>1.0004024994347709</v>
      </c>
      <c r="CC26" s="8">
        <f t="shared" si="120"/>
        <v>1.02313891987647</v>
      </c>
      <c r="CD26" s="8">
        <f t="shared" si="120"/>
        <v>2.1485917317405874</v>
      </c>
      <c r="CE26" s="8">
        <f t="shared" si="120"/>
        <v>2.7215495268714105</v>
      </c>
      <c r="CF26" s="8">
        <f t="shared" si="120"/>
        <v>1.5485345814346574</v>
      </c>
      <c r="CG26" s="8">
        <f t="shared" si="120"/>
        <v>1.8093404056762841</v>
      </c>
      <c r="CH26" s="8">
        <f t="shared" si="120"/>
        <v>1.5311803145737517</v>
      </c>
      <c r="CI26" s="8">
        <f t="shared" si="120"/>
        <v>1.8536869842467811</v>
      </c>
      <c r="CJ26" s="8">
        <f t="shared" si="120"/>
        <v>1.7904931097838226</v>
      </c>
      <c r="CK26" s="8">
        <f t="shared" si="120"/>
        <v>1.7308100061243619</v>
      </c>
      <c r="CL26" s="8">
        <f t="shared" si="120"/>
        <v>2.1702946785258455</v>
      </c>
      <c r="CM26" s="8">
        <f t="shared" si="120"/>
        <v>2.1485917317405874</v>
      </c>
      <c r="CN26" s="8">
        <f t="shared" si="120"/>
        <v>2.9490474749380606</v>
      </c>
      <c r="CO26" s="8">
        <f t="shared" si="120"/>
        <v>2.9490474749380606</v>
      </c>
      <c r="CP26" s="8">
        <f t="shared" si="120"/>
        <v>4.0925556795058808</v>
      </c>
      <c r="CQ26" s="8">
        <f t="shared" ref="CQ26:CR26" si="121">4*CQ25</f>
        <v>40</v>
      </c>
      <c r="CR26" s="8">
        <f t="shared" si="121"/>
        <v>20</v>
      </c>
      <c r="CS26" s="8">
        <v>6.7</v>
      </c>
      <c r="CT26" s="8">
        <v>0.105</v>
      </c>
      <c r="CU26" s="8">
        <v>0.20399999999999999</v>
      </c>
      <c r="CV26" s="8">
        <v>0.32</v>
      </c>
      <c r="CW26" s="8">
        <v>0.76</v>
      </c>
      <c r="CX26" s="8">
        <v>0.96</v>
      </c>
      <c r="CY26" s="8">
        <v>1.75</v>
      </c>
      <c r="CZ26" s="8">
        <v>2.13</v>
      </c>
      <c r="DA26" s="8">
        <v>4.05</v>
      </c>
      <c r="DB26" s="8">
        <v>0.99</v>
      </c>
      <c r="DC26" s="8">
        <v>4.66</v>
      </c>
      <c r="DD26" s="8">
        <v>8.3000000000000007</v>
      </c>
      <c r="DE26" s="8">
        <v>9.4</v>
      </c>
      <c r="DF26" s="8">
        <v>12.7</v>
      </c>
      <c r="DG26" s="8">
        <v>27</v>
      </c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</row>
    <row r="27" spans="1:161" x14ac:dyDescent="0.4">
      <c r="A27" s="22" t="s">
        <v>136</v>
      </c>
      <c r="B27" s="8">
        <f t="shared" ref="B27:DG27" si="122">B25/B24</f>
        <v>9.5492965855137211</v>
      </c>
      <c r="C27" s="8">
        <f t="shared" si="122"/>
        <v>3.5159413054174227</v>
      </c>
      <c r="D27" s="8">
        <f t="shared" si="122"/>
        <v>4.5910079738046736</v>
      </c>
      <c r="E27" s="8">
        <f t="shared" si="122"/>
        <v>4.6810277379969216</v>
      </c>
      <c r="F27" s="8">
        <f t="shared" si="122"/>
        <v>8.720818799555909</v>
      </c>
      <c r="G27" s="8">
        <f t="shared" si="122"/>
        <v>5.9064625901331631</v>
      </c>
      <c r="H27" s="8">
        <f t="shared" si="122"/>
        <v>5.7050025556837483</v>
      </c>
      <c r="I27" s="8">
        <f t="shared" si="122"/>
        <v>8.7553768227709323</v>
      </c>
      <c r="J27" s="8">
        <f t="shared" si="122"/>
        <v>9.8099814060952735</v>
      </c>
      <c r="K27" s="8">
        <f t="shared" si="122"/>
        <v>8.878936853104344</v>
      </c>
      <c r="L27" s="8">
        <f t="shared" si="122"/>
        <v>8.2260738491996115</v>
      </c>
      <c r="M27" s="8">
        <f t="shared" si="122"/>
        <v>5.9683103659460759</v>
      </c>
      <c r="N27" s="8">
        <f t="shared" si="122"/>
        <v>5.9192912354028957</v>
      </c>
      <c r="O27" s="8">
        <f t="shared" si="122"/>
        <v>5.405705672331174</v>
      </c>
      <c r="P27" s="8">
        <f t="shared" si="122"/>
        <v>7.7465094407862427</v>
      </c>
      <c r="Q27" s="8">
        <f t="shared" si="122"/>
        <v>10.286558454248237</v>
      </c>
      <c r="R27" s="8">
        <f t="shared" si="122"/>
        <v>6.9258634576253346</v>
      </c>
      <c r="S27" s="8">
        <f t="shared" si="122"/>
        <v>7.9290188255168079</v>
      </c>
      <c r="T27" s="8">
        <f t="shared" si="122"/>
        <v>8.830383189702836</v>
      </c>
      <c r="U27" s="8">
        <f t="shared" si="122"/>
        <v>11.756066804855129</v>
      </c>
      <c r="V27" s="8">
        <f t="shared" si="122"/>
        <v>7.9111327361159693</v>
      </c>
      <c r="W27" s="8">
        <f t="shared" si="122"/>
        <v>9.0384288669471449</v>
      </c>
      <c r="X27" s="8">
        <f t="shared" si="122"/>
        <v>7.4603879574325944</v>
      </c>
      <c r="Y27" s="8">
        <f t="shared" si="122"/>
        <v>8.3556345123245048</v>
      </c>
      <c r="Z27" s="8">
        <f t="shared" si="122"/>
        <v>7.4553544426661347</v>
      </c>
      <c r="AA27" s="8">
        <f t="shared" si="122"/>
        <v>6.9135178899646839</v>
      </c>
      <c r="AB27" s="8">
        <f t="shared" si="122"/>
        <v>6.7239097208236309</v>
      </c>
      <c r="AC27" s="8">
        <f t="shared" si="122"/>
        <v>6.0668974495004582</v>
      </c>
      <c r="AD27" s="8">
        <f t="shared" si="122"/>
        <v>9.7170434407005501</v>
      </c>
      <c r="AE27" s="8">
        <f t="shared" si="122"/>
        <v>6.1514370274541692</v>
      </c>
      <c r="AF27" s="8">
        <f t="shared" si="122"/>
        <v>5.261097457691065</v>
      </c>
      <c r="AG27" s="8">
        <f t="shared" si="122"/>
        <v>10.283857861322469</v>
      </c>
      <c r="AH27" s="8">
        <f t="shared" si="122"/>
        <v>8.569881551102057</v>
      </c>
      <c r="AI27" s="8">
        <f t="shared" si="122"/>
        <v>6.1438489061209598</v>
      </c>
      <c r="AJ27" s="8">
        <f t="shared" si="122"/>
        <v>8.8283173363763225</v>
      </c>
      <c r="AK27" s="8">
        <f t="shared" si="122"/>
        <v>8.5830862992547559</v>
      </c>
      <c r="AL27" s="8">
        <f t="shared" si="122"/>
        <v>8.8556073435985052</v>
      </c>
      <c r="AM27" s="8">
        <f t="shared" si="122"/>
        <v>8.6096182507207679</v>
      </c>
      <c r="AN27" s="8">
        <f t="shared" si="122"/>
        <v>5.5092095685656082</v>
      </c>
      <c r="AO27" s="8">
        <f t="shared" si="122"/>
        <v>5.5092095685656082</v>
      </c>
      <c r="AP27" s="8">
        <f t="shared" si="122"/>
        <v>6.0920552379672852</v>
      </c>
      <c r="AQ27" s="8">
        <f t="shared" si="122"/>
        <v>5.9683103659460759</v>
      </c>
      <c r="AR27" s="8">
        <f t="shared" si="122"/>
        <v>6.465669563108249</v>
      </c>
      <c r="AS27" s="8">
        <f t="shared" si="122"/>
        <v>6.6253214053055416</v>
      </c>
      <c r="AT27" s="8">
        <f t="shared" si="122"/>
        <v>6.1836333116185056</v>
      </c>
      <c r="AU27" s="8">
        <f t="shared" si="122"/>
        <v>13.314923343635689</v>
      </c>
      <c r="AV27" s="8">
        <f t="shared" si="122"/>
        <v>5.8512846724961518</v>
      </c>
      <c r="AW27" s="8">
        <f t="shared" si="122"/>
        <v>7.4896443807950748</v>
      </c>
      <c r="AX27" s="8">
        <f t="shared" si="122"/>
        <v>6.0630454511198222</v>
      </c>
      <c r="AY27" s="8">
        <f t="shared" si="122"/>
        <v>7.2946015583785364</v>
      </c>
      <c r="AZ27" s="8">
        <f t="shared" si="122"/>
        <v>5.5843839681366791</v>
      </c>
      <c r="BA27" s="8">
        <f t="shared" si="122"/>
        <v>6.7406799427155679</v>
      </c>
      <c r="BB27" s="8">
        <f t="shared" si="122"/>
        <v>6.0653560629533292</v>
      </c>
      <c r="BC27" s="8">
        <f t="shared" si="122"/>
        <v>6.0123292047666883</v>
      </c>
      <c r="BD27" s="8">
        <f t="shared" si="122"/>
        <v>5.1939409830226921</v>
      </c>
      <c r="BE27" s="8">
        <f t="shared" si="122"/>
        <v>8.4882636315677527</v>
      </c>
      <c r="BF27" s="8">
        <f t="shared" si="122"/>
        <v>6.2445098396216494</v>
      </c>
      <c r="BG27" s="8">
        <f t="shared" si="122"/>
        <v>7.639437268410977</v>
      </c>
      <c r="BH27" s="8">
        <f t="shared" si="122"/>
        <v>6.5294335627444244</v>
      </c>
      <c r="BI27" s="8">
        <f t="shared" si="122"/>
        <v>7.619119616101373</v>
      </c>
      <c r="BJ27" s="8">
        <f t="shared" si="122"/>
        <v>7.9577471545947667</v>
      </c>
      <c r="BK27" s="8">
        <f t="shared" si="122"/>
        <v>8.3427994362687077</v>
      </c>
      <c r="BL27" s="8">
        <f t="shared" si="122"/>
        <v>7.639437268410977</v>
      </c>
      <c r="BM27" s="8">
        <f t="shared" si="122"/>
        <v>7.4596858032718938</v>
      </c>
      <c r="BN27" s="8">
        <f t="shared" si="122"/>
        <v>2.4867959858108648</v>
      </c>
      <c r="BO27" s="8">
        <f t="shared" si="122"/>
        <v>4.5472840883398673</v>
      </c>
      <c r="BP27" s="8">
        <f t="shared" si="122"/>
        <v>3.2292307294007752</v>
      </c>
      <c r="BQ27" s="8">
        <f t="shared" si="122"/>
        <v>2.3724960460903657</v>
      </c>
      <c r="BR27" s="8">
        <f t="shared" si="122"/>
        <v>1.4441280280550051</v>
      </c>
      <c r="BS27" s="8">
        <f t="shared" si="122"/>
        <v>2.8937262380344606</v>
      </c>
      <c r="BT27" s="8">
        <f t="shared" si="122"/>
        <v>2.8832417226792635</v>
      </c>
      <c r="BU27" s="8">
        <f t="shared" si="122"/>
        <v>3.8095598080506865</v>
      </c>
      <c r="BV27" s="8">
        <f t="shared" si="122"/>
        <v>3.5809862195676452</v>
      </c>
      <c r="BW27" s="8">
        <f t="shared" si="122"/>
        <v>3.9788735772973838</v>
      </c>
      <c r="BX27" s="8">
        <f t="shared" si="122"/>
        <v>4.2904413413733016</v>
      </c>
      <c r="BY27" s="8">
        <f t="shared" si="122"/>
        <v>3.6141156126839138</v>
      </c>
      <c r="BZ27" s="8">
        <f t="shared" si="122"/>
        <v>3.8263731962859855</v>
      </c>
      <c r="CA27" s="8">
        <f t="shared" si="122"/>
        <v>4.1019315229869937</v>
      </c>
      <c r="CB27" s="8">
        <f t="shared" si="122"/>
        <v>3.4378092764081467</v>
      </c>
      <c r="CC27" s="8">
        <f t="shared" si="122"/>
        <v>3.5159413054174227</v>
      </c>
      <c r="CD27" s="8">
        <f t="shared" si="122"/>
        <v>4.6810277379969225</v>
      </c>
      <c r="CE27" s="8">
        <f t="shared" si="122"/>
        <v>4.6762019362051728</v>
      </c>
      <c r="CF27" s="8">
        <f t="shared" si="122"/>
        <v>4.6087338733174326</v>
      </c>
      <c r="CG27" s="8">
        <f t="shared" si="122"/>
        <v>5.3849416835603687</v>
      </c>
      <c r="CH27" s="8">
        <f t="shared" si="122"/>
        <v>4.5570842695647373</v>
      </c>
      <c r="CI27" s="8">
        <f t="shared" si="122"/>
        <v>4.6111616523551771</v>
      </c>
      <c r="CJ27" s="8">
        <f t="shared" si="122"/>
        <v>4.4539629596612507</v>
      </c>
      <c r="CK27" s="8">
        <f t="shared" si="122"/>
        <v>4.305497527672542</v>
      </c>
      <c r="CL27" s="8">
        <f t="shared" si="122"/>
        <v>4.8228770633907683</v>
      </c>
      <c r="CM27" s="8">
        <f t="shared" si="122"/>
        <v>4.7746482927568614</v>
      </c>
      <c r="CN27" s="8">
        <f t="shared" si="122"/>
        <v>6.7794194826162322</v>
      </c>
      <c r="CO27" s="8">
        <f t="shared" si="122"/>
        <v>4.7951991462407495</v>
      </c>
      <c r="CP27" s="8">
        <f t="shared" si="122"/>
        <v>6.6545620804973673</v>
      </c>
      <c r="CQ27" s="8">
        <f t="shared" si="122"/>
        <v>9.7751710654936463</v>
      </c>
      <c r="CR27" s="8">
        <f t="shared" si="122"/>
        <v>8.8495575221238951</v>
      </c>
      <c r="CS27" s="8">
        <f t="shared" si="122"/>
        <v>6.640625</v>
      </c>
      <c r="CT27" s="8">
        <f t="shared" si="122"/>
        <v>2.09</v>
      </c>
      <c r="CU27" s="8">
        <f t="shared" si="122"/>
        <v>2.5283999999999995</v>
      </c>
      <c r="CV27" s="8">
        <f t="shared" si="122"/>
        <v>1.888679245283019</v>
      </c>
      <c r="CW27" s="8">
        <f t="shared" si="122"/>
        <v>2.6730337078651685</v>
      </c>
      <c r="CX27" s="8">
        <f t="shared" si="122"/>
        <v>3.4</v>
      </c>
      <c r="CY27" s="8">
        <f t="shared" si="122"/>
        <v>4.043703703703704</v>
      </c>
      <c r="CZ27" s="8">
        <f t="shared" si="122"/>
        <v>3.022272727272727</v>
      </c>
      <c r="DA27" s="8">
        <f t="shared" si="122"/>
        <v>3.7966666666666669</v>
      </c>
      <c r="DB27" s="8">
        <f t="shared" si="122"/>
        <v>1.4742857142857146</v>
      </c>
      <c r="DC27" s="8">
        <f t="shared" si="122"/>
        <v>3.6180000000000003</v>
      </c>
      <c r="DD27" s="8">
        <f t="shared" si="122"/>
        <v>4.1737096774193558</v>
      </c>
      <c r="DE27" s="8">
        <f t="shared" si="122"/>
        <v>4.3425373134328353</v>
      </c>
      <c r="DF27" s="8">
        <f t="shared" si="122"/>
        <v>3.7028971962616826</v>
      </c>
      <c r="DG27" s="8">
        <f t="shared" si="122"/>
        <v>3.870967741935484</v>
      </c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</row>
    <row r="28" spans="1:161" x14ac:dyDescent="0.4">
      <c r="A28" s="22" t="s">
        <v>137</v>
      </c>
      <c r="B28" s="8">
        <f t="shared" ref="B28:DG28" si="123">B26/B24</f>
        <v>28.647889756541165</v>
      </c>
      <c r="C28" s="8">
        <f t="shared" si="123"/>
        <v>10.547823916252268</v>
      </c>
      <c r="D28" s="8">
        <f t="shared" si="123"/>
        <v>13.773023921414021</v>
      </c>
      <c r="E28" s="8">
        <f t="shared" si="123"/>
        <v>14.043083213990768</v>
      </c>
      <c r="F28" s="8">
        <f t="shared" si="123"/>
        <v>26.162456398667729</v>
      </c>
      <c r="G28" s="8">
        <f t="shared" si="123"/>
        <v>17.719387770399486</v>
      </c>
      <c r="H28" s="8">
        <f t="shared" si="123"/>
        <v>17.115007667051245</v>
      </c>
      <c r="I28" s="8">
        <f t="shared" si="123"/>
        <v>26.266130468312799</v>
      </c>
      <c r="J28" s="8">
        <f t="shared" si="123"/>
        <v>29.429944218285822</v>
      </c>
      <c r="K28" s="8">
        <f t="shared" si="123"/>
        <v>26.63681055931303</v>
      </c>
      <c r="L28" s="8">
        <f t="shared" si="123"/>
        <v>24.678221547598834</v>
      </c>
      <c r="M28" s="8">
        <f t="shared" si="123"/>
        <v>17.904931097838229</v>
      </c>
      <c r="N28" s="8">
        <f t="shared" si="123"/>
        <v>17.757873706208688</v>
      </c>
      <c r="O28" s="8">
        <f t="shared" si="123"/>
        <v>16.217117016993519</v>
      </c>
      <c r="P28" s="8">
        <f t="shared" si="123"/>
        <v>23.239528322358726</v>
      </c>
      <c r="Q28" s="8">
        <f t="shared" si="123"/>
        <v>30.85967536274471</v>
      </c>
      <c r="R28" s="8">
        <f t="shared" si="123"/>
        <v>20.777590372876006</v>
      </c>
      <c r="S28" s="8">
        <f t="shared" si="123"/>
        <v>23.787056476550426</v>
      </c>
      <c r="T28" s="8">
        <f t="shared" si="123"/>
        <v>26.491149569108508</v>
      </c>
      <c r="U28" s="8">
        <f t="shared" si="123"/>
        <v>35.268200414565385</v>
      </c>
      <c r="V28" s="8">
        <f t="shared" si="123"/>
        <v>23.733398208347907</v>
      </c>
      <c r="W28" s="8">
        <f t="shared" si="123"/>
        <v>27.115286600841433</v>
      </c>
      <c r="X28" s="8">
        <f t="shared" si="123"/>
        <v>22.38116387229778</v>
      </c>
      <c r="Y28" s="8">
        <f t="shared" si="123"/>
        <v>25.066903536973516</v>
      </c>
      <c r="Z28" s="8">
        <f t="shared" si="123"/>
        <v>22.366063327998404</v>
      </c>
      <c r="AA28" s="8">
        <f t="shared" si="123"/>
        <v>20.740553669894055</v>
      </c>
      <c r="AB28" s="8">
        <f t="shared" si="123"/>
        <v>20.171729162470893</v>
      </c>
      <c r="AC28" s="8">
        <f t="shared" si="123"/>
        <v>18.200692348501374</v>
      </c>
      <c r="AD28" s="8">
        <f t="shared" si="123"/>
        <v>29.151130322101654</v>
      </c>
      <c r="AE28" s="8">
        <f t="shared" si="123"/>
        <v>18.454311082362505</v>
      </c>
      <c r="AF28" s="8">
        <f t="shared" si="123"/>
        <v>15.783292373073197</v>
      </c>
      <c r="AG28" s="8">
        <f t="shared" si="123"/>
        <v>30.851573583967404</v>
      </c>
      <c r="AH28" s="8">
        <f t="shared" si="123"/>
        <v>25.709644653306167</v>
      </c>
      <c r="AI28" s="8">
        <f t="shared" si="123"/>
        <v>18.431546718362878</v>
      </c>
      <c r="AJ28" s="8">
        <f t="shared" si="123"/>
        <v>26.484952009128964</v>
      </c>
      <c r="AK28" s="8">
        <f t="shared" si="123"/>
        <v>25.749258897764268</v>
      </c>
      <c r="AL28" s="8">
        <f t="shared" si="123"/>
        <v>26.566822030795514</v>
      </c>
      <c r="AM28" s="8">
        <f t="shared" si="123"/>
        <v>25.8288547521623</v>
      </c>
      <c r="AN28" s="8">
        <f t="shared" si="123"/>
        <v>16.527628705696824</v>
      </c>
      <c r="AO28" s="8">
        <f t="shared" si="123"/>
        <v>16.527628705696827</v>
      </c>
      <c r="AP28" s="8">
        <f t="shared" si="123"/>
        <v>18.276165713901857</v>
      </c>
      <c r="AQ28" s="8">
        <f t="shared" si="123"/>
        <v>17.904931097838226</v>
      </c>
      <c r="AR28" s="8">
        <f t="shared" si="123"/>
        <v>19.397008689324746</v>
      </c>
      <c r="AS28" s="8">
        <f t="shared" si="123"/>
        <v>19.875964215916625</v>
      </c>
      <c r="AT28" s="8">
        <f t="shared" si="123"/>
        <v>18.550899934855515</v>
      </c>
      <c r="AU28" s="8">
        <f t="shared" si="123"/>
        <v>39.944770030907065</v>
      </c>
      <c r="AV28" s="8">
        <f t="shared" si="123"/>
        <v>17.553854017488458</v>
      </c>
      <c r="AW28" s="8">
        <f t="shared" si="123"/>
        <v>22.468933142385222</v>
      </c>
      <c r="AX28" s="8">
        <f t="shared" si="123"/>
        <v>18.189136353359469</v>
      </c>
      <c r="AY28" s="8">
        <f t="shared" si="123"/>
        <v>21.883804675135611</v>
      </c>
      <c r="AZ28" s="8">
        <f t="shared" si="123"/>
        <v>16.753151904410036</v>
      </c>
      <c r="BA28" s="8">
        <f t="shared" si="123"/>
        <v>20.222039828146702</v>
      </c>
      <c r="BB28" s="8">
        <f t="shared" si="123"/>
        <v>18.196068188859986</v>
      </c>
      <c r="BC28" s="8">
        <f t="shared" si="123"/>
        <v>18.036987614300063</v>
      </c>
      <c r="BD28" s="8">
        <f t="shared" si="123"/>
        <v>15.581822949068078</v>
      </c>
      <c r="BE28" s="8">
        <f t="shared" si="123"/>
        <v>25.46479089470326</v>
      </c>
      <c r="BF28" s="8">
        <f t="shared" si="123"/>
        <v>18.733529518864948</v>
      </c>
      <c r="BG28" s="8">
        <f t="shared" si="123"/>
        <v>22.918311805232932</v>
      </c>
      <c r="BH28" s="8">
        <f t="shared" si="123"/>
        <v>19.588300688233275</v>
      </c>
      <c r="BI28" s="8">
        <f t="shared" si="123"/>
        <v>22.85735884830412</v>
      </c>
      <c r="BJ28" s="8">
        <f t="shared" si="123"/>
        <v>23.8732414637843</v>
      </c>
      <c r="BK28" s="8">
        <f t="shared" si="123"/>
        <v>25.028398308806125</v>
      </c>
      <c r="BL28" s="8">
        <f t="shared" si="123"/>
        <v>22.918311805232928</v>
      </c>
      <c r="BM28" s="8">
        <f t="shared" si="123"/>
        <v>22.379057409815683</v>
      </c>
      <c r="BN28" s="8">
        <f t="shared" si="123"/>
        <v>7.4603879574325935</v>
      </c>
      <c r="BO28" s="8">
        <f t="shared" si="123"/>
        <v>13.641852265019603</v>
      </c>
      <c r="BP28" s="8">
        <f t="shared" si="123"/>
        <v>9.687692188202325</v>
      </c>
      <c r="BQ28" s="8">
        <f t="shared" si="123"/>
        <v>7.1174881382710966</v>
      </c>
      <c r="BR28" s="8">
        <f t="shared" si="123"/>
        <v>4.3323840841650147</v>
      </c>
      <c r="BS28" s="8">
        <f t="shared" si="123"/>
        <v>8.6811787141033818</v>
      </c>
      <c r="BT28" s="8">
        <f t="shared" si="123"/>
        <v>8.64972516803779</v>
      </c>
      <c r="BU28" s="8">
        <f t="shared" si="123"/>
        <v>11.428679424152058</v>
      </c>
      <c r="BV28" s="8">
        <f t="shared" si="123"/>
        <v>10.742958658702936</v>
      </c>
      <c r="BW28" s="8">
        <f t="shared" si="123"/>
        <v>11.93662073189215</v>
      </c>
      <c r="BX28" s="8">
        <f t="shared" si="123"/>
        <v>12.871324024119904</v>
      </c>
      <c r="BY28" s="8">
        <f t="shared" si="123"/>
        <v>10.842346838051743</v>
      </c>
      <c r="BZ28" s="8">
        <f t="shared" si="123"/>
        <v>11.479119588857957</v>
      </c>
      <c r="CA28" s="8">
        <f t="shared" si="123"/>
        <v>12.30579456896098</v>
      </c>
      <c r="CB28" s="8">
        <f t="shared" si="123"/>
        <v>10.313427829224441</v>
      </c>
      <c r="CC28" s="8">
        <f t="shared" si="123"/>
        <v>10.547823916252268</v>
      </c>
      <c r="CD28" s="8">
        <f t="shared" si="123"/>
        <v>14.043083213990768</v>
      </c>
      <c r="CE28" s="8">
        <f t="shared" si="123"/>
        <v>14.028605808615518</v>
      </c>
      <c r="CF28" s="8">
        <f t="shared" si="123"/>
        <v>13.826201619952299</v>
      </c>
      <c r="CG28" s="8">
        <f t="shared" si="123"/>
        <v>16.154825050681108</v>
      </c>
      <c r="CH28" s="8">
        <f t="shared" si="123"/>
        <v>13.671252808694211</v>
      </c>
      <c r="CI28" s="8">
        <f t="shared" si="123"/>
        <v>13.833484957065529</v>
      </c>
      <c r="CJ28" s="8">
        <f t="shared" si="123"/>
        <v>13.36188887898375</v>
      </c>
      <c r="CK28" s="8">
        <f t="shared" si="123"/>
        <v>12.916492583017625</v>
      </c>
      <c r="CL28" s="8">
        <f t="shared" si="123"/>
        <v>14.468631190172303</v>
      </c>
      <c r="CM28" s="8">
        <f t="shared" si="123"/>
        <v>14.323944878270582</v>
      </c>
      <c r="CN28" s="8">
        <f t="shared" si="123"/>
        <v>20.338258447848695</v>
      </c>
      <c r="CO28" s="8">
        <f t="shared" si="123"/>
        <v>14.385597438722248</v>
      </c>
      <c r="CP28" s="8">
        <f t="shared" si="123"/>
        <v>19.963686241492102</v>
      </c>
      <c r="CQ28" s="8">
        <f t="shared" si="123"/>
        <v>39.100684261974585</v>
      </c>
      <c r="CR28" s="8">
        <f t="shared" si="123"/>
        <v>35.398230088495581</v>
      </c>
      <c r="CS28" s="8">
        <f t="shared" si="123"/>
        <v>26.171875</v>
      </c>
      <c r="CT28" s="8">
        <f t="shared" si="123"/>
        <v>6.5625</v>
      </c>
      <c r="CU28" s="8">
        <f t="shared" si="123"/>
        <v>8.1599999999999984</v>
      </c>
      <c r="CV28" s="8">
        <f t="shared" si="123"/>
        <v>6.0377358490566042</v>
      </c>
      <c r="CW28" s="8">
        <f t="shared" si="123"/>
        <v>8.5393258426966305</v>
      </c>
      <c r="CX28" s="8">
        <f t="shared" si="123"/>
        <v>11.034482758620689</v>
      </c>
      <c r="CY28" s="8">
        <f t="shared" si="123"/>
        <v>12.962962962962962</v>
      </c>
      <c r="CZ28" s="8">
        <f t="shared" si="123"/>
        <v>9.6818181818181817</v>
      </c>
      <c r="DA28" s="8">
        <f t="shared" si="123"/>
        <v>12.272727272727272</v>
      </c>
      <c r="DB28" s="8">
        <f t="shared" si="123"/>
        <v>4.7142857142857144</v>
      </c>
      <c r="DC28" s="8">
        <f t="shared" si="123"/>
        <v>11.65</v>
      </c>
      <c r="DD28" s="8">
        <f t="shared" si="123"/>
        <v>13.38709677419355</v>
      </c>
      <c r="DE28" s="8">
        <f t="shared" si="123"/>
        <v>14.029850746268657</v>
      </c>
      <c r="DF28" s="8">
        <f t="shared" si="123"/>
        <v>11.869158878504672</v>
      </c>
      <c r="DG28" s="8">
        <f t="shared" si="123"/>
        <v>12.442396313364055</v>
      </c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</row>
    <row r="29" spans="1:161" x14ac:dyDescent="0.4">
      <c r="A29" s="25" t="s">
        <v>138</v>
      </c>
      <c r="B29" s="12">
        <f t="shared" ref="B29:DG29" si="124">(1/B12)^2*B10/((1/$B$12)^2*$B$10)</f>
        <v>1</v>
      </c>
      <c r="C29" s="12">
        <f t="shared" si="124"/>
        <v>13.172043010752692</v>
      </c>
      <c r="D29" s="12">
        <f t="shared" si="124"/>
        <v>9.978494623655914</v>
      </c>
      <c r="E29" s="12">
        <f t="shared" si="124"/>
        <v>2.9926881720430103</v>
      </c>
      <c r="F29" s="12">
        <f t="shared" si="124"/>
        <v>0.43112903225806465</v>
      </c>
      <c r="G29" s="12">
        <f t="shared" si="124"/>
        <v>0.61935483870967767</v>
      </c>
      <c r="H29" s="12">
        <f t="shared" si="124"/>
        <v>8.9341397849462406E-2</v>
      </c>
      <c r="I29" s="12">
        <f t="shared" si="124"/>
        <v>0.16354838709677422</v>
      </c>
      <c r="J29" s="12">
        <f t="shared" si="124"/>
        <v>5.8494623655913985E-2</v>
      </c>
      <c r="K29" s="12">
        <f t="shared" si="124"/>
        <v>1.3423790322580647</v>
      </c>
      <c r="L29" s="12">
        <f t="shared" si="124"/>
        <v>1.382849462365592</v>
      </c>
      <c r="M29" s="12">
        <f t="shared" si="124"/>
        <v>0.9623655913978495</v>
      </c>
      <c r="N29" s="12">
        <f t="shared" si="124"/>
        <v>1.2443951612903226</v>
      </c>
      <c r="O29" s="12">
        <f t="shared" si="124"/>
        <v>1.2585483870967749</v>
      </c>
      <c r="P29" s="12">
        <f t="shared" si="124"/>
        <v>0.87399193548387133</v>
      </c>
      <c r="Q29" s="12">
        <f t="shared" si="124"/>
        <v>0.91397849462365599</v>
      </c>
      <c r="R29" s="12">
        <f t="shared" si="124"/>
        <v>1.0282258064516132</v>
      </c>
      <c r="S29" s="12">
        <f t="shared" si="124"/>
        <v>0.93161290322580648</v>
      </c>
      <c r="T29" s="12">
        <f t="shared" si="124"/>
        <v>0.87399193548387133</v>
      </c>
      <c r="U29" s="12">
        <f t="shared" si="124"/>
        <v>0.91397849462365599</v>
      </c>
      <c r="V29" s="12">
        <f t="shared" si="124"/>
        <v>1.0282258064516132</v>
      </c>
      <c r="W29" s="12">
        <f t="shared" si="124"/>
        <v>0.93161290322580648</v>
      </c>
      <c r="X29" s="12">
        <f t="shared" si="124"/>
        <v>0.46451612903225814</v>
      </c>
      <c r="Y29" s="12">
        <f t="shared" si="124"/>
        <v>0.60215053763440862</v>
      </c>
      <c r="Z29" s="12">
        <f t="shared" si="124"/>
        <v>0.54301075268817212</v>
      </c>
      <c r="AA29" s="12">
        <f t="shared" si="124"/>
        <v>6.9919354838709702E-2</v>
      </c>
      <c r="AB29" s="12">
        <f t="shared" si="124"/>
        <v>0.15677419354838715</v>
      </c>
      <c r="AC29" s="12">
        <f t="shared" si="124"/>
        <v>0.11290322580645164</v>
      </c>
      <c r="AD29" s="12">
        <f t="shared" si="124"/>
        <v>0.17032258064516134</v>
      </c>
      <c r="AE29" s="12">
        <f t="shared" si="124"/>
        <v>1.2430107526881726</v>
      </c>
      <c r="AF29" s="12">
        <f t="shared" si="124"/>
        <v>2.1752688172043024</v>
      </c>
      <c r="AG29" s="12">
        <f t="shared" si="124"/>
        <v>0.25806451612903225</v>
      </c>
      <c r="AH29" s="12">
        <f t="shared" si="124"/>
        <v>0.3019354838709678</v>
      </c>
      <c r="AI29" s="12">
        <f t="shared" si="124"/>
        <v>0.31075268817204316</v>
      </c>
      <c r="AJ29" s="12">
        <f t="shared" si="124"/>
        <v>0.25806451612903225</v>
      </c>
      <c r="AK29" s="12">
        <f t="shared" si="124"/>
        <v>0.29806451612903234</v>
      </c>
      <c r="AL29" s="12">
        <f t="shared" si="124"/>
        <v>0.25806451612903225</v>
      </c>
      <c r="AM29" s="12">
        <f t="shared" si="124"/>
        <v>0.29806451612903234</v>
      </c>
      <c r="AN29" s="12">
        <f t="shared" si="124"/>
        <v>21.870967741935491</v>
      </c>
      <c r="AO29" s="12">
        <f t="shared" si="124"/>
        <v>30.881720430107528</v>
      </c>
      <c r="AP29" s="12">
        <f t="shared" si="124"/>
        <v>15.061075268817207</v>
      </c>
      <c r="AQ29" s="12">
        <f t="shared" si="124"/>
        <v>3.1243010752688178</v>
      </c>
      <c r="AR29" s="12">
        <f t="shared" si="124"/>
        <v>2.7526881720430114</v>
      </c>
      <c r="AS29" s="12">
        <f t="shared" si="124"/>
        <v>2.0477419354838715</v>
      </c>
      <c r="AT29" s="12">
        <f t="shared" si="124"/>
        <v>2.0193010752688174</v>
      </c>
      <c r="AU29" s="12">
        <f t="shared" si="124"/>
        <v>0.73161290322580674</v>
      </c>
      <c r="AV29" s="12">
        <f t="shared" si="124"/>
        <v>2.63225806451613</v>
      </c>
      <c r="AW29" s="12">
        <f t="shared" si="124"/>
        <v>3.0483870967741944</v>
      </c>
      <c r="AX29" s="12">
        <f t="shared" si="124"/>
        <v>3.1354838709677431</v>
      </c>
      <c r="AY29" s="12">
        <f t="shared" si="124"/>
        <v>2.0920430107526884</v>
      </c>
      <c r="AZ29" s="12">
        <f t="shared" si="124"/>
        <v>2.1737634408602151</v>
      </c>
      <c r="BA29" s="12">
        <f t="shared" si="124"/>
        <v>1.7868279569892485</v>
      </c>
      <c r="BB29" s="12">
        <f t="shared" si="124"/>
        <v>2.1470967741935487</v>
      </c>
      <c r="BC29" s="12">
        <f t="shared" si="124"/>
        <v>1.0099462365591403</v>
      </c>
      <c r="BD29" s="12">
        <f t="shared" si="124"/>
        <v>1.1561290322580648</v>
      </c>
      <c r="BE29" s="12">
        <f t="shared" si="124"/>
        <v>0.92104838709677417</v>
      </c>
      <c r="BF29" s="12">
        <f t="shared" si="124"/>
        <v>0.96946236559139776</v>
      </c>
      <c r="BG29" s="12">
        <f t="shared" si="124"/>
        <v>0.52923387096774199</v>
      </c>
      <c r="BH29" s="12">
        <f t="shared" si="124"/>
        <v>0.58150537634408606</v>
      </c>
      <c r="BI29" s="12">
        <f t="shared" si="124"/>
        <v>0.61935483870967767</v>
      </c>
      <c r="BJ29" s="12">
        <f t="shared" si="124"/>
        <v>0.60483870967741959</v>
      </c>
      <c r="BK29" s="12">
        <f t="shared" si="124"/>
        <v>0.37161290322580653</v>
      </c>
      <c r="BL29" s="12">
        <f t="shared" si="124"/>
        <v>0.38709677419354849</v>
      </c>
      <c r="BM29" s="12">
        <f t="shared" si="124"/>
        <v>0.43505376344086044</v>
      </c>
      <c r="BN29" s="12">
        <f t="shared" si="124"/>
        <v>712.25806451612937</v>
      </c>
      <c r="BO29" s="12">
        <f t="shared" si="124"/>
        <v>342.47311827956997</v>
      </c>
      <c r="BP29" s="12">
        <f t="shared" si="124"/>
        <v>332.75806451612914</v>
      </c>
      <c r="BQ29" s="12">
        <f t="shared" si="124"/>
        <v>305.59139784946245</v>
      </c>
      <c r="BR29" s="12">
        <f t="shared" si="124"/>
        <v>824.78494623655934</v>
      </c>
      <c r="BS29" s="12">
        <f t="shared" si="124"/>
        <v>56.587741935483876</v>
      </c>
      <c r="BT29" s="12">
        <f t="shared" si="124"/>
        <v>64.617634408602157</v>
      </c>
      <c r="BU29" s="12">
        <f t="shared" si="124"/>
        <v>16.033064516129038</v>
      </c>
      <c r="BV29" s="12">
        <f t="shared" si="124"/>
        <v>24.236559139784951</v>
      </c>
      <c r="BW29" s="12">
        <f t="shared" si="124"/>
        <v>23.223870967741938</v>
      </c>
      <c r="BX29" s="12">
        <f t="shared" si="124"/>
        <v>15.915053763440861</v>
      </c>
      <c r="BY29" s="12">
        <f t="shared" si="124"/>
        <v>19.894623655913986</v>
      </c>
      <c r="BZ29" s="12">
        <f t="shared" si="124"/>
        <v>18.967741935483875</v>
      </c>
      <c r="CA29" s="12">
        <f t="shared" si="124"/>
        <v>13.099354838709683</v>
      </c>
      <c r="CB29" s="12">
        <f t="shared" si="124"/>
        <v>13.87016129032258</v>
      </c>
      <c r="CC29" s="12">
        <f t="shared" si="124"/>
        <v>13.172043010752692</v>
      </c>
      <c r="CD29" s="12">
        <f t="shared" si="124"/>
        <v>9.978494623655914</v>
      </c>
      <c r="CE29" s="12">
        <f t="shared" si="124"/>
        <v>7.053763440860215</v>
      </c>
      <c r="CF29" s="12">
        <f t="shared" si="124"/>
        <v>7.2130107526881737</v>
      </c>
      <c r="CG29" s="12">
        <f t="shared" si="124"/>
        <v>11.887768817204302</v>
      </c>
      <c r="CH29" s="12">
        <f t="shared" si="124"/>
        <v>7.5961290322580686</v>
      </c>
      <c r="CI29" s="12">
        <f t="shared" si="124"/>
        <v>7.0230107526881751</v>
      </c>
      <c r="CJ29" s="12">
        <f t="shared" si="124"/>
        <v>6.4516129032258061</v>
      </c>
      <c r="CK29" s="12">
        <f t="shared" si="124"/>
        <v>7.0606451612903252</v>
      </c>
      <c r="CL29" s="12">
        <f t="shared" si="124"/>
        <v>4.9766129032258073</v>
      </c>
      <c r="CM29" s="12">
        <f t="shared" si="124"/>
        <v>5.763440860215054</v>
      </c>
      <c r="CN29" s="12">
        <f t="shared" si="124"/>
        <v>5.7800000000000029</v>
      </c>
      <c r="CO29" s="12">
        <f t="shared" si="124"/>
        <v>4.2883870967741959</v>
      </c>
      <c r="CP29" s="12">
        <f t="shared" si="124"/>
        <v>6.5438709677419356</v>
      </c>
      <c r="CQ29" s="12">
        <f t="shared" si="124"/>
        <v>1.4073031872657711E-2</v>
      </c>
      <c r="CR29" s="12">
        <f t="shared" si="124"/>
        <v>3.3617177012118748E-3</v>
      </c>
      <c r="CS29" s="12">
        <f t="shared" si="124"/>
        <v>6.3732207230530146E-4</v>
      </c>
      <c r="CT29" s="12">
        <f t="shared" si="124"/>
        <v>335.53694429676483</v>
      </c>
      <c r="CU29" s="12">
        <f t="shared" si="124"/>
        <v>167.89078899770703</v>
      </c>
      <c r="CV29" s="12">
        <f t="shared" si="124"/>
        <v>51.803021113457696</v>
      </c>
      <c r="CW29" s="12">
        <f t="shared" si="124"/>
        <v>15.79416554836977</v>
      </c>
      <c r="CX29" s="12">
        <f t="shared" si="124"/>
        <v>7.8698706177643372</v>
      </c>
      <c r="CY29" s="12">
        <f t="shared" si="124"/>
        <v>3.5583289631414634</v>
      </c>
      <c r="CZ29" s="12">
        <f t="shared" si="124"/>
        <v>1.9394325574812632</v>
      </c>
      <c r="DA29" s="12">
        <f t="shared" si="124"/>
        <v>0.92531700248712845</v>
      </c>
      <c r="DB29" s="12">
        <f t="shared" si="124"/>
        <v>3.7121109169544027</v>
      </c>
      <c r="DC29" s="12">
        <f t="shared" si="124"/>
        <v>0.60067962909282679</v>
      </c>
      <c r="DD29" s="12">
        <f t="shared" si="124"/>
        <v>0.28046592846309004</v>
      </c>
      <c r="DE29" s="12">
        <f t="shared" si="124"/>
        <v>0.24509742908291698</v>
      </c>
      <c r="DF29" s="12">
        <f t="shared" si="124"/>
        <v>8.6925103347838678E-2</v>
      </c>
      <c r="DG29" s="12">
        <f t="shared" si="124"/>
        <v>3.7520188149318637E-2</v>
      </c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</row>
    <row r="30" spans="1:161" x14ac:dyDescent="0.4">
      <c r="A30" s="25" t="s">
        <v>139</v>
      </c>
      <c r="B30" s="7">
        <f>20/B12/B7</f>
        <v>8.7266462599716466</v>
      </c>
      <c r="C30" s="7">
        <f t="shared" ref="C30:DG30" si="125">$B$30*$B$12/C12</f>
        <v>61.086523819801528</v>
      </c>
      <c r="D30" s="7">
        <f t="shared" si="125"/>
        <v>34.906585039886586</v>
      </c>
      <c r="E30" s="7">
        <f t="shared" si="125"/>
        <v>24.434609527920607</v>
      </c>
      <c r="F30" s="7">
        <f t="shared" si="125"/>
        <v>7.8539816339744819</v>
      </c>
      <c r="G30" s="7">
        <f t="shared" si="125"/>
        <v>10.471975511965976</v>
      </c>
      <c r="H30" s="7">
        <f t="shared" si="125"/>
        <v>7.4176493209759</v>
      </c>
      <c r="I30" s="7">
        <f t="shared" si="125"/>
        <v>11.344640137963141</v>
      </c>
      <c r="J30" s="7">
        <f t="shared" si="125"/>
        <v>6.9813170079773172</v>
      </c>
      <c r="K30" s="7">
        <f t="shared" si="125"/>
        <v>11.780972450961722</v>
      </c>
      <c r="L30" s="7">
        <f t="shared" si="125"/>
        <v>14.8352986419518</v>
      </c>
      <c r="M30" s="7">
        <f t="shared" si="125"/>
        <v>8.7266462599716466</v>
      </c>
      <c r="N30" s="7">
        <f t="shared" si="125"/>
        <v>11.780972450961722</v>
      </c>
      <c r="O30" s="7">
        <f t="shared" si="125"/>
        <v>14.8352986419518</v>
      </c>
      <c r="P30" s="7">
        <f t="shared" si="125"/>
        <v>7.4176493209759</v>
      </c>
      <c r="Q30" s="7">
        <f t="shared" si="125"/>
        <v>8.7266462599716466</v>
      </c>
      <c r="R30" s="7">
        <f t="shared" si="125"/>
        <v>13.089969389957471</v>
      </c>
      <c r="S30" s="7">
        <f t="shared" si="125"/>
        <v>16.580627893946129</v>
      </c>
      <c r="T30" s="7">
        <f t="shared" si="125"/>
        <v>7.4176493209759</v>
      </c>
      <c r="U30" s="7">
        <f t="shared" si="125"/>
        <v>8.7266462599716466</v>
      </c>
      <c r="V30" s="7">
        <f t="shared" si="125"/>
        <v>13.089969389957471</v>
      </c>
      <c r="W30" s="7">
        <f t="shared" si="125"/>
        <v>16.580627893946129</v>
      </c>
      <c r="X30" s="7">
        <f t="shared" si="125"/>
        <v>6.9813170079773172</v>
      </c>
      <c r="Y30" s="7">
        <f t="shared" si="125"/>
        <v>8.7266462599716466</v>
      </c>
      <c r="Z30" s="7">
        <f t="shared" si="125"/>
        <v>8.7266462599716466</v>
      </c>
      <c r="AA30" s="7">
        <f t="shared" si="125"/>
        <v>7.4176493209759</v>
      </c>
      <c r="AB30" s="7">
        <f t="shared" si="125"/>
        <v>7.8539816339744819</v>
      </c>
      <c r="AC30" s="7">
        <f t="shared" si="125"/>
        <v>8.7266462599716466</v>
      </c>
      <c r="AD30" s="7">
        <f t="shared" si="125"/>
        <v>10.471975511965976</v>
      </c>
      <c r="AE30" s="7">
        <f t="shared" si="125"/>
        <v>14.8352986419518</v>
      </c>
      <c r="AF30" s="7">
        <f t="shared" si="125"/>
        <v>29.6705972839036</v>
      </c>
      <c r="AG30" s="7">
        <f t="shared" si="125"/>
        <v>8.7266462599716466</v>
      </c>
      <c r="AH30" s="7">
        <f t="shared" si="125"/>
        <v>10.471975511965976</v>
      </c>
      <c r="AI30" s="7">
        <f t="shared" si="125"/>
        <v>14.8352986419518</v>
      </c>
      <c r="AJ30" s="7">
        <f t="shared" si="125"/>
        <v>8.7266462599716466</v>
      </c>
      <c r="AK30" s="7">
        <f t="shared" si="125"/>
        <v>10.471975511965976</v>
      </c>
      <c r="AL30" s="7">
        <f t="shared" si="125"/>
        <v>8.7266462599716466</v>
      </c>
      <c r="AM30" s="7">
        <f t="shared" si="125"/>
        <v>10.471975511965976</v>
      </c>
      <c r="AN30" s="7">
        <f t="shared" si="125"/>
        <v>26.179938779914941</v>
      </c>
      <c r="AO30" s="7">
        <f t="shared" si="125"/>
        <v>34.906585039886586</v>
      </c>
      <c r="AP30" s="7">
        <f t="shared" si="125"/>
        <v>33.161255787892259</v>
      </c>
      <c r="AQ30" s="7">
        <f t="shared" si="125"/>
        <v>13.962634015954634</v>
      </c>
      <c r="AR30" s="7">
        <f t="shared" si="125"/>
        <v>27.925268031909269</v>
      </c>
      <c r="AS30" s="7">
        <f t="shared" si="125"/>
        <v>10.035643198967394</v>
      </c>
      <c r="AT30" s="7">
        <f t="shared" si="125"/>
        <v>20.071286397934788</v>
      </c>
      <c r="AU30" s="7">
        <f t="shared" si="125"/>
        <v>7.8539816339744819</v>
      </c>
      <c r="AV30" s="7">
        <f t="shared" si="125"/>
        <v>20.943951023931952</v>
      </c>
      <c r="AW30" s="7">
        <f t="shared" si="125"/>
        <v>26.179938779914941</v>
      </c>
      <c r="AX30" s="7">
        <f t="shared" si="125"/>
        <v>31.415926535897928</v>
      </c>
      <c r="AY30" s="7">
        <f t="shared" si="125"/>
        <v>27.925268031909269</v>
      </c>
      <c r="AZ30" s="7">
        <f t="shared" si="125"/>
        <v>33.161255787892259</v>
      </c>
      <c r="BA30" s="7">
        <f t="shared" si="125"/>
        <v>14.8352986419518</v>
      </c>
      <c r="BB30" s="7">
        <f t="shared" si="125"/>
        <v>27.925268031909269</v>
      </c>
      <c r="BC30" s="7">
        <f t="shared" si="125"/>
        <v>14.8352986419518</v>
      </c>
      <c r="BD30" s="7">
        <f t="shared" si="125"/>
        <v>27.925268031909269</v>
      </c>
      <c r="BE30" s="7">
        <f t="shared" si="125"/>
        <v>11.780972450961722</v>
      </c>
      <c r="BF30" s="7">
        <f t="shared" si="125"/>
        <v>24.434609527920607</v>
      </c>
      <c r="BG30" s="7">
        <f t="shared" si="125"/>
        <v>10.908307824964558</v>
      </c>
      <c r="BH30" s="7">
        <f t="shared" si="125"/>
        <v>22.689280275926283</v>
      </c>
      <c r="BI30" s="7">
        <f t="shared" si="125"/>
        <v>10.471975511965976</v>
      </c>
      <c r="BJ30" s="7">
        <f t="shared" si="125"/>
        <v>13.089969389957471</v>
      </c>
      <c r="BK30" s="7">
        <f t="shared" si="125"/>
        <v>10.471975511965976</v>
      </c>
      <c r="BL30" s="7">
        <f t="shared" si="125"/>
        <v>13.089969389957471</v>
      </c>
      <c r="BM30" s="7">
        <f t="shared" si="125"/>
        <v>14.8352986419518</v>
      </c>
      <c r="BN30" s="7">
        <f t="shared" si="125"/>
        <v>209.43951023931953</v>
      </c>
      <c r="BO30" s="7">
        <f t="shared" si="125"/>
        <v>122.17304763960306</v>
      </c>
      <c r="BP30" s="7">
        <f t="shared" si="125"/>
        <v>200.71286397934787</v>
      </c>
      <c r="BQ30" s="7">
        <f t="shared" si="125"/>
        <v>122.17304763960306</v>
      </c>
      <c r="BR30" s="7">
        <f t="shared" si="125"/>
        <v>200.71286397934787</v>
      </c>
      <c r="BS30" s="7">
        <f t="shared" si="125"/>
        <v>68.067840827778838</v>
      </c>
      <c r="BT30" s="7">
        <f t="shared" si="125"/>
        <v>80.285145591739152</v>
      </c>
      <c r="BU30" s="7">
        <f t="shared" si="125"/>
        <v>41.015237421866743</v>
      </c>
      <c r="BV30" s="7">
        <f t="shared" si="125"/>
        <v>61.086523819801528</v>
      </c>
      <c r="BW30" s="7">
        <f t="shared" si="125"/>
        <v>68.067840827778838</v>
      </c>
      <c r="BX30" s="7">
        <f t="shared" si="125"/>
        <v>33.161255787892259</v>
      </c>
      <c r="BY30" s="7">
        <f t="shared" si="125"/>
        <v>50.614548307835555</v>
      </c>
      <c r="BZ30" s="7">
        <f t="shared" si="125"/>
        <v>61.086523819801528</v>
      </c>
      <c r="CA30" s="7">
        <f t="shared" si="125"/>
        <v>31.415926535897928</v>
      </c>
      <c r="CB30" s="7">
        <f t="shared" si="125"/>
        <v>54.977871437821371</v>
      </c>
      <c r="CC30" s="7">
        <f t="shared" si="125"/>
        <v>61.086523819801528</v>
      </c>
      <c r="CD30" s="7">
        <f t="shared" si="125"/>
        <v>34.906585039886586</v>
      </c>
      <c r="CE30" s="7">
        <f t="shared" si="125"/>
        <v>34.906585039886586</v>
      </c>
      <c r="CF30" s="7">
        <f t="shared" si="125"/>
        <v>32.288591161895091</v>
      </c>
      <c r="CG30" s="7">
        <f t="shared" si="125"/>
        <v>41.451569734865323</v>
      </c>
      <c r="CH30" s="7">
        <f t="shared" si="125"/>
        <v>50.614548307835555</v>
      </c>
      <c r="CI30" s="7">
        <f t="shared" si="125"/>
        <v>29.6705972839036</v>
      </c>
      <c r="CJ30" s="7">
        <f t="shared" si="125"/>
        <v>34.906585039886586</v>
      </c>
      <c r="CK30" s="7">
        <f t="shared" si="125"/>
        <v>41.887902047863903</v>
      </c>
      <c r="CL30" s="7">
        <f t="shared" si="125"/>
        <v>28.797932657906433</v>
      </c>
      <c r="CM30" s="7">
        <f t="shared" si="125"/>
        <v>34.906585039886586</v>
      </c>
      <c r="CN30" s="7">
        <f t="shared" si="125"/>
        <v>29.6705972839036</v>
      </c>
      <c r="CO30" s="7">
        <f t="shared" si="125"/>
        <v>29.6705972839036</v>
      </c>
      <c r="CP30" s="7">
        <f t="shared" si="125"/>
        <v>36.651914291880914</v>
      </c>
      <c r="CQ30" s="7">
        <f t="shared" si="125"/>
        <v>0.98039215686274506</v>
      </c>
      <c r="CR30" s="7">
        <f t="shared" si="125"/>
        <v>0.61728395061728381</v>
      </c>
      <c r="CS30" s="7">
        <f t="shared" si="125"/>
        <v>0.35460992907801409</v>
      </c>
      <c r="CT30" s="7">
        <f t="shared" si="125"/>
        <v>94.696969696969688</v>
      </c>
      <c r="CU30" s="7">
        <f t="shared" si="125"/>
        <v>56.689342403628117</v>
      </c>
      <c r="CV30" s="7">
        <f t="shared" si="125"/>
        <v>45.787545787545781</v>
      </c>
      <c r="CW30" s="7">
        <f t="shared" si="125"/>
        <v>21.367521367521366</v>
      </c>
      <c r="CX30" s="7">
        <f t="shared" si="125"/>
        <v>14.367816091954021</v>
      </c>
      <c r="CY30" s="7">
        <f t="shared" si="125"/>
        <v>8.090614886731391</v>
      </c>
      <c r="CZ30" s="7">
        <f t="shared" si="125"/>
        <v>7.6452599388379197</v>
      </c>
      <c r="DA30" s="7">
        <f t="shared" si="125"/>
        <v>4.4563279857397502</v>
      </c>
      <c r="DB30" s="7">
        <f t="shared" si="125"/>
        <v>19.379844961240305</v>
      </c>
      <c r="DC30" s="7">
        <f t="shared" si="125"/>
        <v>6.2189054726368154</v>
      </c>
      <c r="DD30" s="7">
        <f t="shared" si="125"/>
        <v>3.6390101892285296</v>
      </c>
      <c r="DE30" s="7">
        <f t="shared" si="125"/>
        <v>3.2938076416337281</v>
      </c>
      <c r="DF30" s="7">
        <f t="shared" si="125"/>
        <v>2.965599051008303</v>
      </c>
      <c r="DG30" s="7">
        <f t="shared" si="125"/>
        <v>1.4880952380952379</v>
      </c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</row>
    <row r="31" spans="1:161" x14ac:dyDescent="0.4">
      <c r="A31" s="23" t="s">
        <v>140</v>
      </c>
      <c r="B31" s="4">
        <v>21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4">
        <v>7</v>
      </c>
      <c r="CU31" s="4">
        <v>7</v>
      </c>
      <c r="CV31" s="4">
        <v>7</v>
      </c>
      <c r="CW31" s="4">
        <v>7</v>
      </c>
      <c r="CX31" s="4">
        <v>10</v>
      </c>
      <c r="CY31" s="4">
        <v>10</v>
      </c>
      <c r="CZ31" s="4">
        <v>10</v>
      </c>
      <c r="DA31" s="4">
        <v>10</v>
      </c>
      <c r="DB31" s="4">
        <v>10</v>
      </c>
      <c r="DC31" s="4">
        <v>10</v>
      </c>
      <c r="DD31" s="4">
        <v>10</v>
      </c>
      <c r="DE31" s="4">
        <v>10</v>
      </c>
      <c r="DF31" s="4">
        <v>15</v>
      </c>
      <c r="DG31" s="4">
        <v>15</v>
      </c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</row>
    <row r="32" spans="1:161" x14ac:dyDescent="0.4">
      <c r="A32" s="23" t="s">
        <v>141</v>
      </c>
      <c r="B32" s="4">
        <v>82</v>
      </c>
      <c r="C32" s="3"/>
      <c r="D32" s="3"/>
      <c r="E32" s="3"/>
      <c r="F32" s="3"/>
      <c r="G32" s="4">
        <v>80</v>
      </c>
      <c r="H32" s="3"/>
      <c r="I32" s="3"/>
      <c r="J32" s="3"/>
      <c r="K32" s="3"/>
      <c r="L32" s="3"/>
      <c r="M32" s="3"/>
      <c r="N32" s="3"/>
      <c r="O32" s="3"/>
      <c r="P32" s="4">
        <v>86</v>
      </c>
      <c r="Q32" s="4">
        <v>90</v>
      </c>
      <c r="R32" s="4">
        <v>82</v>
      </c>
      <c r="S32" s="4">
        <v>80</v>
      </c>
      <c r="T32" s="4">
        <v>86</v>
      </c>
      <c r="U32" s="4">
        <v>90</v>
      </c>
      <c r="V32" s="4">
        <v>82</v>
      </c>
      <c r="W32" s="4">
        <v>80</v>
      </c>
      <c r="X32" s="3"/>
      <c r="Y32" s="3"/>
      <c r="Z32" s="4">
        <v>77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">
        <v>85</v>
      </c>
      <c r="AT32" s="4">
        <v>80</v>
      </c>
      <c r="AU32" s="3"/>
      <c r="AV32" s="4">
        <v>78</v>
      </c>
      <c r="AW32" s="4">
        <v>66</v>
      </c>
      <c r="AX32" s="4">
        <v>68</v>
      </c>
      <c r="AY32" s="4">
        <v>70</v>
      </c>
      <c r="AZ32" s="4">
        <v>65</v>
      </c>
      <c r="BA32" s="4">
        <v>81</v>
      </c>
      <c r="BB32" s="4">
        <v>77</v>
      </c>
      <c r="BC32" s="4">
        <v>83</v>
      </c>
      <c r="BD32" s="4">
        <v>75</v>
      </c>
      <c r="BE32" s="4">
        <v>86</v>
      </c>
      <c r="BF32" s="4">
        <v>78</v>
      </c>
      <c r="BG32" s="4">
        <v>88</v>
      </c>
      <c r="BH32" s="4">
        <v>83</v>
      </c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4">
        <v>87</v>
      </c>
      <c r="CU32" s="4">
        <v>86</v>
      </c>
      <c r="CV32" s="4">
        <v>88</v>
      </c>
      <c r="CW32" s="4">
        <v>87</v>
      </c>
      <c r="CX32" s="4">
        <v>88</v>
      </c>
      <c r="CY32" s="4">
        <v>87</v>
      </c>
      <c r="CZ32" s="4">
        <v>90</v>
      </c>
      <c r="DA32" s="4">
        <v>90</v>
      </c>
      <c r="DB32" s="4">
        <v>92</v>
      </c>
      <c r="DC32" s="4">
        <v>92</v>
      </c>
      <c r="DD32" s="4">
        <v>92</v>
      </c>
      <c r="DE32" s="4">
        <v>91</v>
      </c>
      <c r="DF32" s="4">
        <v>93</v>
      </c>
      <c r="DG32" s="4">
        <v>92</v>
      </c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</row>
    <row r="33" spans="1:161" x14ac:dyDescent="0.4">
      <c r="A33" s="23" t="s">
        <v>142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</row>
    <row r="34" spans="1:161" x14ac:dyDescent="0.4">
      <c r="A34" s="22" t="s">
        <v>143</v>
      </c>
      <c r="B34" s="16" t="s">
        <v>144</v>
      </c>
      <c r="C34" s="16" t="s">
        <v>145</v>
      </c>
      <c r="D34" s="16" t="s">
        <v>146</v>
      </c>
      <c r="E34" s="16" t="s">
        <v>147</v>
      </c>
      <c r="F34" s="16" t="s">
        <v>148</v>
      </c>
      <c r="G34" s="16" t="s">
        <v>149</v>
      </c>
      <c r="H34" s="16" t="s">
        <v>150</v>
      </c>
      <c r="I34" s="16" t="s">
        <v>151</v>
      </c>
      <c r="J34" s="16" t="s">
        <v>152</v>
      </c>
      <c r="K34" s="16" t="s">
        <v>144</v>
      </c>
      <c r="L34" s="16" t="s">
        <v>144</v>
      </c>
      <c r="M34" s="16" t="s">
        <v>153</v>
      </c>
      <c r="N34" s="16" t="s">
        <v>153</v>
      </c>
      <c r="O34" s="16" t="s">
        <v>153</v>
      </c>
      <c r="P34" s="16" t="s">
        <v>154</v>
      </c>
      <c r="Q34" s="16" t="s">
        <v>154</v>
      </c>
      <c r="R34" s="16" t="s">
        <v>154</v>
      </c>
      <c r="S34" s="16" t="s">
        <v>154</v>
      </c>
      <c r="T34" s="16" t="s">
        <v>155</v>
      </c>
      <c r="U34" s="16" t="s">
        <v>155</v>
      </c>
      <c r="V34" s="16" t="s">
        <v>155</v>
      </c>
      <c r="W34" s="16" t="s">
        <v>155</v>
      </c>
      <c r="X34" s="16" t="s">
        <v>156</v>
      </c>
      <c r="Y34" s="16" t="s">
        <v>156</v>
      </c>
      <c r="Z34" s="16" t="s">
        <v>157</v>
      </c>
      <c r="AA34" s="16" t="s">
        <v>158</v>
      </c>
      <c r="AB34" s="16" t="s">
        <v>158</v>
      </c>
      <c r="AC34" s="17" t="s">
        <v>158</v>
      </c>
      <c r="AD34" s="1"/>
      <c r="AE34" s="16" t="s">
        <v>159</v>
      </c>
      <c r="AF34" s="16" t="s">
        <v>159</v>
      </c>
      <c r="AG34" s="16" t="s">
        <v>160</v>
      </c>
      <c r="AH34" s="16" t="s">
        <v>160</v>
      </c>
      <c r="AI34" s="16" t="s">
        <v>160</v>
      </c>
      <c r="AJ34" s="16" t="s">
        <v>161</v>
      </c>
      <c r="AK34" s="16" t="s">
        <v>161</v>
      </c>
      <c r="AL34" s="16" t="s">
        <v>162</v>
      </c>
      <c r="AM34" s="16" t="s">
        <v>162</v>
      </c>
      <c r="AN34" s="16" t="s">
        <v>163</v>
      </c>
      <c r="AO34" s="16" t="s">
        <v>163</v>
      </c>
      <c r="AP34" s="16" t="s">
        <v>164</v>
      </c>
      <c r="AQ34" s="16" t="s">
        <v>165</v>
      </c>
      <c r="AR34" s="16" t="s">
        <v>165</v>
      </c>
      <c r="AS34" s="16" t="s">
        <v>166</v>
      </c>
      <c r="AT34" s="16" t="s">
        <v>166</v>
      </c>
      <c r="AU34" s="16" t="s">
        <v>167</v>
      </c>
      <c r="AV34" s="16" t="s">
        <v>168</v>
      </c>
      <c r="AW34" s="16" t="s">
        <v>168</v>
      </c>
      <c r="AX34" s="16" t="s">
        <v>168</v>
      </c>
      <c r="AY34" s="16" t="s">
        <v>169</v>
      </c>
      <c r="AZ34" s="16" t="s">
        <v>169</v>
      </c>
      <c r="BA34" s="16" t="s">
        <v>170</v>
      </c>
      <c r="BB34" s="16" t="s">
        <v>170</v>
      </c>
      <c r="BC34" s="16" t="s">
        <v>171</v>
      </c>
      <c r="BD34" s="16" t="s">
        <v>171</v>
      </c>
      <c r="BE34" s="16" t="s">
        <v>172</v>
      </c>
      <c r="BF34" s="16" t="s">
        <v>172</v>
      </c>
      <c r="BG34" s="16" t="s">
        <v>173</v>
      </c>
      <c r="BH34" s="16" t="s">
        <v>173</v>
      </c>
      <c r="BI34" s="16" t="s">
        <v>174</v>
      </c>
      <c r="BJ34" s="16" t="s">
        <v>174</v>
      </c>
      <c r="BK34" s="16" t="s">
        <v>175</v>
      </c>
      <c r="BL34" s="16" t="s">
        <v>175</v>
      </c>
      <c r="BM34" s="16" t="s">
        <v>175</v>
      </c>
      <c r="BN34" s="16" t="s">
        <v>176</v>
      </c>
      <c r="BO34" s="16" t="s">
        <v>177</v>
      </c>
      <c r="BP34" s="16" t="s">
        <v>177</v>
      </c>
      <c r="BQ34" s="16" t="s">
        <v>178</v>
      </c>
      <c r="BR34" s="16" t="s">
        <v>178</v>
      </c>
      <c r="BS34" s="16" t="s">
        <v>179</v>
      </c>
      <c r="BT34" s="16" t="s">
        <v>179</v>
      </c>
      <c r="BU34" s="16" t="s">
        <v>180</v>
      </c>
      <c r="BV34" s="16" t="s">
        <v>180</v>
      </c>
      <c r="BW34" s="16" t="s">
        <v>180</v>
      </c>
      <c r="BX34" s="16" t="s">
        <v>181</v>
      </c>
      <c r="BY34" s="16" t="s">
        <v>181</v>
      </c>
      <c r="BZ34" s="16" t="s">
        <v>181</v>
      </c>
      <c r="CA34" s="16" t="s">
        <v>182</v>
      </c>
      <c r="CB34" s="16" t="s">
        <v>182</v>
      </c>
      <c r="CC34" s="16" t="s">
        <v>182</v>
      </c>
      <c r="CD34" s="16" t="s">
        <v>183</v>
      </c>
      <c r="CE34" s="16" t="s">
        <v>184</v>
      </c>
      <c r="CF34" s="16" t="s">
        <v>185</v>
      </c>
      <c r="CG34" s="16" t="s">
        <v>185</v>
      </c>
      <c r="CH34" s="16" t="s">
        <v>185</v>
      </c>
      <c r="CI34" s="16" t="s">
        <v>186</v>
      </c>
      <c r="CJ34" s="16" t="s">
        <v>186</v>
      </c>
      <c r="CK34" s="16" t="s">
        <v>186</v>
      </c>
      <c r="CL34" s="16" t="s">
        <v>187</v>
      </c>
      <c r="CM34" s="16" t="s">
        <v>187</v>
      </c>
      <c r="CN34" s="16" t="s">
        <v>188</v>
      </c>
      <c r="CO34" s="16" t="s">
        <v>189</v>
      </c>
      <c r="CP34" s="16" t="s">
        <v>189</v>
      </c>
      <c r="CQ34" s="16" t="s">
        <v>190</v>
      </c>
      <c r="CR34" s="16" t="s">
        <v>190</v>
      </c>
      <c r="CS34" s="16" t="s">
        <v>190</v>
      </c>
      <c r="CT34" s="16" t="s">
        <v>191</v>
      </c>
      <c r="CU34" s="16" t="s">
        <v>191</v>
      </c>
      <c r="CV34" s="16" t="s">
        <v>191</v>
      </c>
      <c r="CW34" s="16" t="s">
        <v>191</v>
      </c>
      <c r="CX34" s="16" t="s">
        <v>191</v>
      </c>
      <c r="CY34" s="16" t="s">
        <v>191</v>
      </c>
      <c r="CZ34" s="16" t="s">
        <v>191</v>
      </c>
      <c r="DA34" s="16" t="s">
        <v>191</v>
      </c>
      <c r="DB34" s="16" t="s">
        <v>191</v>
      </c>
      <c r="DC34" s="16" t="s">
        <v>191</v>
      </c>
      <c r="DD34" s="16" t="s">
        <v>191</v>
      </c>
      <c r="DE34" s="16" t="s">
        <v>191</v>
      </c>
      <c r="DF34" s="16" t="s">
        <v>191</v>
      </c>
      <c r="DG34" s="17" t="s">
        <v>191</v>
      </c>
      <c r="DH34" s="18"/>
      <c r="DI34" s="18"/>
      <c r="DJ34" s="18"/>
      <c r="DK34" s="18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</row>
    <row r="35" spans="1:161" x14ac:dyDescent="0.4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</row>
    <row r="36" spans="1:161" x14ac:dyDescent="0.4">
      <c r="A36" s="2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</row>
    <row r="37" spans="1:161" x14ac:dyDescent="0.4">
      <c r="A37" s="2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</row>
    <row r="38" spans="1:161" x14ac:dyDescent="0.4">
      <c r="A38" s="2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</row>
    <row r="39" spans="1:161" x14ac:dyDescent="0.4">
      <c r="A39" s="2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</row>
    <row r="40" spans="1:161" x14ac:dyDescent="0.4">
      <c r="A40" s="2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</row>
    <row r="41" spans="1:161" x14ac:dyDescent="0.4">
      <c r="A41" s="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</row>
    <row r="42" spans="1:161" x14ac:dyDescent="0.4">
      <c r="A42" s="2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</row>
    <row r="43" spans="1:161" x14ac:dyDescent="0.4">
      <c r="A43" s="22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</row>
    <row r="44" spans="1:161" x14ac:dyDescent="0.4">
      <c r="A44" s="2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20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</row>
    <row r="45" spans="1:161" x14ac:dyDescent="0.4">
      <c r="A45" s="2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</row>
    <row r="46" spans="1:161" x14ac:dyDescent="0.4">
      <c r="A46" s="2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</row>
    <row r="47" spans="1:161" x14ac:dyDescent="0.4">
      <c r="A47" s="2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</row>
    <row r="48" spans="1:161" x14ac:dyDescent="0.4">
      <c r="A48" s="2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</row>
    <row r="49" spans="1:161" x14ac:dyDescent="0.4">
      <c r="A49" s="3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</row>
    <row r="50" spans="1:161" x14ac:dyDescent="0.4">
      <c r="A50" s="2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</row>
    <row r="51" spans="1:161" x14ac:dyDescent="0.4">
      <c r="A51" s="2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</row>
    <row r="52" spans="1:161" x14ac:dyDescent="0.4">
      <c r="A52" s="2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</row>
    <row r="53" spans="1:161" x14ac:dyDescent="0.4">
      <c r="A53" s="2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</row>
    <row r="54" spans="1:161" x14ac:dyDescent="0.4">
      <c r="A54" s="2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</row>
    <row r="55" spans="1:161" x14ac:dyDescent="0.4">
      <c r="A55" s="2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</row>
    <row r="56" spans="1:161" x14ac:dyDescent="0.4">
      <c r="A56" s="2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</row>
    <row r="57" spans="1:161" x14ac:dyDescent="0.4">
      <c r="A57" s="2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</row>
    <row r="58" spans="1:161" x14ac:dyDescent="0.4">
      <c r="A58" s="2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</row>
    <row r="59" spans="1:161" x14ac:dyDescent="0.4">
      <c r="A59" s="2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</row>
    <row r="60" spans="1:161" x14ac:dyDescent="0.4">
      <c r="A60" s="2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</row>
    <row r="61" spans="1:161" x14ac:dyDescent="0.4">
      <c r="A61" s="2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</row>
    <row r="62" spans="1:161" x14ac:dyDescent="0.4">
      <c r="A62" s="2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</row>
    <row r="63" spans="1:161" x14ac:dyDescent="0.4">
      <c r="A63" s="2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</row>
    <row r="64" spans="1:161" x14ac:dyDescent="0.4">
      <c r="A64" s="2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</row>
    <row r="65" spans="1:161" x14ac:dyDescent="0.4">
      <c r="A65" s="2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</row>
    <row r="66" spans="1:161" x14ac:dyDescent="0.4">
      <c r="A66" s="2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</row>
    <row r="67" spans="1:161" x14ac:dyDescent="0.4">
      <c r="A67" s="2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</row>
    <row r="68" spans="1:161" x14ac:dyDescent="0.4">
      <c r="A68" s="2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</row>
    <row r="69" spans="1:161" x14ac:dyDescent="0.4">
      <c r="A69" s="2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</row>
    <row r="70" spans="1:161" x14ac:dyDescent="0.4">
      <c r="A70" s="2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</row>
    <row r="71" spans="1:161" x14ac:dyDescent="0.4">
      <c r="A71" s="2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</row>
    <row r="72" spans="1:161" x14ac:dyDescent="0.4">
      <c r="A72" s="2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</row>
    <row r="73" spans="1:161" x14ac:dyDescent="0.4">
      <c r="A73" s="2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</row>
    <row r="74" spans="1:161" x14ac:dyDescent="0.4">
      <c r="A74" s="2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</row>
    <row r="75" spans="1:161" x14ac:dyDescent="0.4">
      <c r="A75" s="2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</row>
    <row r="76" spans="1:161" x14ac:dyDescent="0.4">
      <c r="A76" s="2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</row>
    <row r="77" spans="1:161" x14ac:dyDescent="0.4">
      <c r="A77" s="2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</row>
    <row r="78" spans="1:161" x14ac:dyDescent="0.4">
      <c r="A78" s="2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</row>
    <row r="79" spans="1:161" x14ac:dyDescent="0.4">
      <c r="A79" s="2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</row>
    <row r="80" spans="1:161" x14ac:dyDescent="0.4">
      <c r="A80" s="2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</row>
    <row r="81" spans="1:161" x14ac:dyDescent="0.4">
      <c r="A81" s="2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</row>
    <row r="82" spans="1:161" x14ac:dyDescent="0.4">
      <c r="A82" s="2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</row>
    <row r="83" spans="1:161" x14ac:dyDescent="0.4">
      <c r="A83" s="2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</row>
    <row r="84" spans="1:161" x14ac:dyDescent="0.4">
      <c r="A84" s="2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</row>
    <row r="85" spans="1:161" x14ac:dyDescent="0.4">
      <c r="A85" s="2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</row>
    <row r="86" spans="1:161" x14ac:dyDescent="0.4">
      <c r="A86" s="2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</row>
    <row r="87" spans="1:161" x14ac:dyDescent="0.4">
      <c r="A87" s="2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</row>
    <row r="88" spans="1:161" x14ac:dyDescent="0.4">
      <c r="A88" s="2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</row>
    <row r="89" spans="1:161" x14ac:dyDescent="0.4">
      <c r="A89" s="2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</row>
    <row r="90" spans="1:161" x14ac:dyDescent="0.4">
      <c r="A90" s="2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</row>
    <row r="91" spans="1:161" x14ac:dyDescent="0.4">
      <c r="A91" s="2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</row>
    <row r="92" spans="1:161" x14ac:dyDescent="0.4">
      <c r="A92" s="2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</row>
    <row r="93" spans="1:161" x14ac:dyDescent="0.4">
      <c r="A93" s="2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</row>
    <row r="94" spans="1:161" x14ac:dyDescent="0.4">
      <c r="A94" s="2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</row>
    <row r="95" spans="1:161" x14ac:dyDescent="0.4">
      <c r="A95" s="2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</row>
    <row r="96" spans="1:161" x14ac:dyDescent="0.4">
      <c r="A96" s="2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</row>
    <row r="97" spans="1:161" x14ac:dyDescent="0.4">
      <c r="A97" s="2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</row>
    <row r="98" spans="1:161" x14ac:dyDescent="0.4">
      <c r="A98" s="2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</row>
    <row r="99" spans="1:161" x14ac:dyDescent="0.4">
      <c r="A99" s="2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</row>
    <row r="100" spans="1:161" x14ac:dyDescent="0.4">
      <c r="A100" s="2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</row>
    <row r="101" spans="1:161" x14ac:dyDescent="0.4">
      <c r="A101" s="2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</row>
    <row r="102" spans="1:161" x14ac:dyDescent="0.4">
      <c r="A102" s="2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</row>
    <row r="103" spans="1:161" x14ac:dyDescent="0.4">
      <c r="A103" s="2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</row>
    <row r="104" spans="1:161" x14ac:dyDescent="0.4">
      <c r="A104" s="2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</row>
    <row r="105" spans="1:161" x14ac:dyDescent="0.4">
      <c r="A105" s="2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</row>
    <row r="106" spans="1:161" x14ac:dyDescent="0.4">
      <c r="A106" s="2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</row>
    <row r="107" spans="1:161" x14ac:dyDescent="0.4">
      <c r="A107" s="2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</row>
    <row r="108" spans="1:161" x14ac:dyDescent="0.4">
      <c r="A108" s="2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</row>
    <row r="109" spans="1:161" x14ac:dyDescent="0.4">
      <c r="A109" s="2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</row>
    <row r="110" spans="1:161" x14ac:dyDescent="0.4">
      <c r="A110" s="2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</row>
    <row r="111" spans="1:161" x14ac:dyDescent="0.4">
      <c r="A111" s="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</row>
    <row r="112" spans="1:161" x14ac:dyDescent="0.4">
      <c r="A112" s="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</row>
    <row r="113" spans="1:161" x14ac:dyDescent="0.4">
      <c r="A113" s="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</row>
    <row r="114" spans="1:161" x14ac:dyDescent="0.4">
      <c r="A114" s="2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</row>
    <row r="115" spans="1:161" x14ac:dyDescent="0.4">
      <c r="A115" s="2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</row>
    <row r="116" spans="1:161" x14ac:dyDescent="0.4">
      <c r="A116" s="2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</row>
    <row r="117" spans="1:161" x14ac:dyDescent="0.4">
      <c r="A117" s="2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</row>
    <row r="118" spans="1:161" x14ac:dyDescent="0.4">
      <c r="A118" s="2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</row>
    <row r="119" spans="1:161" x14ac:dyDescent="0.4">
      <c r="A119" s="2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</row>
    <row r="120" spans="1:161" x14ac:dyDescent="0.4">
      <c r="A120" s="2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</row>
    <row r="121" spans="1:161" x14ac:dyDescent="0.4">
      <c r="A121" s="2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</row>
    <row r="122" spans="1:161" x14ac:dyDescent="0.4">
      <c r="A122" s="2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</row>
    <row r="123" spans="1:161" x14ac:dyDescent="0.4">
      <c r="A123" s="2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</row>
    <row r="124" spans="1:161" x14ac:dyDescent="0.4">
      <c r="A124" s="2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</row>
    <row r="125" spans="1:161" x14ac:dyDescent="0.4">
      <c r="A125" s="2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</row>
    <row r="126" spans="1:161" x14ac:dyDescent="0.4">
      <c r="A126" s="2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</row>
    <row r="127" spans="1:161" x14ac:dyDescent="0.4">
      <c r="A127" s="2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</row>
    <row r="128" spans="1:161" x14ac:dyDescent="0.4">
      <c r="A128" s="2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</row>
    <row r="129" spans="1:161" x14ac:dyDescent="0.4">
      <c r="A129" s="2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</row>
    <row r="130" spans="1:161" x14ac:dyDescent="0.4">
      <c r="A130" s="2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</row>
    <row r="131" spans="1:161" x14ac:dyDescent="0.4">
      <c r="A131" s="2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</row>
    <row r="132" spans="1:161" x14ac:dyDescent="0.4">
      <c r="A132" s="2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</row>
    <row r="133" spans="1:161" x14ac:dyDescent="0.4">
      <c r="A133" s="2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</row>
    <row r="134" spans="1:161" x14ac:dyDescent="0.4">
      <c r="A134" s="2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</row>
    <row r="135" spans="1:161" x14ac:dyDescent="0.4">
      <c r="A135" s="2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</row>
    <row r="136" spans="1:161" x14ac:dyDescent="0.4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</row>
    <row r="137" spans="1:161" x14ac:dyDescent="0.4">
      <c r="A137" s="2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</row>
    <row r="138" spans="1:161" x14ac:dyDescent="0.4">
      <c r="A138" s="2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</row>
    <row r="139" spans="1:161" x14ac:dyDescent="0.4">
      <c r="A139" s="2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</row>
    <row r="140" spans="1:161" x14ac:dyDescent="0.4">
      <c r="A140" s="2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</row>
    <row r="141" spans="1:161" x14ac:dyDescent="0.4">
      <c r="A141" s="2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</row>
    <row r="142" spans="1:161" x14ac:dyDescent="0.4">
      <c r="A142" s="2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</row>
    <row r="143" spans="1:161" x14ac:dyDescent="0.4">
      <c r="A143" s="2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</row>
    <row r="144" spans="1:161" x14ac:dyDescent="0.4">
      <c r="A144" s="2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</row>
    <row r="145" spans="1:161" x14ac:dyDescent="0.4">
      <c r="A145" s="2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</row>
    <row r="146" spans="1:161" x14ac:dyDescent="0.4">
      <c r="A146" s="2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</row>
    <row r="147" spans="1:161" x14ac:dyDescent="0.4">
      <c r="A147" s="2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</row>
    <row r="148" spans="1:161" x14ac:dyDescent="0.4">
      <c r="A148" s="2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</row>
    <row r="149" spans="1:161" x14ac:dyDescent="0.4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</row>
    <row r="150" spans="1:161" x14ac:dyDescent="0.4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</row>
    <row r="151" spans="1:161" x14ac:dyDescent="0.4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</row>
    <row r="152" spans="1:161" x14ac:dyDescent="0.4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</row>
    <row r="153" spans="1:161" x14ac:dyDescent="0.4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</row>
    <row r="154" spans="1:161" x14ac:dyDescent="0.4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</row>
    <row r="155" spans="1:161" x14ac:dyDescent="0.4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</row>
    <row r="156" spans="1:161" x14ac:dyDescent="0.4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</row>
    <row r="157" spans="1:161" x14ac:dyDescent="0.4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</row>
    <row r="158" spans="1:161" x14ac:dyDescent="0.4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</row>
    <row r="159" spans="1:161" x14ac:dyDescent="0.4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</row>
    <row r="160" spans="1:161" x14ac:dyDescent="0.4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</row>
    <row r="161" spans="1:161" x14ac:dyDescent="0.4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</row>
    <row r="162" spans="1:161" x14ac:dyDescent="0.4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</row>
    <row r="163" spans="1:161" x14ac:dyDescent="0.4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</row>
    <row r="164" spans="1:161" x14ac:dyDescent="0.4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</row>
    <row r="165" spans="1:161" x14ac:dyDescent="0.4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</row>
    <row r="166" spans="1:161" x14ac:dyDescent="0.4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</row>
    <row r="167" spans="1:161" x14ac:dyDescent="0.4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</row>
    <row r="168" spans="1:161" x14ac:dyDescent="0.4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</row>
    <row r="169" spans="1:161" x14ac:dyDescent="0.4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</row>
    <row r="170" spans="1:161" x14ac:dyDescent="0.4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</row>
    <row r="171" spans="1:161" x14ac:dyDescent="0.4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</row>
    <row r="172" spans="1:161" x14ac:dyDescent="0.4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</row>
    <row r="173" spans="1:161" x14ac:dyDescent="0.4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</row>
    <row r="174" spans="1:161" x14ac:dyDescent="0.4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</row>
    <row r="175" spans="1:161" x14ac:dyDescent="0.4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</row>
    <row r="176" spans="1:161" x14ac:dyDescent="0.4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</row>
    <row r="177" spans="1:161" x14ac:dyDescent="0.4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</row>
    <row r="178" spans="1:161" x14ac:dyDescent="0.4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</row>
    <row r="179" spans="1:161" x14ac:dyDescent="0.4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</row>
    <row r="180" spans="1:161" x14ac:dyDescent="0.4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</row>
    <row r="181" spans="1:161" x14ac:dyDescent="0.4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</row>
    <row r="182" spans="1:161" x14ac:dyDescent="0.4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</row>
    <row r="183" spans="1:161" x14ac:dyDescent="0.4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</row>
    <row r="184" spans="1:161" x14ac:dyDescent="0.4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</row>
    <row r="185" spans="1:161" x14ac:dyDescent="0.4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</row>
    <row r="186" spans="1:161" x14ac:dyDescent="0.4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</row>
    <row r="187" spans="1:161" x14ac:dyDescent="0.4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</row>
    <row r="188" spans="1:161" x14ac:dyDescent="0.4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</row>
    <row r="189" spans="1:161" x14ac:dyDescent="0.4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</row>
    <row r="190" spans="1:161" x14ac:dyDescent="0.4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</row>
    <row r="191" spans="1:161" x14ac:dyDescent="0.4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</row>
    <row r="192" spans="1:161" x14ac:dyDescent="0.4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</row>
    <row r="193" spans="1:161" x14ac:dyDescent="0.4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</row>
    <row r="194" spans="1:161" x14ac:dyDescent="0.4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</row>
    <row r="195" spans="1:161" x14ac:dyDescent="0.4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</row>
    <row r="196" spans="1:161" x14ac:dyDescent="0.4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</row>
    <row r="197" spans="1:161" x14ac:dyDescent="0.4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</row>
    <row r="198" spans="1:161" x14ac:dyDescent="0.4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</row>
    <row r="199" spans="1:161" x14ac:dyDescent="0.4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</row>
    <row r="200" spans="1:161" x14ac:dyDescent="0.4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</row>
    <row r="201" spans="1:161" x14ac:dyDescent="0.4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</row>
    <row r="202" spans="1:161" x14ac:dyDescent="0.4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</row>
    <row r="203" spans="1:161" x14ac:dyDescent="0.4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</row>
    <row r="204" spans="1:161" x14ac:dyDescent="0.4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</row>
    <row r="205" spans="1:161" x14ac:dyDescent="0.4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</row>
    <row r="206" spans="1:161" x14ac:dyDescent="0.4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</row>
    <row r="207" spans="1:161" x14ac:dyDescent="0.4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</row>
    <row r="208" spans="1:161" x14ac:dyDescent="0.4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</row>
    <row r="209" spans="1:161" x14ac:dyDescent="0.4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</row>
    <row r="210" spans="1:161" x14ac:dyDescent="0.4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</row>
    <row r="211" spans="1:161" x14ac:dyDescent="0.4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</row>
    <row r="212" spans="1:161" x14ac:dyDescent="0.4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</row>
    <row r="213" spans="1:161" x14ac:dyDescent="0.4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</row>
    <row r="214" spans="1:161" x14ac:dyDescent="0.4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</row>
    <row r="215" spans="1:161" x14ac:dyDescent="0.4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</row>
    <row r="216" spans="1:161" x14ac:dyDescent="0.4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</row>
    <row r="217" spans="1:161" x14ac:dyDescent="0.4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</row>
    <row r="218" spans="1:161" x14ac:dyDescent="0.4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</row>
    <row r="219" spans="1:161" x14ac:dyDescent="0.4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</row>
    <row r="220" spans="1:161" x14ac:dyDescent="0.4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</row>
    <row r="221" spans="1:161" x14ac:dyDescent="0.4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</row>
    <row r="222" spans="1:161" x14ac:dyDescent="0.4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</row>
    <row r="223" spans="1:161" x14ac:dyDescent="0.4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</row>
    <row r="224" spans="1:161" x14ac:dyDescent="0.4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</row>
    <row r="225" spans="1:161" x14ac:dyDescent="0.4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</row>
    <row r="226" spans="1:161" x14ac:dyDescent="0.4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</row>
    <row r="227" spans="1:161" x14ac:dyDescent="0.4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</row>
    <row r="228" spans="1:161" x14ac:dyDescent="0.4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</row>
    <row r="229" spans="1:161" x14ac:dyDescent="0.4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</row>
    <row r="230" spans="1:161" x14ac:dyDescent="0.4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</row>
    <row r="231" spans="1:161" x14ac:dyDescent="0.4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</row>
    <row r="232" spans="1:161" x14ac:dyDescent="0.4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</row>
    <row r="233" spans="1:161" x14ac:dyDescent="0.4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</row>
    <row r="234" spans="1:161" x14ac:dyDescent="0.4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</row>
    <row r="235" spans="1:161" x14ac:dyDescent="0.4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</row>
    <row r="236" spans="1:161" x14ac:dyDescent="0.4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</row>
    <row r="237" spans="1:161" x14ac:dyDescent="0.4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</row>
    <row r="238" spans="1:161" x14ac:dyDescent="0.4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</row>
    <row r="239" spans="1:161" x14ac:dyDescent="0.4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</row>
    <row r="240" spans="1:161" x14ac:dyDescent="0.4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</row>
    <row r="241" spans="1:161" x14ac:dyDescent="0.4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</row>
    <row r="242" spans="1:161" x14ac:dyDescent="0.4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</row>
    <row r="243" spans="1:161" x14ac:dyDescent="0.4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</row>
    <row r="244" spans="1:161" x14ac:dyDescent="0.4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</row>
    <row r="245" spans="1:161" x14ac:dyDescent="0.4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</row>
    <row r="246" spans="1:161" x14ac:dyDescent="0.4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</row>
    <row r="247" spans="1:161" x14ac:dyDescent="0.4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</row>
    <row r="248" spans="1:161" x14ac:dyDescent="0.4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</row>
    <row r="249" spans="1:161" x14ac:dyDescent="0.4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</row>
    <row r="250" spans="1:161" x14ac:dyDescent="0.4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</row>
    <row r="251" spans="1:161" x14ac:dyDescent="0.4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</row>
    <row r="252" spans="1:161" x14ac:dyDescent="0.4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</row>
    <row r="253" spans="1:161" x14ac:dyDescent="0.4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</row>
    <row r="254" spans="1:161" x14ac:dyDescent="0.4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</row>
    <row r="255" spans="1:161" x14ac:dyDescent="0.4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</row>
    <row r="256" spans="1:161" x14ac:dyDescent="0.4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</row>
    <row r="257" spans="1:161" x14ac:dyDescent="0.4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</row>
    <row r="258" spans="1:161" x14ac:dyDescent="0.4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</row>
    <row r="259" spans="1:161" x14ac:dyDescent="0.4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</row>
    <row r="260" spans="1:161" x14ac:dyDescent="0.4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</row>
    <row r="261" spans="1:161" x14ac:dyDescent="0.4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</row>
    <row r="262" spans="1:161" x14ac:dyDescent="0.4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</row>
    <row r="263" spans="1:161" x14ac:dyDescent="0.4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</row>
    <row r="264" spans="1:161" x14ac:dyDescent="0.4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</row>
    <row r="265" spans="1:161" x14ac:dyDescent="0.4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</row>
    <row r="266" spans="1:161" x14ac:dyDescent="0.4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</row>
    <row r="267" spans="1:161" x14ac:dyDescent="0.4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</row>
    <row r="268" spans="1:161" x14ac:dyDescent="0.4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</row>
    <row r="269" spans="1:161" x14ac:dyDescent="0.4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</row>
    <row r="270" spans="1:161" x14ac:dyDescent="0.4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</row>
    <row r="271" spans="1:161" x14ac:dyDescent="0.4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</row>
    <row r="272" spans="1:161" x14ac:dyDescent="0.4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</row>
    <row r="273" spans="1:161" x14ac:dyDescent="0.4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</row>
    <row r="274" spans="1:161" x14ac:dyDescent="0.4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</row>
    <row r="275" spans="1:161" x14ac:dyDescent="0.4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</row>
    <row r="276" spans="1:161" x14ac:dyDescent="0.4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</row>
    <row r="277" spans="1:161" x14ac:dyDescent="0.4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</row>
    <row r="278" spans="1:161" x14ac:dyDescent="0.4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</row>
    <row r="279" spans="1:161" x14ac:dyDescent="0.4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</row>
    <row r="280" spans="1:161" x14ac:dyDescent="0.4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</row>
    <row r="281" spans="1:161" x14ac:dyDescent="0.4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</row>
    <row r="282" spans="1:161" x14ac:dyDescent="0.4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</row>
    <row r="283" spans="1:161" x14ac:dyDescent="0.4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</row>
    <row r="284" spans="1:161" x14ac:dyDescent="0.4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</row>
    <row r="285" spans="1:161" x14ac:dyDescent="0.4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</row>
    <row r="286" spans="1:161" x14ac:dyDescent="0.4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</row>
    <row r="287" spans="1:161" x14ac:dyDescent="0.4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</row>
    <row r="288" spans="1:161" x14ac:dyDescent="0.4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</row>
    <row r="289" spans="1:161" x14ac:dyDescent="0.4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</row>
    <row r="290" spans="1:161" x14ac:dyDescent="0.4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</row>
    <row r="291" spans="1:161" x14ac:dyDescent="0.4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</row>
    <row r="292" spans="1:161" x14ac:dyDescent="0.4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</row>
    <row r="293" spans="1:161" x14ac:dyDescent="0.4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</row>
    <row r="294" spans="1:161" x14ac:dyDescent="0.4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</row>
    <row r="295" spans="1:161" x14ac:dyDescent="0.4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</row>
    <row r="296" spans="1:161" x14ac:dyDescent="0.4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</row>
    <row r="297" spans="1:161" x14ac:dyDescent="0.4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</row>
    <row r="298" spans="1:161" x14ac:dyDescent="0.4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</row>
    <row r="299" spans="1:161" x14ac:dyDescent="0.4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</row>
    <row r="300" spans="1:161" x14ac:dyDescent="0.4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</row>
    <row r="301" spans="1:161" x14ac:dyDescent="0.4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</row>
    <row r="302" spans="1:161" x14ac:dyDescent="0.4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</row>
    <row r="303" spans="1:161" x14ac:dyDescent="0.4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</row>
    <row r="304" spans="1:161" x14ac:dyDescent="0.4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</row>
    <row r="305" spans="1:161" x14ac:dyDescent="0.4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</row>
    <row r="306" spans="1:161" x14ac:dyDescent="0.4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</row>
    <row r="307" spans="1:161" x14ac:dyDescent="0.4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</row>
    <row r="308" spans="1:161" x14ac:dyDescent="0.4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</row>
    <row r="309" spans="1:161" x14ac:dyDescent="0.4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</row>
    <row r="310" spans="1:161" x14ac:dyDescent="0.4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</row>
    <row r="311" spans="1:161" x14ac:dyDescent="0.4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</row>
    <row r="312" spans="1:161" x14ac:dyDescent="0.4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</row>
    <row r="313" spans="1:161" x14ac:dyDescent="0.4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</row>
    <row r="314" spans="1:161" x14ac:dyDescent="0.4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</row>
    <row r="315" spans="1:161" x14ac:dyDescent="0.4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</row>
    <row r="316" spans="1:161" x14ac:dyDescent="0.4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</row>
    <row r="317" spans="1:161" x14ac:dyDescent="0.4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</row>
    <row r="318" spans="1:161" x14ac:dyDescent="0.4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</row>
    <row r="319" spans="1:161" x14ac:dyDescent="0.4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</row>
    <row r="320" spans="1:161" x14ac:dyDescent="0.4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</row>
    <row r="321" spans="1:161" x14ac:dyDescent="0.4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</row>
    <row r="322" spans="1:161" x14ac:dyDescent="0.4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</row>
    <row r="323" spans="1:161" x14ac:dyDescent="0.4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</row>
    <row r="324" spans="1:161" x14ac:dyDescent="0.4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</row>
    <row r="325" spans="1:161" x14ac:dyDescent="0.4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</row>
    <row r="326" spans="1:161" x14ac:dyDescent="0.4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</row>
    <row r="327" spans="1:161" x14ac:dyDescent="0.4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</row>
    <row r="328" spans="1:161" x14ac:dyDescent="0.4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</row>
    <row r="329" spans="1:161" x14ac:dyDescent="0.4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</row>
    <row r="330" spans="1:161" x14ac:dyDescent="0.4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</row>
    <row r="331" spans="1:161" x14ac:dyDescent="0.4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</row>
    <row r="332" spans="1:161" x14ac:dyDescent="0.4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</row>
    <row r="333" spans="1:161" x14ac:dyDescent="0.4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</row>
    <row r="334" spans="1:161" x14ac:dyDescent="0.4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</row>
    <row r="335" spans="1:161" x14ac:dyDescent="0.4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</row>
    <row r="336" spans="1:161" x14ac:dyDescent="0.4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</row>
    <row r="337" spans="1:161" x14ac:dyDescent="0.4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</row>
    <row r="338" spans="1:161" x14ac:dyDescent="0.4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</row>
    <row r="339" spans="1:161" x14ac:dyDescent="0.4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</row>
    <row r="340" spans="1:161" x14ac:dyDescent="0.4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</row>
    <row r="341" spans="1:161" x14ac:dyDescent="0.4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</row>
    <row r="342" spans="1:161" x14ac:dyDescent="0.4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</row>
    <row r="343" spans="1:161" x14ac:dyDescent="0.4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</row>
    <row r="344" spans="1:161" x14ac:dyDescent="0.4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</row>
    <row r="345" spans="1:161" x14ac:dyDescent="0.4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</row>
    <row r="346" spans="1:161" x14ac:dyDescent="0.4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</row>
    <row r="347" spans="1:161" x14ac:dyDescent="0.4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</row>
    <row r="348" spans="1:161" x14ac:dyDescent="0.4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</row>
    <row r="349" spans="1:161" x14ac:dyDescent="0.4">
      <c r="A349" s="2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</row>
    <row r="350" spans="1:161" x14ac:dyDescent="0.4">
      <c r="A350" s="2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</row>
    <row r="351" spans="1:161" x14ac:dyDescent="0.4">
      <c r="A351" s="2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</row>
    <row r="352" spans="1:161" x14ac:dyDescent="0.4">
      <c r="A352" s="2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</row>
    <row r="353" spans="1:161" x14ac:dyDescent="0.4">
      <c r="A353" s="2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</row>
    <row r="354" spans="1:161" x14ac:dyDescent="0.4">
      <c r="A354" s="2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</row>
    <row r="355" spans="1:161" x14ac:dyDescent="0.4">
      <c r="A355" s="2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</row>
    <row r="356" spans="1:161" x14ac:dyDescent="0.4">
      <c r="A356" s="2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</row>
    <row r="357" spans="1:161" x14ac:dyDescent="0.4">
      <c r="A357" s="2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</row>
    <row r="358" spans="1:161" x14ac:dyDescent="0.4">
      <c r="A358" s="2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</row>
    <row r="359" spans="1:161" x14ac:dyDescent="0.4">
      <c r="A359" s="2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</row>
    <row r="360" spans="1:161" x14ac:dyDescent="0.4">
      <c r="A360" s="2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</row>
    <row r="361" spans="1:161" x14ac:dyDescent="0.4">
      <c r="A361" s="2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</row>
    <row r="362" spans="1:161" x14ac:dyDescent="0.4">
      <c r="A362" s="2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</row>
    <row r="363" spans="1:161" x14ac:dyDescent="0.4">
      <c r="A363" s="2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</row>
    <row r="364" spans="1:161" x14ac:dyDescent="0.4">
      <c r="A364" s="2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</row>
    <row r="365" spans="1:161" x14ac:dyDescent="0.4">
      <c r="A365" s="2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</row>
    <row r="366" spans="1:161" x14ac:dyDescent="0.4">
      <c r="A366" s="2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</row>
    <row r="367" spans="1:161" x14ac:dyDescent="0.4">
      <c r="A367" s="2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</row>
    <row r="368" spans="1:161" x14ac:dyDescent="0.4">
      <c r="A368" s="2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</row>
    <row r="369" spans="1:161" x14ac:dyDescent="0.4">
      <c r="A369" s="2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</row>
    <row r="370" spans="1:161" x14ac:dyDescent="0.4">
      <c r="A370" s="2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</row>
    <row r="371" spans="1:161" x14ac:dyDescent="0.4">
      <c r="A371" s="2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</row>
    <row r="372" spans="1:161" x14ac:dyDescent="0.4">
      <c r="A372" s="2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</row>
    <row r="373" spans="1:161" x14ac:dyDescent="0.4">
      <c r="A373" s="2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</row>
    <row r="374" spans="1:161" x14ac:dyDescent="0.4">
      <c r="A374" s="2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</row>
    <row r="375" spans="1:161" x14ac:dyDescent="0.4">
      <c r="A375" s="2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</row>
    <row r="376" spans="1:161" x14ac:dyDescent="0.4">
      <c r="A376" s="2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</row>
    <row r="377" spans="1:161" x14ac:dyDescent="0.4">
      <c r="A377" s="2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</row>
    <row r="378" spans="1:161" x14ac:dyDescent="0.4">
      <c r="A378" s="2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</row>
    <row r="379" spans="1:161" x14ac:dyDescent="0.4">
      <c r="A379" s="2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</row>
    <row r="380" spans="1:161" x14ac:dyDescent="0.4">
      <c r="A380" s="2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</row>
    <row r="381" spans="1:161" x14ac:dyDescent="0.4">
      <c r="A381" s="2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</row>
    <row r="382" spans="1:161" x14ac:dyDescent="0.4">
      <c r="A382" s="2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</row>
    <row r="383" spans="1:161" x14ac:dyDescent="0.4">
      <c r="A383" s="2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</row>
    <row r="384" spans="1:161" x14ac:dyDescent="0.4">
      <c r="A384" s="2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</row>
    <row r="385" spans="1:161" x14ac:dyDescent="0.4">
      <c r="A385" s="2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</row>
    <row r="386" spans="1:161" x14ac:dyDescent="0.4">
      <c r="A386" s="2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</row>
    <row r="387" spans="1:161" x14ac:dyDescent="0.4">
      <c r="A387" s="2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</row>
    <row r="388" spans="1:161" x14ac:dyDescent="0.4">
      <c r="A388" s="2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</row>
    <row r="389" spans="1:161" x14ac:dyDescent="0.4">
      <c r="A389" s="2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</row>
    <row r="390" spans="1:161" x14ac:dyDescent="0.4">
      <c r="A390" s="2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</row>
    <row r="391" spans="1:161" x14ac:dyDescent="0.4">
      <c r="A391" s="2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</row>
    <row r="392" spans="1:161" x14ac:dyDescent="0.4">
      <c r="A392" s="2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</row>
    <row r="393" spans="1:161" x14ac:dyDescent="0.4">
      <c r="A393" s="2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</row>
    <row r="394" spans="1:161" x14ac:dyDescent="0.4">
      <c r="A394" s="2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</row>
    <row r="395" spans="1:161" x14ac:dyDescent="0.4">
      <c r="A395" s="2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</row>
    <row r="396" spans="1:161" x14ac:dyDescent="0.4">
      <c r="A396" s="2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</row>
    <row r="397" spans="1:161" x14ac:dyDescent="0.4">
      <c r="A397" s="2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</row>
    <row r="398" spans="1:161" x14ac:dyDescent="0.4">
      <c r="A398" s="2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</row>
    <row r="399" spans="1:161" x14ac:dyDescent="0.4">
      <c r="A399" s="2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</row>
    <row r="400" spans="1:161" x14ac:dyDescent="0.4">
      <c r="A400" s="2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</row>
    <row r="401" spans="1:161" x14ac:dyDescent="0.4">
      <c r="A401" s="2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</row>
    <row r="402" spans="1:161" x14ac:dyDescent="0.4">
      <c r="A402" s="2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</row>
    <row r="403" spans="1:161" x14ac:dyDescent="0.4">
      <c r="A403" s="2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</row>
    <row r="404" spans="1:161" x14ac:dyDescent="0.4">
      <c r="A404" s="2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</row>
    <row r="405" spans="1:161" x14ac:dyDescent="0.4">
      <c r="A405" s="2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</row>
    <row r="406" spans="1:161" x14ac:dyDescent="0.4">
      <c r="A406" s="2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</row>
    <row r="407" spans="1:161" x14ac:dyDescent="0.4">
      <c r="A407" s="2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</row>
    <row r="408" spans="1:161" x14ac:dyDescent="0.4">
      <c r="A408" s="2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</row>
    <row r="409" spans="1:161" x14ac:dyDescent="0.4">
      <c r="A409" s="2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</row>
    <row r="410" spans="1:161" x14ac:dyDescent="0.4">
      <c r="A410" s="2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</row>
    <row r="411" spans="1:161" x14ac:dyDescent="0.4">
      <c r="A411" s="2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</row>
    <row r="412" spans="1:161" x14ac:dyDescent="0.4">
      <c r="A412" s="2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</row>
    <row r="413" spans="1:161" x14ac:dyDescent="0.4">
      <c r="A413" s="2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</row>
    <row r="414" spans="1:161" x14ac:dyDescent="0.4">
      <c r="A414" s="2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</row>
    <row r="415" spans="1:161" x14ac:dyDescent="0.4">
      <c r="A415" s="2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</row>
    <row r="416" spans="1:161" x14ac:dyDescent="0.4">
      <c r="A416" s="2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</row>
    <row r="417" spans="1:161" x14ac:dyDescent="0.4">
      <c r="A417" s="2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</row>
    <row r="418" spans="1:161" x14ac:dyDescent="0.4">
      <c r="A418" s="2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</row>
    <row r="419" spans="1:161" x14ac:dyDescent="0.4">
      <c r="A419" s="2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</row>
    <row r="420" spans="1:161" x14ac:dyDescent="0.4">
      <c r="A420" s="2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</row>
    <row r="421" spans="1:161" x14ac:dyDescent="0.4">
      <c r="A421" s="2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</row>
    <row r="422" spans="1:161" x14ac:dyDescent="0.4">
      <c r="A422" s="2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</row>
    <row r="423" spans="1:161" x14ac:dyDescent="0.4">
      <c r="A423" s="2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</row>
    <row r="424" spans="1:161" x14ac:dyDescent="0.4">
      <c r="A424" s="2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</row>
    <row r="425" spans="1:161" x14ac:dyDescent="0.4">
      <c r="A425" s="2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</row>
    <row r="426" spans="1:161" x14ac:dyDescent="0.4">
      <c r="A426" s="2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</row>
    <row r="427" spans="1:161" x14ac:dyDescent="0.4">
      <c r="A427" s="2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</row>
    <row r="428" spans="1:161" x14ac:dyDescent="0.4">
      <c r="A428" s="2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</row>
    <row r="429" spans="1:161" x14ac:dyDescent="0.4">
      <c r="A429" s="2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</row>
    <row r="430" spans="1:161" x14ac:dyDescent="0.4">
      <c r="A430" s="2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</row>
    <row r="431" spans="1:161" x14ac:dyDescent="0.4">
      <c r="A431" s="2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</row>
    <row r="432" spans="1:161" x14ac:dyDescent="0.4">
      <c r="A432" s="2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</row>
    <row r="433" spans="1:161" x14ac:dyDescent="0.4">
      <c r="A433" s="2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</row>
    <row r="434" spans="1:161" x14ac:dyDescent="0.4">
      <c r="A434" s="2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</row>
    <row r="435" spans="1:161" x14ac:dyDescent="0.4">
      <c r="A435" s="2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</row>
    <row r="436" spans="1:161" x14ac:dyDescent="0.4">
      <c r="A436" s="2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</row>
    <row r="437" spans="1:161" x14ac:dyDescent="0.4">
      <c r="A437" s="2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</row>
    <row r="438" spans="1:161" x14ac:dyDescent="0.4">
      <c r="A438" s="2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</row>
    <row r="439" spans="1:161" x14ac:dyDescent="0.4">
      <c r="A439" s="2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</row>
    <row r="440" spans="1:161" x14ac:dyDescent="0.4">
      <c r="A440" s="2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</row>
    <row r="441" spans="1:161" x14ac:dyDescent="0.4">
      <c r="A441" s="2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</row>
    <row r="442" spans="1:161" x14ac:dyDescent="0.4">
      <c r="A442" s="2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</row>
    <row r="443" spans="1:161" x14ac:dyDescent="0.4">
      <c r="A443" s="2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</row>
    <row r="444" spans="1:161" x14ac:dyDescent="0.4">
      <c r="A444" s="2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</row>
    <row r="445" spans="1:161" x14ac:dyDescent="0.4">
      <c r="A445" s="2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</row>
    <row r="446" spans="1:161" x14ac:dyDescent="0.4">
      <c r="A446" s="2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</row>
    <row r="447" spans="1:161" x14ac:dyDescent="0.4">
      <c r="A447" s="2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</row>
    <row r="448" spans="1:161" x14ac:dyDescent="0.4">
      <c r="A448" s="2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</row>
    <row r="449" spans="1:161" x14ac:dyDescent="0.4">
      <c r="A449" s="2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</row>
    <row r="450" spans="1:161" x14ac:dyDescent="0.4">
      <c r="A450" s="2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</row>
    <row r="451" spans="1:161" x14ac:dyDescent="0.4">
      <c r="A451" s="2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</row>
    <row r="452" spans="1:161" x14ac:dyDescent="0.4">
      <c r="A452" s="2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</row>
    <row r="453" spans="1:161" x14ac:dyDescent="0.4">
      <c r="A453" s="2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</row>
    <row r="454" spans="1:161" x14ac:dyDescent="0.4">
      <c r="A454" s="2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</row>
    <row r="455" spans="1:161" x14ac:dyDescent="0.4">
      <c r="A455" s="2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</row>
    <row r="456" spans="1:161" x14ac:dyDescent="0.4">
      <c r="A456" s="2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</row>
    <row r="457" spans="1:161" x14ac:dyDescent="0.4">
      <c r="A457" s="2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</row>
    <row r="458" spans="1:161" x14ac:dyDescent="0.4">
      <c r="A458" s="2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</row>
    <row r="459" spans="1:161" x14ac:dyDescent="0.4">
      <c r="A459" s="2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</row>
    <row r="460" spans="1:161" x14ac:dyDescent="0.4">
      <c r="A460" s="2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</row>
    <row r="461" spans="1:161" x14ac:dyDescent="0.4">
      <c r="A461" s="2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</row>
    <row r="462" spans="1:161" x14ac:dyDescent="0.4">
      <c r="A462" s="2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</row>
    <row r="463" spans="1:161" x14ac:dyDescent="0.4">
      <c r="A463" s="2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</row>
    <row r="464" spans="1:161" x14ac:dyDescent="0.4">
      <c r="A464" s="2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</row>
    <row r="465" spans="1:161" x14ac:dyDescent="0.4">
      <c r="A465" s="2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</row>
    <row r="466" spans="1:161" x14ac:dyDescent="0.4">
      <c r="A466" s="2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</row>
    <row r="467" spans="1:161" x14ac:dyDescent="0.4">
      <c r="A467" s="2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</row>
    <row r="468" spans="1:161" x14ac:dyDescent="0.4">
      <c r="A468" s="2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</row>
    <row r="469" spans="1:161" x14ac:dyDescent="0.4">
      <c r="A469" s="2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</row>
    <row r="470" spans="1:161" x14ac:dyDescent="0.4">
      <c r="A470" s="2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</row>
    <row r="471" spans="1:161" x14ac:dyDescent="0.4">
      <c r="A471" s="2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</row>
    <row r="472" spans="1:161" x14ac:dyDescent="0.4">
      <c r="A472" s="2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</row>
    <row r="473" spans="1:161" x14ac:dyDescent="0.4">
      <c r="A473" s="2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</row>
    <row r="474" spans="1:161" x14ac:dyDescent="0.4">
      <c r="A474" s="2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</row>
    <row r="475" spans="1:161" x14ac:dyDescent="0.4">
      <c r="A475" s="2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</row>
    <row r="476" spans="1:161" x14ac:dyDescent="0.4">
      <c r="A476" s="2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</row>
    <row r="477" spans="1:161" x14ac:dyDescent="0.4">
      <c r="A477" s="2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</row>
    <row r="478" spans="1:161" x14ac:dyDescent="0.4">
      <c r="A478" s="2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</row>
    <row r="479" spans="1:161" x14ac:dyDescent="0.4">
      <c r="A479" s="2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</row>
    <row r="480" spans="1:161" x14ac:dyDescent="0.4">
      <c r="A480" s="2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</row>
    <row r="481" spans="1:161" x14ac:dyDescent="0.4">
      <c r="A481" s="2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</row>
    <row r="482" spans="1:161" x14ac:dyDescent="0.4">
      <c r="A482" s="2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</row>
    <row r="483" spans="1:161" x14ac:dyDescent="0.4">
      <c r="A483" s="2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</row>
    <row r="484" spans="1:161" x14ac:dyDescent="0.4">
      <c r="A484" s="2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</row>
    <row r="485" spans="1:161" x14ac:dyDescent="0.4">
      <c r="A485" s="2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</row>
    <row r="486" spans="1:161" x14ac:dyDescent="0.4">
      <c r="A486" s="2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</row>
    <row r="487" spans="1:161" x14ac:dyDescent="0.4">
      <c r="A487" s="2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</row>
    <row r="488" spans="1:161" x14ac:dyDescent="0.4">
      <c r="A488" s="2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</row>
    <row r="489" spans="1:161" x14ac:dyDescent="0.4">
      <c r="A489" s="2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</row>
    <row r="490" spans="1:161" x14ac:dyDescent="0.4">
      <c r="A490" s="2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</row>
    <row r="491" spans="1:161" x14ac:dyDescent="0.4">
      <c r="A491" s="2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</row>
    <row r="492" spans="1:161" x14ac:dyDescent="0.4">
      <c r="A492" s="2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</row>
    <row r="493" spans="1:161" x14ac:dyDescent="0.4">
      <c r="A493" s="2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</row>
    <row r="494" spans="1:161" x14ac:dyDescent="0.4">
      <c r="A494" s="2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</row>
    <row r="495" spans="1:161" x14ac:dyDescent="0.4">
      <c r="A495" s="2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</row>
    <row r="496" spans="1:161" x14ac:dyDescent="0.4">
      <c r="A496" s="2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</row>
    <row r="497" spans="1:161" x14ac:dyDescent="0.4">
      <c r="A497" s="2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</row>
    <row r="498" spans="1:161" x14ac:dyDescent="0.4">
      <c r="A498" s="2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</row>
    <row r="499" spans="1:161" x14ac:dyDescent="0.4">
      <c r="A499" s="2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</row>
    <row r="500" spans="1:161" x14ac:dyDescent="0.4">
      <c r="A500" s="2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</row>
    <row r="501" spans="1:161" x14ac:dyDescent="0.4">
      <c r="A501" s="2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</row>
    <row r="502" spans="1:161" x14ac:dyDescent="0.4">
      <c r="A502" s="2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</row>
    <row r="503" spans="1:161" x14ac:dyDescent="0.4">
      <c r="A503" s="2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</row>
    <row r="504" spans="1:161" x14ac:dyDescent="0.4">
      <c r="A504" s="2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</row>
    <row r="505" spans="1:161" x14ac:dyDescent="0.4">
      <c r="A505" s="2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</row>
    <row r="506" spans="1:161" x14ac:dyDescent="0.4">
      <c r="A506" s="2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</row>
    <row r="507" spans="1:161" x14ac:dyDescent="0.4">
      <c r="A507" s="2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</row>
    <row r="508" spans="1:161" x14ac:dyDescent="0.4">
      <c r="A508" s="2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</row>
    <row r="509" spans="1:161" x14ac:dyDescent="0.4">
      <c r="A509" s="2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</row>
    <row r="510" spans="1:161" x14ac:dyDescent="0.4">
      <c r="A510" s="2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</row>
    <row r="511" spans="1:161" x14ac:dyDescent="0.4">
      <c r="A511" s="2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</row>
    <row r="512" spans="1:161" x14ac:dyDescent="0.4">
      <c r="A512" s="2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</row>
    <row r="513" spans="1:161" x14ac:dyDescent="0.4">
      <c r="A513" s="2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</row>
    <row r="514" spans="1:161" x14ac:dyDescent="0.4">
      <c r="A514" s="2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</row>
    <row r="515" spans="1:161" x14ac:dyDescent="0.4">
      <c r="A515" s="2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</row>
    <row r="516" spans="1:161" x14ac:dyDescent="0.4">
      <c r="A516" s="2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</row>
    <row r="517" spans="1:161" x14ac:dyDescent="0.4">
      <c r="A517" s="2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</row>
    <row r="518" spans="1:161" x14ac:dyDescent="0.4">
      <c r="A518" s="2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</row>
    <row r="519" spans="1:161" x14ac:dyDescent="0.4">
      <c r="A519" s="2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</row>
    <row r="520" spans="1:161" x14ac:dyDescent="0.4">
      <c r="A520" s="2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</row>
    <row r="521" spans="1:161" x14ac:dyDescent="0.4">
      <c r="A521" s="2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</row>
    <row r="522" spans="1:161" x14ac:dyDescent="0.4">
      <c r="A522" s="2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</row>
    <row r="523" spans="1:161" x14ac:dyDescent="0.4">
      <c r="A523" s="2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</row>
    <row r="524" spans="1:161" x14ac:dyDescent="0.4">
      <c r="A524" s="2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</row>
    <row r="525" spans="1:161" x14ac:dyDescent="0.4">
      <c r="A525" s="2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</row>
    <row r="526" spans="1:161" x14ac:dyDescent="0.4">
      <c r="A526" s="2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</row>
    <row r="527" spans="1:161" x14ac:dyDescent="0.4">
      <c r="A527" s="2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</row>
    <row r="528" spans="1:161" x14ac:dyDescent="0.4">
      <c r="A528" s="2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</row>
    <row r="529" spans="1:161" x14ac:dyDescent="0.4">
      <c r="A529" s="2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</row>
    <row r="530" spans="1:161" x14ac:dyDescent="0.4">
      <c r="A530" s="2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</row>
    <row r="531" spans="1:161" x14ac:dyDescent="0.4">
      <c r="A531" s="2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</row>
    <row r="532" spans="1:161" x14ac:dyDescent="0.4">
      <c r="A532" s="2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</row>
    <row r="533" spans="1:161" x14ac:dyDescent="0.4">
      <c r="A533" s="2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</row>
    <row r="534" spans="1:161" x14ac:dyDescent="0.4">
      <c r="A534" s="2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</row>
    <row r="535" spans="1:161" x14ac:dyDescent="0.4">
      <c r="A535" s="2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</row>
    <row r="536" spans="1:161" x14ac:dyDescent="0.4">
      <c r="A536" s="2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</row>
    <row r="537" spans="1:161" x14ac:dyDescent="0.4">
      <c r="A537" s="2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</row>
    <row r="538" spans="1:161" x14ac:dyDescent="0.4">
      <c r="A538" s="2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</row>
    <row r="539" spans="1:161" x14ac:dyDescent="0.4">
      <c r="A539" s="2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</row>
    <row r="540" spans="1:161" x14ac:dyDescent="0.4">
      <c r="A540" s="2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</row>
    <row r="541" spans="1:161" x14ac:dyDescent="0.4">
      <c r="A541" s="2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</row>
    <row r="542" spans="1:161" x14ac:dyDescent="0.4">
      <c r="A542" s="2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</row>
    <row r="543" spans="1:161" x14ac:dyDescent="0.4">
      <c r="A543" s="2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</row>
    <row r="544" spans="1:161" x14ac:dyDescent="0.4">
      <c r="A544" s="2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</row>
    <row r="545" spans="1:161" x14ac:dyDescent="0.4">
      <c r="A545" s="2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</row>
    <row r="546" spans="1:161" x14ac:dyDescent="0.4">
      <c r="A546" s="2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</row>
    <row r="547" spans="1:161" x14ac:dyDescent="0.4">
      <c r="A547" s="2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</row>
    <row r="548" spans="1:161" x14ac:dyDescent="0.4">
      <c r="A548" s="2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</row>
    <row r="549" spans="1:161" x14ac:dyDescent="0.4">
      <c r="A549" s="2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</row>
    <row r="550" spans="1:161" x14ac:dyDescent="0.4">
      <c r="A550" s="2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</row>
    <row r="551" spans="1:161" x14ac:dyDescent="0.4">
      <c r="A551" s="2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</row>
    <row r="552" spans="1:161" x14ac:dyDescent="0.4">
      <c r="A552" s="2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</row>
    <row r="553" spans="1:161" x14ac:dyDescent="0.4">
      <c r="A553" s="2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</row>
    <row r="554" spans="1:161" x14ac:dyDescent="0.4">
      <c r="A554" s="2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</row>
    <row r="555" spans="1:161" x14ac:dyDescent="0.4">
      <c r="A555" s="2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</row>
    <row r="556" spans="1:161" x14ac:dyDescent="0.4">
      <c r="A556" s="2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</row>
    <row r="557" spans="1:161" x14ac:dyDescent="0.4">
      <c r="A557" s="2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</row>
    <row r="558" spans="1:161" x14ac:dyDescent="0.4">
      <c r="A558" s="2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</row>
    <row r="559" spans="1:161" x14ac:dyDescent="0.4">
      <c r="A559" s="2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</row>
    <row r="560" spans="1:161" x14ac:dyDescent="0.4">
      <c r="A560" s="2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</row>
    <row r="561" spans="1:161" x14ac:dyDescent="0.4">
      <c r="A561" s="2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</row>
    <row r="562" spans="1:161" x14ac:dyDescent="0.4">
      <c r="A562" s="2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</row>
    <row r="563" spans="1:161" x14ac:dyDescent="0.4">
      <c r="A563" s="2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</row>
    <row r="564" spans="1:161" x14ac:dyDescent="0.4">
      <c r="A564" s="2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</row>
    <row r="565" spans="1:161" x14ac:dyDescent="0.4">
      <c r="A565" s="2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</row>
    <row r="566" spans="1:161" x14ac:dyDescent="0.4">
      <c r="A566" s="2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</row>
    <row r="567" spans="1:161" x14ac:dyDescent="0.4">
      <c r="A567" s="2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</row>
    <row r="568" spans="1:161" x14ac:dyDescent="0.4">
      <c r="A568" s="2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</row>
    <row r="569" spans="1:161" x14ac:dyDescent="0.4">
      <c r="A569" s="2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</row>
    <row r="570" spans="1:161" x14ac:dyDescent="0.4">
      <c r="A570" s="2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</row>
    <row r="571" spans="1:161" x14ac:dyDescent="0.4">
      <c r="A571" s="2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</row>
    <row r="572" spans="1:161" x14ac:dyDescent="0.4">
      <c r="A572" s="2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</row>
    <row r="573" spans="1:161" x14ac:dyDescent="0.4">
      <c r="A573" s="2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</row>
    <row r="574" spans="1:161" x14ac:dyDescent="0.4">
      <c r="A574" s="2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</row>
    <row r="575" spans="1:161" x14ac:dyDescent="0.4">
      <c r="A575" s="2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</row>
    <row r="576" spans="1:161" x14ac:dyDescent="0.4">
      <c r="A576" s="2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</row>
    <row r="577" spans="1:161" x14ac:dyDescent="0.4">
      <c r="A577" s="2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</row>
    <row r="578" spans="1:161" x14ac:dyDescent="0.4">
      <c r="A578" s="2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</row>
    <row r="579" spans="1:161" x14ac:dyDescent="0.4">
      <c r="A579" s="2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</row>
    <row r="580" spans="1:161" x14ac:dyDescent="0.4">
      <c r="A580" s="2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</row>
    <row r="581" spans="1:161" x14ac:dyDescent="0.4">
      <c r="A581" s="2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</row>
    <row r="582" spans="1:161" x14ac:dyDescent="0.4">
      <c r="A582" s="2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</row>
    <row r="583" spans="1:161" x14ac:dyDescent="0.4">
      <c r="A583" s="2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</row>
    <row r="584" spans="1:161" x14ac:dyDescent="0.4">
      <c r="A584" s="2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</row>
    <row r="585" spans="1:161" x14ac:dyDescent="0.4">
      <c r="A585" s="2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</row>
    <row r="586" spans="1:161" x14ac:dyDescent="0.4">
      <c r="A586" s="2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</row>
    <row r="587" spans="1:161" x14ac:dyDescent="0.4">
      <c r="A587" s="2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</row>
    <row r="588" spans="1:161" x14ac:dyDescent="0.4">
      <c r="A588" s="2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</row>
    <row r="589" spans="1:161" x14ac:dyDescent="0.4">
      <c r="A589" s="2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</row>
    <row r="590" spans="1:161" x14ac:dyDescent="0.4">
      <c r="A590" s="2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</row>
    <row r="591" spans="1:161" x14ac:dyDescent="0.4">
      <c r="A591" s="2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</row>
    <row r="592" spans="1:161" x14ac:dyDescent="0.4">
      <c r="A592" s="2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</row>
    <row r="593" spans="1:161" x14ac:dyDescent="0.4">
      <c r="A593" s="2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</row>
    <row r="594" spans="1:161" x14ac:dyDescent="0.4">
      <c r="A594" s="2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</row>
    <row r="595" spans="1:161" x14ac:dyDescent="0.4">
      <c r="A595" s="2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</row>
    <row r="596" spans="1:161" x14ac:dyDescent="0.4">
      <c r="A596" s="2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</row>
    <row r="597" spans="1:161" x14ac:dyDescent="0.4">
      <c r="A597" s="2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</row>
    <row r="598" spans="1:161" x14ac:dyDescent="0.4">
      <c r="A598" s="2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</row>
    <row r="599" spans="1:161" x14ac:dyDescent="0.4">
      <c r="A599" s="2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</row>
    <row r="600" spans="1:161" x14ac:dyDescent="0.4">
      <c r="A600" s="2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</row>
    <row r="601" spans="1:161" x14ac:dyDescent="0.4">
      <c r="A601" s="2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</row>
    <row r="602" spans="1:161" x14ac:dyDescent="0.4">
      <c r="A602" s="2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</row>
    <row r="603" spans="1:161" x14ac:dyDescent="0.4">
      <c r="A603" s="2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</row>
    <row r="604" spans="1:161" x14ac:dyDescent="0.4">
      <c r="A604" s="2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</row>
    <row r="605" spans="1:161" x14ac:dyDescent="0.4">
      <c r="A605" s="2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</row>
    <row r="606" spans="1:161" x14ac:dyDescent="0.4">
      <c r="A606" s="2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</row>
    <row r="607" spans="1:161" x14ac:dyDescent="0.4">
      <c r="A607" s="2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</row>
    <row r="608" spans="1:161" x14ac:dyDescent="0.4">
      <c r="A608" s="2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</row>
    <row r="609" spans="1:161" x14ac:dyDescent="0.4">
      <c r="A609" s="2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</row>
    <row r="610" spans="1:161" x14ac:dyDescent="0.4">
      <c r="A610" s="2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</row>
    <row r="611" spans="1:161" x14ac:dyDescent="0.4">
      <c r="A611" s="2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</row>
    <row r="612" spans="1:161" x14ac:dyDescent="0.4">
      <c r="A612" s="2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</row>
    <row r="613" spans="1:161" x14ac:dyDescent="0.4">
      <c r="A613" s="2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</row>
    <row r="614" spans="1:161" x14ac:dyDescent="0.4">
      <c r="A614" s="2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</row>
    <row r="615" spans="1:161" x14ac:dyDescent="0.4">
      <c r="A615" s="2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</row>
    <row r="616" spans="1:161" x14ac:dyDescent="0.4">
      <c r="A616" s="2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</row>
    <row r="617" spans="1:161" x14ac:dyDescent="0.4">
      <c r="A617" s="2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</row>
    <row r="618" spans="1:161" x14ac:dyDescent="0.4">
      <c r="A618" s="2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</row>
    <row r="619" spans="1:161" x14ac:dyDescent="0.4">
      <c r="A619" s="2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</row>
    <row r="620" spans="1:161" x14ac:dyDescent="0.4">
      <c r="A620" s="2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</row>
    <row r="621" spans="1:161" x14ac:dyDescent="0.4">
      <c r="A621" s="2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</row>
    <row r="622" spans="1:161" x14ac:dyDescent="0.4">
      <c r="A622" s="2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</row>
    <row r="623" spans="1:161" x14ac:dyDescent="0.4">
      <c r="A623" s="2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</row>
    <row r="624" spans="1:161" x14ac:dyDescent="0.4">
      <c r="A624" s="2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</row>
    <row r="625" spans="1:161" x14ac:dyDescent="0.4">
      <c r="A625" s="2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</row>
    <row r="626" spans="1:161" x14ac:dyDescent="0.4">
      <c r="A626" s="2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</row>
    <row r="627" spans="1:161" x14ac:dyDescent="0.4">
      <c r="A627" s="2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</row>
    <row r="628" spans="1:161" x14ac:dyDescent="0.4">
      <c r="A628" s="2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</row>
    <row r="629" spans="1:161" x14ac:dyDescent="0.4">
      <c r="A629" s="2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</row>
    <row r="630" spans="1:161" x14ac:dyDescent="0.4">
      <c r="A630" s="2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</row>
    <row r="631" spans="1:161" x14ac:dyDescent="0.4">
      <c r="A631" s="2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</row>
    <row r="632" spans="1:161" x14ac:dyDescent="0.4">
      <c r="A632" s="2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</row>
    <row r="633" spans="1:161" x14ac:dyDescent="0.4">
      <c r="A633" s="2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</row>
    <row r="634" spans="1:161" x14ac:dyDescent="0.4">
      <c r="A634" s="2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</row>
    <row r="635" spans="1:161" x14ac:dyDescent="0.4">
      <c r="A635" s="2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</row>
    <row r="636" spans="1:161" x14ac:dyDescent="0.4">
      <c r="A636" s="2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</row>
    <row r="637" spans="1:161" x14ac:dyDescent="0.4">
      <c r="A637" s="2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</row>
    <row r="638" spans="1:161" x14ac:dyDescent="0.4">
      <c r="A638" s="2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</row>
    <row r="639" spans="1:161" x14ac:dyDescent="0.4">
      <c r="A639" s="2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</row>
    <row r="640" spans="1:161" x14ac:dyDescent="0.4">
      <c r="A640" s="2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</row>
    <row r="641" spans="1:161" x14ac:dyDescent="0.4">
      <c r="A641" s="2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</row>
    <row r="642" spans="1:161" x14ac:dyDescent="0.4">
      <c r="A642" s="2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</row>
    <row r="643" spans="1:161" x14ac:dyDescent="0.4">
      <c r="A643" s="2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</row>
    <row r="644" spans="1:161" x14ac:dyDescent="0.4">
      <c r="A644" s="2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</row>
    <row r="645" spans="1:161" x14ac:dyDescent="0.4">
      <c r="A645" s="2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</row>
    <row r="646" spans="1:161" x14ac:dyDescent="0.4">
      <c r="A646" s="2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</row>
    <row r="647" spans="1:161" x14ac:dyDescent="0.4">
      <c r="A647" s="2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</row>
    <row r="648" spans="1:161" x14ac:dyDescent="0.4">
      <c r="A648" s="2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</row>
    <row r="649" spans="1:161" x14ac:dyDescent="0.4">
      <c r="A649" s="2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</row>
    <row r="650" spans="1:161" x14ac:dyDescent="0.4">
      <c r="A650" s="2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</row>
    <row r="651" spans="1:161" x14ac:dyDescent="0.4">
      <c r="A651" s="2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</row>
    <row r="652" spans="1:161" x14ac:dyDescent="0.4">
      <c r="A652" s="2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</row>
    <row r="653" spans="1:161" x14ac:dyDescent="0.4">
      <c r="A653" s="2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</row>
    <row r="654" spans="1:161" x14ac:dyDescent="0.4">
      <c r="A654" s="2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</row>
    <row r="655" spans="1:161" x14ac:dyDescent="0.4">
      <c r="A655" s="2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</row>
    <row r="656" spans="1:161" x14ac:dyDescent="0.4">
      <c r="A656" s="2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</row>
    <row r="657" spans="1:161" x14ac:dyDescent="0.4">
      <c r="A657" s="2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</row>
    <row r="658" spans="1:161" x14ac:dyDescent="0.4">
      <c r="A658" s="2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</row>
    <row r="659" spans="1:161" x14ac:dyDescent="0.4">
      <c r="A659" s="2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</row>
    <row r="660" spans="1:161" x14ac:dyDescent="0.4">
      <c r="A660" s="2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</row>
    <row r="661" spans="1:161" x14ac:dyDescent="0.4">
      <c r="A661" s="2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</row>
    <row r="662" spans="1:161" x14ac:dyDescent="0.4">
      <c r="A662" s="2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</row>
    <row r="663" spans="1:161" x14ac:dyDescent="0.4">
      <c r="A663" s="2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</row>
    <row r="664" spans="1:161" x14ac:dyDescent="0.4">
      <c r="A664" s="2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</row>
    <row r="665" spans="1:161" x14ac:dyDescent="0.4">
      <c r="A665" s="2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</row>
    <row r="666" spans="1:161" x14ac:dyDescent="0.4">
      <c r="A666" s="2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</row>
    <row r="667" spans="1:161" x14ac:dyDescent="0.4">
      <c r="A667" s="2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</row>
    <row r="668" spans="1:161" x14ac:dyDescent="0.4">
      <c r="A668" s="2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</row>
    <row r="669" spans="1:161" x14ac:dyDescent="0.4">
      <c r="A669" s="2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</row>
    <row r="670" spans="1:161" x14ac:dyDescent="0.4">
      <c r="A670" s="2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</row>
    <row r="671" spans="1:161" x14ac:dyDescent="0.4">
      <c r="A671" s="2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</row>
    <row r="672" spans="1:161" x14ac:dyDescent="0.4">
      <c r="A672" s="2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</row>
    <row r="673" spans="1:161" x14ac:dyDescent="0.4">
      <c r="A673" s="2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</row>
    <row r="674" spans="1:161" x14ac:dyDescent="0.4">
      <c r="A674" s="2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</row>
    <row r="675" spans="1:161" x14ac:dyDescent="0.4">
      <c r="A675" s="2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</row>
    <row r="676" spans="1:161" x14ac:dyDescent="0.4">
      <c r="A676" s="2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</row>
    <row r="677" spans="1:161" x14ac:dyDescent="0.4">
      <c r="A677" s="2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</row>
    <row r="678" spans="1:161" x14ac:dyDescent="0.4">
      <c r="A678" s="2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</row>
    <row r="679" spans="1:161" x14ac:dyDescent="0.4">
      <c r="A679" s="2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</row>
    <row r="680" spans="1:161" x14ac:dyDescent="0.4">
      <c r="A680" s="2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</row>
    <row r="681" spans="1:161" x14ac:dyDescent="0.4">
      <c r="A681" s="2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</row>
    <row r="682" spans="1:161" x14ac:dyDescent="0.4">
      <c r="A682" s="2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</row>
    <row r="683" spans="1:161" x14ac:dyDescent="0.4">
      <c r="A683" s="2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</row>
    <row r="684" spans="1:161" x14ac:dyDescent="0.4">
      <c r="A684" s="2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</row>
    <row r="685" spans="1:161" x14ac:dyDescent="0.4">
      <c r="A685" s="2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</row>
    <row r="686" spans="1:161" x14ac:dyDescent="0.4">
      <c r="A686" s="2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</row>
    <row r="687" spans="1:161" x14ac:dyDescent="0.4">
      <c r="A687" s="2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</row>
    <row r="688" spans="1:161" x14ac:dyDescent="0.4">
      <c r="A688" s="2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</row>
    <row r="689" spans="1:161" x14ac:dyDescent="0.4">
      <c r="A689" s="2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</row>
    <row r="690" spans="1:161" x14ac:dyDescent="0.4">
      <c r="A690" s="2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</row>
    <row r="691" spans="1:161" x14ac:dyDescent="0.4">
      <c r="A691" s="2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</row>
    <row r="692" spans="1:161" x14ac:dyDescent="0.4">
      <c r="A692" s="2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</row>
    <row r="693" spans="1:161" x14ac:dyDescent="0.4">
      <c r="A693" s="2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</row>
    <row r="694" spans="1:161" x14ac:dyDescent="0.4">
      <c r="A694" s="2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</row>
    <row r="695" spans="1:161" x14ac:dyDescent="0.4">
      <c r="A695" s="2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</row>
    <row r="696" spans="1:161" x14ac:dyDescent="0.4">
      <c r="A696" s="2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</row>
    <row r="697" spans="1:161" x14ac:dyDescent="0.4">
      <c r="A697" s="2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</row>
    <row r="698" spans="1:161" x14ac:dyDescent="0.4">
      <c r="A698" s="2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</row>
    <row r="699" spans="1:161" x14ac:dyDescent="0.4">
      <c r="A699" s="2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</row>
    <row r="700" spans="1:161" x14ac:dyDescent="0.4">
      <c r="A700" s="2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</row>
    <row r="701" spans="1:161" x14ac:dyDescent="0.4">
      <c r="A701" s="2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</row>
    <row r="702" spans="1:161" x14ac:dyDescent="0.4">
      <c r="A702" s="2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</row>
    <row r="703" spans="1:161" x14ac:dyDescent="0.4">
      <c r="A703" s="2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</row>
    <row r="704" spans="1:161" x14ac:dyDescent="0.4">
      <c r="A704" s="2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</row>
    <row r="705" spans="1:161" x14ac:dyDescent="0.4">
      <c r="A705" s="2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</row>
    <row r="706" spans="1:161" x14ac:dyDescent="0.4">
      <c r="A706" s="2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</row>
    <row r="707" spans="1:161" x14ac:dyDescent="0.4">
      <c r="A707" s="2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</row>
    <row r="708" spans="1:161" x14ac:dyDescent="0.4">
      <c r="A708" s="2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</row>
    <row r="709" spans="1:161" x14ac:dyDescent="0.4">
      <c r="A709" s="2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</row>
    <row r="710" spans="1:161" x14ac:dyDescent="0.4">
      <c r="A710" s="2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</row>
    <row r="711" spans="1:161" x14ac:dyDescent="0.4">
      <c r="A711" s="2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</row>
    <row r="712" spans="1:161" x14ac:dyDescent="0.4">
      <c r="A712" s="2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</row>
    <row r="713" spans="1:161" x14ac:dyDescent="0.4">
      <c r="A713" s="2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</row>
    <row r="714" spans="1:161" x14ac:dyDescent="0.4">
      <c r="A714" s="2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</row>
    <row r="715" spans="1:161" x14ac:dyDescent="0.4">
      <c r="A715" s="2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</row>
    <row r="716" spans="1:161" x14ac:dyDescent="0.4">
      <c r="A716" s="2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</row>
    <row r="717" spans="1:161" x14ac:dyDescent="0.4">
      <c r="A717" s="2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</row>
    <row r="718" spans="1:161" x14ac:dyDescent="0.4">
      <c r="A718" s="2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</row>
    <row r="719" spans="1:161" x14ac:dyDescent="0.4">
      <c r="A719" s="2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</row>
    <row r="720" spans="1:161" x14ac:dyDescent="0.4">
      <c r="A720" s="2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</row>
    <row r="721" spans="1:161" x14ac:dyDescent="0.4">
      <c r="A721" s="2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</row>
    <row r="722" spans="1:161" x14ac:dyDescent="0.4">
      <c r="A722" s="2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</row>
    <row r="723" spans="1:161" x14ac:dyDescent="0.4">
      <c r="A723" s="2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</row>
    <row r="724" spans="1:161" x14ac:dyDescent="0.4">
      <c r="A724" s="2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</row>
    <row r="725" spans="1:161" x14ac:dyDescent="0.4">
      <c r="A725" s="2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</row>
    <row r="726" spans="1:161" x14ac:dyDescent="0.4">
      <c r="A726" s="2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</row>
    <row r="727" spans="1:161" x14ac:dyDescent="0.4">
      <c r="A727" s="2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</row>
    <row r="728" spans="1:161" x14ac:dyDescent="0.4">
      <c r="A728" s="2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</row>
    <row r="729" spans="1:161" x14ac:dyDescent="0.4">
      <c r="A729" s="2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</row>
    <row r="730" spans="1:161" x14ac:dyDescent="0.4">
      <c r="A730" s="2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</row>
    <row r="731" spans="1:161" x14ac:dyDescent="0.4">
      <c r="A731" s="2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</row>
    <row r="732" spans="1:161" x14ac:dyDescent="0.4">
      <c r="A732" s="2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</row>
    <row r="733" spans="1:161" x14ac:dyDescent="0.4">
      <c r="A733" s="2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</row>
    <row r="734" spans="1:161" x14ac:dyDescent="0.4">
      <c r="A734" s="2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</row>
    <row r="735" spans="1:161" x14ac:dyDescent="0.4">
      <c r="A735" s="2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</row>
    <row r="736" spans="1:161" x14ac:dyDescent="0.4">
      <c r="A736" s="2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</row>
    <row r="737" spans="1:161" x14ac:dyDescent="0.4">
      <c r="A737" s="2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</row>
    <row r="738" spans="1:161" x14ac:dyDescent="0.4">
      <c r="A738" s="2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</row>
    <row r="739" spans="1:161" x14ac:dyDescent="0.4">
      <c r="A739" s="2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</row>
    <row r="740" spans="1:161" x14ac:dyDescent="0.4">
      <c r="A740" s="2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</row>
    <row r="741" spans="1:161" x14ac:dyDescent="0.4">
      <c r="A741" s="2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</row>
    <row r="742" spans="1:161" x14ac:dyDescent="0.4">
      <c r="A742" s="2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</row>
    <row r="743" spans="1:161" x14ac:dyDescent="0.4">
      <c r="A743" s="2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</row>
    <row r="744" spans="1:161" x14ac:dyDescent="0.4">
      <c r="A744" s="2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</row>
    <row r="745" spans="1:161" x14ac:dyDescent="0.4">
      <c r="A745" s="2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</row>
    <row r="746" spans="1:161" x14ac:dyDescent="0.4">
      <c r="A746" s="2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</row>
    <row r="747" spans="1:161" x14ac:dyDescent="0.4">
      <c r="A747" s="2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</row>
    <row r="748" spans="1:161" x14ac:dyDescent="0.4">
      <c r="A748" s="2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</row>
    <row r="749" spans="1:161" x14ac:dyDescent="0.4">
      <c r="A749" s="2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</row>
    <row r="750" spans="1:161" x14ac:dyDescent="0.4">
      <c r="A750" s="2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</row>
    <row r="751" spans="1:161" x14ac:dyDescent="0.4">
      <c r="A751" s="2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</row>
    <row r="752" spans="1:161" x14ac:dyDescent="0.4">
      <c r="A752" s="2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</row>
    <row r="753" spans="1:161" x14ac:dyDescent="0.4">
      <c r="A753" s="2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</row>
    <row r="754" spans="1:161" x14ac:dyDescent="0.4">
      <c r="A754" s="2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</row>
    <row r="755" spans="1:161" x14ac:dyDescent="0.4">
      <c r="A755" s="2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</row>
    <row r="756" spans="1:161" x14ac:dyDescent="0.4">
      <c r="A756" s="2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</row>
    <row r="757" spans="1:161" x14ac:dyDescent="0.4">
      <c r="A757" s="2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</row>
    <row r="758" spans="1:161" x14ac:dyDescent="0.4">
      <c r="A758" s="2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</row>
    <row r="759" spans="1:161" x14ac:dyDescent="0.4">
      <c r="A759" s="2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</row>
    <row r="760" spans="1:161" x14ac:dyDescent="0.4">
      <c r="A760" s="2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</row>
    <row r="761" spans="1:161" x14ac:dyDescent="0.4">
      <c r="A761" s="2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</row>
    <row r="762" spans="1:161" x14ac:dyDescent="0.4">
      <c r="A762" s="2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</row>
    <row r="763" spans="1:161" x14ac:dyDescent="0.4">
      <c r="A763" s="2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</row>
    <row r="764" spans="1:161" x14ac:dyDescent="0.4">
      <c r="A764" s="2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</row>
    <row r="765" spans="1:161" x14ac:dyDescent="0.4">
      <c r="A765" s="2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</row>
    <row r="766" spans="1:161" x14ac:dyDescent="0.4">
      <c r="A766" s="2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</row>
    <row r="767" spans="1:161" x14ac:dyDescent="0.4">
      <c r="A767" s="2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</row>
    <row r="768" spans="1:161" x14ac:dyDescent="0.4">
      <c r="A768" s="2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</row>
    <row r="769" spans="1:161" x14ac:dyDescent="0.4">
      <c r="A769" s="2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</row>
    <row r="770" spans="1:161" x14ac:dyDescent="0.4">
      <c r="A770" s="2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</row>
    <row r="771" spans="1:161" x14ac:dyDescent="0.4">
      <c r="A771" s="2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</row>
    <row r="772" spans="1:161" x14ac:dyDescent="0.4">
      <c r="A772" s="2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</row>
    <row r="773" spans="1:161" x14ac:dyDescent="0.4">
      <c r="A773" s="2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</row>
    <row r="774" spans="1:161" x14ac:dyDescent="0.4">
      <c r="A774" s="2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</row>
    <row r="775" spans="1:161" x14ac:dyDescent="0.4">
      <c r="A775" s="2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</row>
    <row r="776" spans="1:161" x14ac:dyDescent="0.4">
      <c r="A776" s="2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</row>
    <row r="777" spans="1:161" x14ac:dyDescent="0.4">
      <c r="A777" s="2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</row>
    <row r="778" spans="1:161" x14ac:dyDescent="0.4">
      <c r="A778" s="2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</row>
    <row r="779" spans="1:161" x14ac:dyDescent="0.4">
      <c r="A779" s="2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</row>
    <row r="780" spans="1:161" x14ac:dyDescent="0.4">
      <c r="A780" s="2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</row>
    <row r="781" spans="1:161" x14ac:dyDescent="0.4">
      <c r="A781" s="2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</row>
    <row r="782" spans="1:161" x14ac:dyDescent="0.4">
      <c r="A782" s="2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</row>
    <row r="783" spans="1:161" x14ac:dyDescent="0.4">
      <c r="A783" s="2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</row>
    <row r="784" spans="1:161" x14ac:dyDescent="0.4">
      <c r="A784" s="2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</row>
    <row r="785" spans="1:161" x14ac:dyDescent="0.4">
      <c r="A785" s="2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</row>
    <row r="786" spans="1:161" x14ac:dyDescent="0.4">
      <c r="A786" s="2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</row>
    <row r="787" spans="1:161" x14ac:dyDescent="0.4">
      <c r="A787" s="2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</row>
    <row r="788" spans="1:161" x14ac:dyDescent="0.4">
      <c r="A788" s="2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</row>
    <row r="789" spans="1:161" x14ac:dyDescent="0.4">
      <c r="A789" s="2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</row>
    <row r="790" spans="1:161" x14ac:dyDescent="0.4">
      <c r="A790" s="2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</row>
    <row r="791" spans="1:161" x14ac:dyDescent="0.4">
      <c r="A791" s="2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</row>
    <row r="792" spans="1:161" x14ac:dyDescent="0.4">
      <c r="A792" s="2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</row>
    <row r="793" spans="1:161" x14ac:dyDescent="0.4">
      <c r="A793" s="2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</row>
    <row r="794" spans="1:161" x14ac:dyDescent="0.4">
      <c r="A794" s="2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</row>
    <row r="795" spans="1:161" x14ac:dyDescent="0.4">
      <c r="A795" s="2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</row>
    <row r="796" spans="1:161" x14ac:dyDescent="0.4">
      <c r="A796" s="2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</row>
    <row r="797" spans="1:161" x14ac:dyDescent="0.4">
      <c r="A797" s="2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</row>
    <row r="798" spans="1:161" x14ac:dyDescent="0.4">
      <c r="A798" s="2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</row>
    <row r="799" spans="1:161" x14ac:dyDescent="0.4">
      <c r="A799" s="2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</row>
    <row r="800" spans="1:161" x14ac:dyDescent="0.4">
      <c r="A800" s="2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</row>
    <row r="801" spans="1:161" x14ac:dyDescent="0.4">
      <c r="A801" s="2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</row>
    <row r="802" spans="1:161" x14ac:dyDescent="0.4">
      <c r="A802" s="2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</row>
    <row r="803" spans="1:161" x14ac:dyDescent="0.4">
      <c r="A803" s="2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</row>
    <row r="804" spans="1:161" x14ac:dyDescent="0.4">
      <c r="A804" s="2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</row>
    <row r="805" spans="1:161" x14ac:dyDescent="0.4">
      <c r="A805" s="2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</row>
    <row r="806" spans="1:161" x14ac:dyDescent="0.4">
      <c r="A806" s="2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</row>
    <row r="807" spans="1:161" x14ac:dyDescent="0.4">
      <c r="A807" s="2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</row>
    <row r="808" spans="1:161" x14ac:dyDescent="0.4">
      <c r="A808" s="2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</row>
    <row r="809" spans="1:161" x14ac:dyDescent="0.4">
      <c r="A809" s="2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</row>
    <row r="810" spans="1:161" x14ac:dyDescent="0.4">
      <c r="A810" s="2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</row>
    <row r="811" spans="1:161" x14ac:dyDescent="0.4">
      <c r="A811" s="2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</row>
    <row r="812" spans="1:161" x14ac:dyDescent="0.4">
      <c r="A812" s="2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</row>
    <row r="813" spans="1:161" x14ac:dyDescent="0.4">
      <c r="A813" s="2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</row>
    <row r="814" spans="1:161" x14ac:dyDescent="0.4">
      <c r="A814" s="2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</row>
    <row r="815" spans="1:161" x14ac:dyDescent="0.4">
      <c r="A815" s="2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</row>
    <row r="816" spans="1:161" x14ac:dyDescent="0.4">
      <c r="A816" s="2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</row>
    <row r="817" spans="1:161" x14ac:dyDescent="0.4">
      <c r="A817" s="2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</row>
    <row r="818" spans="1:161" x14ac:dyDescent="0.4">
      <c r="A818" s="2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</row>
    <row r="819" spans="1:161" x14ac:dyDescent="0.4">
      <c r="A819" s="2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</row>
    <row r="820" spans="1:161" x14ac:dyDescent="0.4">
      <c r="A820" s="2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</row>
    <row r="821" spans="1:161" x14ac:dyDescent="0.4">
      <c r="A821" s="2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</row>
    <row r="822" spans="1:161" x14ac:dyDescent="0.4">
      <c r="A822" s="2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</row>
    <row r="823" spans="1:161" x14ac:dyDescent="0.4">
      <c r="A823" s="2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</row>
    <row r="824" spans="1:161" x14ac:dyDescent="0.4">
      <c r="A824" s="2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</row>
    <row r="825" spans="1:161" x14ac:dyDescent="0.4">
      <c r="A825" s="2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</row>
    <row r="826" spans="1:161" x14ac:dyDescent="0.4">
      <c r="A826" s="2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</row>
    <row r="827" spans="1:161" x14ac:dyDescent="0.4">
      <c r="A827" s="2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</row>
    <row r="828" spans="1:161" x14ac:dyDescent="0.4">
      <c r="A828" s="2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</row>
    <row r="829" spans="1:161" x14ac:dyDescent="0.4">
      <c r="A829" s="2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</row>
    <row r="830" spans="1:161" x14ac:dyDescent="0.4">
      <c r="A830" s="2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</row>
    <row r="831" spans="1:161" x14ac:dyDescent="0.4">
      <c r="A831" s="2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</row>
    <row r="832" spans="1:161" x14ac:dyDescent="0.4">
      <c r="A832" s="2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</row>
    <row r="833" spans="1:161" x14ac:dyDescent="0.4">
      <c r="A833" s="2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</row>
    <row r="834" spans="1:161" x14ac:dyDescent="0.4">
      <c r="A834" s="2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</row>
    <row r="835" spans="1:161" x14ac:dyDescent="0.4">
      <c r="A835" s="2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</row>
    <row r="836" spans="1:161" x14ac:dyDescent="0.4">
      <c r="A836" s="2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</row>
    <row r="837" spans="1:161" x14ac:dyDescent="0.4">
      <c r="A837" s="2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</row>
    <row r="838" spans="1:161" x14ac:dyDescent="0.4">
      <c r="A838" s="2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</row>
    <row r="839" spans="1:161" x14ac:dyDescent="0.4">
      <c r="A839" s="2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</row>
    <row r="840" spans="1:161" x14ac:dyDescent="0.4">
      <c r="A840" s="2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</row>
    <row r="841" spans="1:161" x14ac:dyDescent="0.4">
      <c r="A841" s="2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</row>
    <row r="842" spans="1:161" x14ac:dyDescent="0.4">
      <c r="A842" s="2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</row>
    <row r="843" spans="1:161" x14ac:dyDescent="0.4">
      <c r="A843" s="2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</row>
    <row r="844" spans="1:161" x14ac:dyDescent="0.4">
      <c r="A844" s="2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</row>
    <row r="845" spans="1:161" x14ac:dyDescent="0.4">
      <c r="A845" s="2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</row>
    <row r="846" spans="1:161" x14ac:dyDescent="0.4">
      <c r="A846" s="2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</row>
    <row r="847" spans="1:161" x14ac:dyDescent="0.4">
      <c r="A847" s="2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</row>
    <row r="848" spans="1:161" x14ac:dyDescent="0.4">
      <c r="A848" s="2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</row>
    <row r="849" spans="1:161" x14ac:dyDescent="0.4">
      <c r="A849" s="2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</row>
    <row r="850" spans="1:161" x14ac:dyDescent="0.4">
      <c r="A850" s="2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</row>
    <row r="851" spans="1:161" x14ac:dyDescent="0.4">
      <c r="A851" s="2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</row>
    <row r="852" spans="1:161" x14ac:dyDescent="0.4">
      <c r="A852" s="2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</row>
    <row r="853" spans="1:161" x14ac:dyDescent="0.4">
      <c r="A853" s="2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</row>
    <row r="854" spans="1:161" x14ac:dyDescent="0.4">
      <c r="A854" s="2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</row>
    <row r="855" spans="1:161" x14ac:dyDescent="0.4">
      <c r="A855" s="2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</row>
    <row r="856" spans="1:161" x14ac:dyDescent="0.4">
      <c r="A856" s="2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</row>
    <row r="857" spans="1:161" x14ac:dyDescent="0.4">
      <c r="A857" s="2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</row>
    <row r="858" spans="1:161" x14ac:dyDescent="0.4">
      <c r="A858" s="2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</row>
    <row r="859" spans="1:161" x14ac:dyDescent="0.4">
      <c r="A859" s="2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</row>
    <row r="860" spans="1:161" x14ac:dyDescent="0.4">
      <c r="A860" s="2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</row>
    <row r="861" spans="1:161" x14ac:dyDescent="0.4">
      <c r="A861" s="2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</row>
    <row r="862" spans="1:161" x14ac:dyDescent="0.4">
      <c r="A862" s="2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</row>
    <row r="863" spans="1:161" x14ac:dyDescent="0.4">
      <c r="A863" s="2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</row>
    <row r="864" spans="1:161" x14ac:dyDescent="0.4">
      <c r="A864" s="2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</row>
    <row r="865" spans="1:161" x14ac:dyDescent="0.4">
      <c r="A865" s="2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</row>
    <row r="866" spans="1:161" x14ac:dyDescent="0.4">
      <c r="A866" s="2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</row>
    <row r="867" spans="1:161" x14ac:dyDescent="0.4">
      <c r="A867" s="2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</row>
    <row r="868" spans="1:161" x14ac:dyDescent="0.4">
      <c r="A868" s="2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</row>
    <row r="869" spans="1:161" x14ac:dyDescent="0.4">
      <c r="A869" s="2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</row>
    <row r="870" spans="1:161" x14ac:dyDescent="0.4">
      <c r="A870" s="2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</row>
    <row r="871" spans="1:161" x14ac:dyDescent="0.4">
      <c r="A871" s="2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</row>
    <row r="872" spans="1:161" x14ac:dyDescent="0.4">
      <c r="A872" s="2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</row>
    <row r="873" spans="1:161" x14ac:dyDescent="0.4">
      <c r="A873" s="2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</row>
    <row r="874" spans="1:161" x14ac:dyDescent="0.4">
      <c r="A874" s="2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</row>
    <row r="875" spans="1:161" x14ac:dyDescent="0.4">
      <c r="A875" s="2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</row>
    <row r="876" spans="1:161" x14ac:dyDescent="0.4">
      <c r="A876" s="2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</row>
    <row r="877" spans="1:161" x14ac:dyDescent="0.4">
      <c r="A877" s="2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</row>
    <row r="878" spans="1:161" x14ac:dyDescent="0.4">
      <c r="A878" s="2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</row>
    <row r="879" spans="1:161" x14ac:dyDescent="0.4">
      <c r="A879" s="2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</row>
    <row r="880" spans="1:161" x14ac:dyDescent="0.4">
      <c r="A880" s="2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</row>
    <row r="881" spans="1:161" x14ac:dyDescent="0.4">
      <c r="A881" s="2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</row>
    <row r="882" spans="1:161" x14ac:dyDescent="0.4">
      <c r="A882" s="2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</row>
    <row r="883" spans="1:161" x14ac:dyDescent="0.4">
      <c r="A883" s="2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</row>
    <row r="884" spans="1:161" x14ac:dyDescent="0.4">
      <c r="A884" s="2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</row>
    <row r="885" spans="1:161" x14ac:dyDescent="0.4">
      <c r="A885" s="2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</row>
    <row r="886" spans="1:161" x14ac:dyDescent="0.4">
      <c r="A886" s="2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</row>
    <row r="887" spans="1:161" x14ac:dyDescent="0.4">
      <c r="A887" s="2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</row>
    <row r="888" spans="1:161" x14ac:dyDescent="0.4">
      <c r="A888" s="2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</row>
    <row r="889" spans="1:161" x14ac:dyDescent="0.4">
      <c r="A889" s="2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</row>
    <row r="890" spans="1:161" x14ac:dyDescent="0.4">
      <c r="A890" s="2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</row>
    <row r="891" spans="1:161" x14ac:dyDescent="0.4">
      <c r="A891" s="2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</row>
    <row r="892" spans="1:161" x14ac:dyDescent="0.4">
      <c r="A892" s="2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</row>
    <row r="893" spans="1:161" x14ac:dyDescent="0.4">
      <c r="A893" s="2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</row>
    <row r="894" spans="1:161" x14ac:dyDescent="0.4">
      <c r="A894" s="2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</row>
    <row r="895" spans="1:161" x14ac:dyDescent="0.4">
      <c r="A895" s="2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</row>
    <row r="896" spans="1:161" x14ac:dyDescent="0.4">
      <c r="A896" s="2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</row>
    <row r="897" spans="1:161" x14ac:dyDescent="0.4">
      <c r="A897" s="2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</row>
    <row r="898" spans="1:161" x14ac:dyDescent="0.4">
      <c r="A898" s="2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</row>
    <row r="899" spans="1:161" x14ac:dyDescent="0.4">
      <c r="A899" s="2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</row>
    <row r="900" spans="1:161" x14ac:dyDescent="0.4">
      <c r="A900" s="2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</row>
    <row r="901" spans="1:161" x14ac:dyDescent="0.4">
      <c r="A901" s="2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</row>
    <row r="902" spans="1:161" x14ac:dyDescent="0.4">
      <c r="A902" s="2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</row>
    <row r="903" spans="1:161" x14ac:dyDescent="0.4">
      <c r="A903" s="2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</row>
    <row r="904" spans="1:161" x14ac:dyDescent="0.4">
      <c r="A904" s="2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</row>
    <row r="905" spans="1:161" x14ac:dyDescent="0.4">
      <c r="A905" s="2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</row>
    <row r="906" spans="1:161" x14ac:dyDescent="0.4">
      <c r="A906" s="2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</row>
    <row r="907" spans="1:161" x14ac:dyDescent="0.4">
      <c r="A907" s="2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</row>
    <row r="908" spans="1:161" x14ac:dyDescent="0.4">
      <c r="A908" s="2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</row>
    <row r="909" spans="1:161" x14ac:dyDescent="0.4">
      <c r="A909" s="2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</row>
    <row r="910" spans="1:161" x14ac:dyDescent="0.4">
      <c r="A910" s="2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</row>
    <row r="911" spans="1:161" x14ac:dyDescent="0.4">
      <c r="A911" s="2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</row>
    <row r="912" spans="1:161" x14ac:dyDescent="0.4">
      <c r="A912" s="2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</row>
    <row r="913" spans="1:161" x14ac:dyDescent="0.4">
      <c r="A913" s="2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</row>
    <row r="914" spans="1:161" x14ac:dyDescent="0.4">
      <c r="A914" s="2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</row>
    <row r="915" spans="1:161" x14ac:dyDescent="0.4">
      <c r="A915" s="2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</row>
    <row r="916" spans="1:161" x14ac:dyDescent="0.4">
      <c r="A916" s="2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</row>
    <row r="917" spans="1:161" x14ac:dyDescent="0.4">
      <c r="A917" s="2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</row>
    <row r="918" spans="1:161" x14ac:dyDescent="0.4">
      <c r="A918" s="2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</row>
    <row r="919" spans="1:161" x14ac:dyDescent="0.4">
      <c r="A919" s="2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</row>
    <row r="920" spans="1:161" x14ac:dyDescent="0.4">
      <c r="A920" s="2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</row>
    <row r="921" spans="1:161" x14ac:dyDescent="0.4">
      <c r="A921" s="2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</row>
    <row r="922" spans="1:161" x14ac:dyDescent="0.4">
      <c r="A922" s="2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</row>
    <row r="923" spans="1:161" x14ac:dyDescent="0.4">
      <c r="A923" s="2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</row>
    <row r="924" spans="1:161" x14ac:dyDescent="0.4">
      <c r="A924" s="2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</row>
    <row r="925" spans="1:161" x14ac:dyDescent="0.4">
      <c r="A925" s="2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</row>
    <row r="926" spans="1:161" x14ac:dyDescent="0.4">
      <c r="A926" s="2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</row>
    <row r="927" spans="1:161" x14ac:dyDescent="0.4">
      <c r="A927" s="2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</row>
    <row r="928" spans="1:161" x14ac:dyDescent="0.4">
      <c r="A928" s="2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</row>
    <row r="929" spans="1:161" x14ac:dyDescent="0.4">
      <c r="A929" s="2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</row>
    <row r="930" spans="1:161" x14ac:dyDescent="0.4">
      <c r="A930" s="2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</row>
    <row r="931" spans="1:161" x14ac:dyDescent="0.4">
      <c r="A931" s="2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</row>
    <row r="932" spans="1:161" x14ac:dyDescent="0.4">
      <c r="A932" s="2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</row>
    <row r="933" spans="1:161" x14ac:dyDescent="0.4">
      <c r="A933" s="2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</row>
    <row r="934" spans="1:161" x14ac:dyDescent="0.4">
      <c r="A934" s="2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</row>
    <row r="935" spans="1:161" x14ac:dyDescent="0.4">
      <c r="A935" s="2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</row>
    <row r="936" spans="1:161" x14ac:dyDescent="0.4">
      <c r="A936" s="2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</row>
    <row r="937" spans="1:161" x14ac:dyDescent="0.4">
      <c r="A937" s="2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</row>
    <row r="938" spans="1:161" x14ac:dyDescent="0.4">
      <c r="A938" s="2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</row>
    <row r="939" spans="1:161" x14ac:dyDescent="0.4">
      <c r="A939" s="2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</row>
    <row r="940" spans="1:161" x14ac:dyDescent="0.4">
      <c r="A940" s="2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</row>
    <row r="941" spans="1:161" x14ac:dyDescent="0.4">
      <c r="A941" s="2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</row>
    <row r="942" spans="1:161" x14ac:dyDescent="0.4">
      <c r="A942" s="2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</row>
    <row r="943" spans="1:161" x14ac:dyDescent="0.4">
      <c r="A943" s="2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</row>
    <row r="944" spans="1:161" x14ac:dyDescent="0.4">
      <c r="A944" s="2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</row>
    <row r="945" spans="1:161" x14ac:dyDescent="0.4">
      <c r="A945" s="2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</row>
    <row r="946" spans="1:161" x14ac:dyDescent="0.4">
      <c r="A946" s="2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</row>
    <row r="947" spans="1:161" x14ac:dyDescent="0.4">
      <c r="A947" s="2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</row>
    <row r="948" spans="1:161" x14ac:dyDescent="0.4">
      <c r="A948" s="2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</row>
    <row r="949" spans="1:161" x14ac:dyDescent="0.4">
      <c r="A949" s="2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</row>
    <row r="950" spans="1:161" x14ac:dyDescent="0.4">
      <c r="A950" s="2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</row>
    <row r="951" spans="1:161" x14ac:dyDescent="0.4">
      <c r="A951" s="2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</row>
    <row r="952" spans="1:161" x14ac:dyDescent="0.4">
      <c r="A952" s="2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</row>
    <row r="953" spans="1:161" x14ac:dyDescent="0.4">
      <c r="A953" s="2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</row>
    <row r="954" spans="1:161" x14ac:dyDescent="0.4">
      <c r="A954" s="2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</row>
    <row r="955" spans="1:161" x14ac:dyDescent="0.4">
      <c r="A955" s="2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</row>
    <row r="956" spans="1:161" x14ac:dyDescent="0.4">
      <c r="A956" s="2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</row>
    <row r="957" spans="1:161" x14ac:dyDescent="0.4">
      <c r="A957" s="2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</row>
    <row r="958" spans="1:161" x14ac:dyDescent="0.4">
      <c r="A958" s="2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</row>
    <row r="959" spans="1:161" x14ac:dyDescent="0.4">
      <c r="A959" s="2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</row>
    <row r="960" spans="1:161" x14ac:dyDescent="0.4">
      <c r="A960" s="2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</row>
    <row r="961" spans="1:161" x14ac:dyDescent="0.4">
      <c r="A961" s="2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</row>
    <row r="962" spans="1:161" x14ac:dyDescent="0.4">
      <c r="A962" s="2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</row>
    <row r="963" spans="1:161" x14ac:dyDescent="0.4">
      <c r="A963" s="2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</row>
    <row r="964" spans="1:161" x14ac:dyDescent="0.4">
      <c r="A964" s="2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</row>
    <row r="965" spans="1:161" x14ac:dyDescent="0.4">
      <c r="A965" s="2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</row>
    <row r="966" spans="1:161" x14ac:dyDescent="0.4">
      <c r="A966" s="2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</row>
    <row r="967" spans="1:161" x14ac:dyDescent="0.4">
      <c r="A967" s="2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</row>
    <row r="968" spans="1:161" x14ac:dyDescent="0.4">
      <c r="A968" s="2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</row>
    <row r="969" spans="1:161" x14ac:dyDescent="0.4">
      <c r="A969" s="2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</row>
    <row r="970" spans="1:161" x14ac:dyDescent="0.4">
      <c r="A970" s="2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</row>
    <row r="971" spans="1:161" x14ac:dyDescent="0.4">
      <c r="A971" s="2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</row>
    <row r="972" spans="1:161" x14ac:dyDescent="0.4">
      <c r="A972" s="2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</row>
    <row r="973" spans="1:161" x14ac:dyDescent="0.4">
      <c r="A973" s="2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</row>
    <row r="974" spans="1:161" x14ac:dyDescent="0.4">
      <c r="A974" s="2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</row>
    <row r="975" spans="1:161" x14ac:dyDescent="0.4">
      <c r="A975" s="2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</row>
    <row r="976" spans="1:161" x14ac:dyDescent="0.4">
      <c r="A976" s="2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</row>
    <row r="977" spans="1:161" x14ac:dyDescent="0.4">
      <c r="A977" s="2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</row>
    <row r="978" spans="1:161" x14ac:dyDescent="0.4">
      <c r="A978" s="2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</row>
    <row r="979" spans="1:161" x14ac:dyDescent="0.4">
      <c r="A979" s="2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</row>
    <row r="980" spans="1:161" x14ac:dyDescent="0.4">
      <c r="A980" s="2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</row>
    <row r="981" spans="1:161" x14ac:dyDescent="0.4">
      <c r="A981" s="2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</row>
    <row r="982" spans="1:161" x14ac:dyDescent="0.4">
      <c r="A982" s="2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</row>
    <row r="983" spans="1:161" x14ac:dyDescent="0.4">
      <c r="A983" s="2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</row>
    <row r="984" spans="1:161" x14ac:dyDescent="0.4">
      <c r="A984" s="2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</row>
    <row r="985" spans="1:161" x14ac:dyDescent="0.4">
      <c r="A985" s="2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</row>
    <row r="986" spans="1:161" x14ac:dyDescent="0.4">
      <c r="A986" s="2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</row>
    <row r="987" spans="1:161" x14ac:dyDescent="0.4">
      <c r="A987" s="2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</row>
    <row r="988" spans="1:161" x14ac:dyDescent="0.4">
      <c r="A988" s="2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</row>
    <row r="989" spans="1:161" x14ac:dyDescent="0.4">
      <c r="A989" s="2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</row>
    <row r="990" spans="1:161" x14ac:dyDescent="0.4">
      <c r="A990" s="2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</row>
    <row r="991" spans="1:161" x14ac:dyDescent="0.4">
      <c r="A991" s="2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</row>
    <row r="992" spans="1:161" x14ac:dyDescent="0.4">
      <c r="A992" s="2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</row>
    <row r="993" spans="1:161" x14ac:dyDescent="0.4">
      <c r="A993" s="2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</row>
    <row r="994" spans="1:161" x14ac:dyDescent="0.4">
      <c r="A994" s="2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</row>
    <row r="995" spans="1:161" x14ac:dyDescent="0.4">
      <c r="A995" s="2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</row>
    <row r="996" spans="1:161" x14ac:dyDescent="0.4">
      <c r="A996" s="2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</row>
    <row r="997" spans="1:161" x14ac:dyDescent="0.4">
      <c r="A997" s="2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</row>
    <row r="998" spans="1:161" x14ac:dyDescent="0.4">
      <c r="A998" s="2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</row>
    <row r="999" spans="1:161" x14ac:dyDescent="0.4">
      <c r="A999" s="2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</row>
    <row r="1000" spans="1:161" x14ac:dyDescent="0.4">
      <c r="A1000" s="2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</row>
    <row r="1001" spans="1:161" x14ac:dyDescent="0.4">
      <c r="A1001" s="2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</row>
    <row r="1002" spans="1:161" x14ac:dyDescent="0.4">
      <c r="A1002" s="2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</row>
    <row r="1003" spans="1:161" x14ac:dyDescent="0.4">
      <c r="A1003" s="2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</row>
    <row r="1004" spans="1:161" x14ac:dyDescent="0.4">
      <c r="A1004" s="2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</row>
    <row r="1005" spans="1:161" x14ac:dyDescent="0.4">
      <c r="A1005" s="2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</row>
    <row r="1006" spans="1:161" x14ac:dyDescent="0.4">
      <c r="A1006" s="2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</row>
    <row r="1007" spans="1:161" x14ac:dyDescent="0.4">
      <c r="A1007" s="2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</row>
    <row r="1008" spans="1:161" x14ac:dyDescent="0.4">
      <c r="A1008" s="2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</row>
    <row r="1009" spans="1:161" x14ac:dyDescent="0.4">
      <c r="A1009" s="22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</row>
    <row r="1010" spans="1:161" x14ac:dyDescent="0.4">
      <c r="A1010" s="2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</row>
  </sheetData>
  <hyperlinks>
    <hyperlink ref="B34" r:id="rId1" xr:uid="{00000000-0004-0000-0000-000000000000}"/>
    <hyperlink ref="C34" r:id="rId2" xr:uid="{00000000-0004-0000-0000-000001000000}"/>
    <hyperlink ref="D34" r:id="rId3" xr:uid="{00000000-0004-0000-0000-000002000000}"/>
    <hyperlink ref="E34" r:id="rId4" xr:uid="{00000000-0004-0000-0000-000003000000}"/>
    <hyperlink ref="F34" r:id="rId5" xr:uid="{00000000-0004-0000-0000-000004000000}"/>
    <hyperlink ref="G34" r:id="rId6" xr:uid="{00000000-0004-0000-0000-000005000000}"/>
    <hyperlink ref="H34" r:id="rId7" xr:uid="{00000000-0004-0000-0000-000006000000}"/>
    <hyperlink ref="I34" r:id="rId8" xr:uid="{00000000-0004-0000-0000-000007000000}"/>
    <hyperlink ref="J34" r:id="rId9" xr:uid="{00000000-0004-0000-0000-000008000000}"/>
    <hyperlink ref="K34" r:id="rId10" xr:uid="{00000000-0004-0000-0000-000009000000}"/>
    <hyperlink ref="L34" r:id="rId11" xr:uid="{00000000-0004-0000-0000-00000A000000}"/>
    <hyperlink ref="M34" r:id="rId12" xr:uid="{00000000-0004-0000-0000-00000B000000}"/>
    <hyperlink ref="N34" r:id="rId13" xr:uid="{00000000-0004-0000-0000-00000C000000}"/>
    <hyperlink ref="O34" r:id="rId14" xr:uid="{00000000-0004-0000-0000-00000D000000}"/>
    <hyperlink ref="P34" r:id="rId15" xr:uid="{00000000-0004-0000-0000-00000E000000}"/>
    <hyperlink ref="Q34" r:id="rId16" xr:uid="{00000000-0004-0000-0000-00000F000000}"/>
    <hyperlink ref="R34" r:id="rId17" xr:uid="{00000000-0004-0000-0000-000010000000}"/>
    <hyperlink ref="S34" r:id="rId18" xr:uid="{00000000-0004-0000-0000-000011000000}"/>
    <hyperlink ref="T34" r:id="rId19" xr:uid="{00000000-0004-0000-0000-000012000000}"/>
    <hyperlink ref="U34" r:id="rId20" xr:uid="{00000000-0004-0000-0000-000013000000}"/>
    <hyperlink ref="V34" r:id="rId21" xr:uid="{00000000-0004-0000-0000-000014000000}"/>
    <hyperlink ref="W34" r:id="rId22" xr:uid="{00000000-0004-0000-0000-000015000000}"/>
    <hyperlink ref="X34" r:id="rId23" xr:uid="{00000000-0004-0000-0000-000016000000}"/>
    <hyperlink ref="Y34" r:id="rId24" xr:uid="{00000000-0004-0000-0000-000017000000}"/>
    <hyperlink ref="Z34" r:id="rId25" xr:uid="{00000000-0004-0000-0000-000018000000}"/>
    <hyperlink ref="AA34" r:id="rId26" xr:uid="{00000000-0004-0000-0000-000019000000}"/>
    <hyperlink ref="AB34" r:id="rId27" xr:uid="{00000000-0004-0000-0000-00001A000000}"/>
    <hyperlink ref="AC34" r:id="rId28" xr:uid="{00000000-0004-0000-0000-00001B000000}"/>
    <hyperlink ref="AE34" r:id="rId29" xr:uid="{00000000-0004-0000-0000-00001C000000}"/>
    <hyperlink ref="AF34" r:id="rId30" xr:uid="{00000000-0004-0000-0000-00001D000000}"/>
    <hyperlink ref="AG34" r:id="rId31" xr:uid="{00000000-0004-0000-0000-00001E000000}"/>
    <hyperlink ref="AH34" r:id="rId32" xr:uid="{00000000-0004-0000-0000-00001F000000}"/>
    <hyperlink ref="AI34" r:id="rId33" xr:uid="{00000000-0004-0000-0000-000020000000}"/>
    <hyperlink ref="AJ34" r:id="rId34" xr:uid="{00000000-0004-0000-0000-000021000000}"/>
    <hyperlink ref="AK34" r:id="rId35" xr:uid="{00000000-0004-0000-0000-000022000000}"/>
    <hyperlink ref="AL34" r:id="rId36" xr:uid="{00000000-0004-0000-0000-000023000000}"/>
    <hyperlink ref="AM34" r:id="rId37" xr:uid="{00000000-0004-0000-0000-000024000000}"/>
    <hyperlink ref="AN34" r:id="rId38" xr:uid="{00000000-0004-0000-0000-000025000000}"/>
    <hyperlink ref="AO34" r:id="rId39" xr:uid="{00000000-0004-0000-0000-000026000000}"/>
    <hyperlink ref="AP34" r:id="rId40" xr:uid="{00000000-0004-0000-0000-000027000000}"/>
    <hyperlink ref="AQ34" r:id="rId41" xr:uid="{00000000-0004-0000-0000-000028000000}"/>
    <hyperlink ref="AR34" r:id="rId42" xr:uid="{00000000-0004-0000-0000-000029000000}"/>
    <hyperlink ref="AS34" r:id="rId43" xr:uid="{00000000-0004-0000-0000-00002A000000}"/>
    <hyperlink ref="AT34" r:id="rId44" xr:uid="{00000000-0004-0000-0000-00002B000000}"/>
    <hyperlink ref="AU34" r:id="rId45" xr:uid="{00000000-0004-0000-0000-00002C000000}"/>
    <hyperlink ref="AV34" r:id="rId46" xr:uid="{00000000-0004-0000-0000-00002D000000}"/>
    <hyperlink ref="AW34" r:id="rId47" xr:uid="{00000000-0004-0000-0000-00002E000000}"/>
    <hyperlink ref="AX34" r:id="rId48" xr:uid="{00000000-0004-0000-0000-00002F000000}"/>
    <hyperlink ref="AY34" r:id="rId49" xr:uid="{00000000-0004-0000-0000-000030000000}"/>
    <hyperlink ref="AZ34" r:id="rId50" xr:uid="{00000000-0004-0000-0000-000031000000}"/>
    <hyperlink ref="BA34" r:id="rId51" xr:uid="{00000000-0004-0000-0000-000032000000}"/>
    <hyperlink ref="BB34" r:id="rId52" xr:uid="{00000000-0004-0000-0000-000033000000}"/>
    <hyperlink ref="BC34" r:id="rId53" xr:uid="{00000000-0004-0000-0000-000034000000}"/>
    <hyperlink ref="BD34" r:id="rId54" xr:uid="{00000000-0004-0000-0000-000035000000}"/>
    <hyperlink ref="BE34" r:id="rId55" xr:uid="{00000000-0004-0000-0000-000036000000}"/>
    <hyperlink ref="BF34" r:id="rId56" xr:uid="{00000000-0004-0000-0000-000037000000}"/>
    <hyperlink ref="BG34" r:id="rId57" xr:uid="{00000000-0004-0000-0000-000038000000}"/>
    <hyperlink ref="BH34" r:id="rId58" xr:uid="{00000000-0004-0000-0000-000039000000}"/>
    <hyperlink ref="BI34" r:id="rId59" xr:uid="{00000000-0004-0000-0000-00003A000000}"/>
    <hyperlink ref="BJ34" r:id="rId60" xr:uid="{00000000-0004-0000-0000-00003B000000}"/>
    <hyperlink ref="BK34" r:id="rId61" xr:uid="{00000000-0004-0000-0000-00003C000000}"/>
    <hyperlink ref="BL34" r:id="rId62" xr:uid="{00000000-0004-0000-0000-00003D000000}"/>
    <hyperlink ref="BM34" r:id="rId63" xr:uid="{00000000-0004-0000-0000-00003E000000}"/>
    <hyperlink ref="BN34" r:id="rId64" xr:uid="{00000000-0004-0000-0000-00003F000000}"/>
    <hyperlink ref="BO34" r:id="rId65" xr:uid="{00000000-0004-0000-0000-000040000000}"/>
    <hyperlink ref="BP34" r:id="rId66" xr:uid="{00000000-0004-0000-0000-000041000000}"/>
    <hyperlink ref="BQ34" r:id="rId67" xr:uid="{00000000-0004-0000-0000-000042000000}"/>
    <hyperlink ref="BR34" r:id="rId68" xr:uid="{00000000-0004-0000-0000-000043000000}"/>
    <hyperlink ref="BS34" r:id="rId69" xr:uid="{00000000-0004-0000-0000-000044000000}"/>
    <hyperlink ref="BT34" r:id="rId70" xr:uid="{00000000-0004-0000-0000-000045000000}"/>
    <hyperlink ref="BU34" r:id="rId71" xr:uid="{00000000-0004-0000-0000-000046000000}"/>
    <hyperlink ref="BV34" r:id="rId72" xr:uid="{00000000-0004-0000-0000-000047000000}"/>
    <hyperlink ref="BW34" r:id="rId73" xr:uid="{00000000-0004-0000-0000-000048000000}"/>
    <hyperlink ref="BX34" r:id="rId74" xr:uid="{00000000-0004-0000-0000-000049000000}"/>
    <hyperlink ref="BY34" r:id="rId75" xr:uid="{00000000-0004-0000-0000-00004A000000}"/>
    <hyperlink ref="BZ34" r:id="rId76" xr:uid="{00000000-0004-0000-0000-00004B000000}"/>
    <hyperlink ref="CA34" r:id="rId77" xr:uid="{00000000-0004-0000-0000-00004C000000}"/>
    <hyperlink ref="CB34" r:id="rId78" xr:uid="{00000000-0004-0000-0000-00004D000000}"/>
    <hyperlink ref="CC34" r:id="rId79" xr:uid="{00000000-0004-0000-0000-00004E000000}"/>
    <hyperlink ref="CD34" r:id="rId80" xr:uid="{00000000-0004-0000-0000-00004F000000}"/>
    <hyperlink ref="CE34" r:id="rId81" xr:uid="{00000000-0004-0000-0000-000050000000}"/>
    <hyperlink ref="CF34" r:id="rId82" xr:uid="{00000000-0004-0000-0000-000051000000}"/>
    <hyperlink ref="CG34" r:id="rId83" xr:uid="{00000000-0004-0000-0000-000052000000}"/>
    <hyperlink ref="CH34" r:id="rId84" xr:uid="{00000000-0004-0000-0000-000053000000}"/>
    <hyperlink ref="CI34" r:id="rId85" xr:uid="{00000000-0004-0000-0000-000054000000}"/>
    <hyperlink ref="CJ34" r:id="rId86" xr:uid="{00000000-0004-0000-0000-000055000000}"/>
    <hyperlink ref="CK34" r:id="rId87" xr:uid="{00000000-0004-0000-0000-000056000000}"/>
    <hyperlink ref="CL34" r:id="rId88" xr:uid="{00000000-0004-0000-0000-000057000000}"/>
    <hyperlink ref="CM34" r:id="rId89" xr:uid="{00000000-0004-0000-0000-000058000000}"/>
    <hyperlink ref="CN34" r:id="rId90" xr:uid="{00000000-0004-0000-0000-000059000000}"/>
    <hyperlink ref="CO34" r:id="rId91" xr:uid="{00000000-0004-0000-0000-00005A000000}"/>
    <hyperlink ref="CP34" r:id="rId92" xr:uid="{00000000-0004-0000-0000-00005B000000}"/>
    <hyperlink ref="CQ34" r:id="rId93" xr:uid="{00000000-0004-0000-0000-00005C000000}"/>
    <hyperlink ref="CR34" r:id="rId94" xr:uid="{00000000-0004-0000-0000-00005D000000}"/>
    <hyperlink ref="CS34" r:id="rId95" xr:uid="{00000000-0004-0000-0000-00005E000000}"/>
    <hyperlink ref="CT34" r:id="rId96" xr:uid="{00000000-0004-0000-0000-00005F000000}"/>
    <hyperlink ref="CU34" r:id="rId97" xr:uid="{00000000-0004-0000-0000-000060000000}"/>
    <hyperlink ref="CV34" r:id="rId98" xr:uid="{00000000-0004-0000-0000-000061000000}"/>
    <hyperlink ref="CW34" r:id="rId99" xr:uid="{00000000-0004-0000-0000-000062000000}"/>
    <hyperlink ref="CX34" r:id="rId100" xr:uid="{00000000-0004-0000-0000-000063000000}"/>
    <hyperlink ref="CY34" r:id="rId101" xr:uid="{00000000-0004-0000-0000-000064000000}"/>
    <hyperlink ref="CZ34" r:id="rId102" xr:uid="{00000000-0004-0000-0000-000065000000}"/>
    <hyperlink ref="DA34" r:id="rId103" xr:uid="{00000000-0004-0000-0000-000066000000}"/>
    <hyperlink ref="DB34" r:id="rId104" xr:uid="{00000000-0004-0000-0000-000067000000}"/>
    <hyperlink ref="DC34" r:id="rId105" xr:uid="{00000000-0004-0000-0000-000068000000}"/>
    <hyperlink ref="DD34" r:id="rId106" xr:uid="{00000000-0004-0000-0000-000069000000}"/>
    <hyperlink ref="DE34" r:id="rId107" xr:uid="{00000000-0004-0000-0000-00006A000000}"/>
    <hyperlink ref="DF34" r:id="rId108" xr:uid="{00000000-0004-0000-0000-00006B000000}"/>
    <hyperlink ref="DG34" r:id="rId109" xr:uid="{00000000-0004-0000-0000-00006C000000}"/>
  </hyperlinks>
  <pageMargins left="0.7" right="0.7" top="0.75" bottom="0.75" header="0.3" footer="0.3"/>
  <pageSetup orientation="portrait" horizontalDpi="1200" verticalDpi="1200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Rouse, Elliott</cp:lastModifiedBy>
  <dcterms:modified xsi:type="dcterms:W3CDTF">2022-09-08T02:50:20Z</dcterms:modified>
</cp:coreProperties>
</file>