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5b94e2e7ac43f/Desktop/"/>
    </mc:Choice>
  </mc:AlternateContent>
  <xr:revisionPtr revIDLastSave="63" documentId="8_{EB0ACAE1-8101-4F8F-AE71-84C34846965F}" xr6:coauthVersionLast="47" xr6:coauthVersionMax="47" xr10:uidLastSave="{7056DB27-297B-415D-900F-21252292FACD}"/>
  <bookViews>
    <workbookView minimized="1" xWindow="3828" yWindow="1620" windowWidth="17280" windowHeight="8880" xr2:uid="{7B809604-C82E-49FA-9A79-AED7350DBE60}"/>
  </bookViews>
  <sheets>
    <sheet name="Inputs and Outputs" sheetId="1" r:id="rId1"/>
    <sheet name="Net Revenue" sheetId="3" r:id="rId2"/>
    <sheet name="OpEx" sheetId="4" r:id="rId3"/>
    <sheet name="Cashflow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E8" i="3" a="1"/>
  <c r="E8" i="3" s="1"/>
  <c r="F8" i="3" s="1"/>
  <c r="E4" i="3"/>
  <c r="F4" i="3" s="1"/>
  <c r="E5" i="3"/>
  <c r="E6" i="3"/>
  <c r="F6" i="3" s="1"/>
  <c r="E3" i="3"/>
  <c r="B39" i="1"/>
  <c r="B40" i="1" s="1"/>
  <c r="H33" i="2" s="1"/>
  <c r="K31" i="2"/>
  <c r="H31" i="2"/>
  <c r="I8" i="2"/>
  <c r="B23" i="1"/>
  <c r="B28" i="1"/>
  <c r="C8" i="4" s="1"/>
  <c r="C5" i="4"/>
  <c r="C6" i="4"/>
  <c r="C7" i="4"/>
  <c r="C4" i="4"/>
  <c r="C15" i="3"/>
  <c r="B10" i="1"/>
  <c r="F5" i="3"/>
  <c r="F3" i="3"/>
  <c r="D8" i="2" l="1"/>
  <c r="L8" i="2"/>
  <c r="K8" i="2"/>
  <c r="I31" i="2"/>
  <c r="J8" i="2"/>
  <c r="C16" i="2"/>
  <c r="J31" i="2"/>
  <c r="H8" i="2"/>
  <c r="D31" i="2"/>
  <c r="L31" i="2"/>
  <c r="G8" i="2"/>
  <c r="E31" i="2"/>
  <c r="M31" i="2"/>
  <c r="F8" i="2"/>
  <c r="F31" i="2"/>
  <c r="M8" i="2"/>
  <c r="E8" i="2"/>
  <c r="G31" i="2"/>
  <c r="F10" i="3"/>
  <c r="F9" i="3"/>
  <c r="M33" i="2"/>
  <c r="E33" i="2"/>
  <c r="L33" i="2"/>
  <c r="K33" i="2"/>
  <c r="G33" i="2"/>
  <c r="F33" i="2"/>
  <c r="J33" i="2"/>
  <c r="C40" i="2"/>
  <c r="C42" i="2" s="1"/>
  <c r="C44" i="2" s="1"/>
  <c r="I33" i="2"/>
  <c r="D33" i="2"/>
  <c r="B32" i="1"/>
  <c r="B30" i="1"/>
  <c r="C18" i="2"/>
  <c r="C20" i="2" s="1"/>
  <c r="F11" i="3" l="1"/>
  <c r="F12" i="3" s="1"/>
  <c r="M17" i="2"/>
  <c r="M18" i="2" s="1"/>
  <c r="M32" i="2"/>
  <c r="E32" i="2"/>
  <c r="G9" i="2"/>
  <c r="L32" i="2"/>
  <c r="D32" i="2"/>
  <c r="H9" i="2"/>
  <c r="K9" i="2"/>
  <c r="K32" i="2"/>
  <c r="I9" i="2"/>
  <c r="I32" i="2"/>
  <c r="J32" i="2"/>
  <c r="J9" i="2"/>
  <c r="H32" i="2"/>
  <c r="L9" i="2"/>
  <c r="G32" i="2"/>
  <c r="E9" i="2"/>
  <c r="M9" i="2"/>
  <c r="F32" i="2"/>
  <c r="F9" i="2"/>
  <c r="D9" i="2"/>
  <c r="M41" i="2"/>
  <c r="M42" i="2" s="1"/>
  <c r="F13" i="3" l="1"/>
  <c r="F14" i="3" s="1"/>
  <c r="C2" i="4" s="1"/>
  <c r="C3" i="4" s="1"/>
  <c r="C9" i="4" s="1"/>
  <c r="D29" i="2" l="1"/>
  <c r="E29" i="2" s="1"/>
  <c r="F29" i="2" s="1"/>
  <c r="G29" i="2" s="1"/>
  <c r="H29" i="2" s="1"/>
  <c r="I29" i="2" s="1"/>
  <c r="J29" i="2" s="1"/>
  <c r="D6" i="2"/>
  <c r="E6" i="2" s="1"/>
  <c r="F6" i="2" s="1"/>
  <c r="D7" i="2"/>
  <c r="D30" i="2"/>
  <c r="E30" i="2" l="1"/>
  <c r="D34" i="2"/>
  <c r="D35" i="2" s="1"/>
  <c r="D36" i="2" s="1"/>
  <c r="D37" i="2" s="1"/>
  <c r="D44" i="2" s="1"/>
  <c r="E7" i="2"/>
  <c r="D10" i="2"/>
  <c r="G6" i="2"/>
  <c r="K29" i="2"/>
  <c r="F7" i="2" l="1"/>
  <c r="E10" i="2"/>
  <c r="E11" i="2" s="1"/>
  <c r="E12" i="2" s="1"/>
  <c r="E13" i="2" s="1"/>
  <c r="E20" i="2" s="1"/>
  <c r="H6" i="2"/>
  <c r="D11" i="2"/>
  <c r="D12" i="2" s="1"/>
  <c r="D13" i="2" s="1"/>
  <c r="D20" i="2" s="1"/>
  <c r="F30" i="2"/>
  <c r="E34" i="2"/>
  <c r="E35" i="2" s="1"/>
  <c r="E36" i="2" s="1"/>
  <c r="E37" i="2" s="1"/>
  <c r="E44" i="2" s="1"/>
  <c r="L29" i="2"/>
  <c r="I6" i="2" l="1"/>
  <c r="G30" i="2"/>
  <c r="F34" i="2"/>
  <c r="F35" i="2" s="1"/>
  <c r="F36" i="2" s="1"/>
  <c r="F37" i="2" s="1"/>
  <c r="F44" i="2" s="1"/>
  <c r="G7" i="2"/>
  <c r="F10" i="2"/>
  <c r="F11" i="2" s="1"/>
  <c r="F12" i="2" s="1"/>
  <c r="F13" i="2" s="1"/>
  <c r="F20" i="2" s="1"/>
  <c r="M29" i="2"/>
  <c r="H7" i="2" l="1"/>
  <c r="G10" i="2"/>
  <c r="G11" i="2" s="1"/>
  <c r="G12" i="2" s="1"/>
  <c r="G13" i="2" s="1"/>
  <c r="G20" i="2" s="1"/>
  <c r="H30" i="2"/>
  <c r="G34" i="2"/>
  <c r="G35" i="2" s="1"/>
  <c r="G36" i="2" s="1"/>
  <c r="G37" i="2" s="1"/>
  <c r="G44" i="2" s="1"/>
  <c r="J6" i="2"/>
  <c r="I7" i="2" l="1"/>
  <c r="H10" i="2"/>
  <c r="H11" i="2" s="1"/>
  <c r="H12" i="2" s="1"/>
  <c r="H13" i="2" s="1"/>
  <c r="H20" i="2" s="1"/>
  <c r="K6" i="2"/>
  <c r="I30" i="2"/>
  <c r="H34" i="2"/>
  <c r="H35" i="2" s="1"/>
  <c r="H36" i="2" s="1"/>
  <c r="H37" i="2" s="1"/>
  <c r="H44" i="2" s="1"/>
  <c r="J30" i="2" l="1"/>
  <c r="I34" i="2"/>
  <c r="I35" i="2" s="1"/>
  <c r="I36" i="2" s="1"/>
  <c r="I37" i="2" s="1"/>
  <c r="I44" i="2" s="1"/>
  <c r="L6" i="2"/>
  <c r="J7" i="2"/>
  <c r="I10" i="2"/>
  <c r="I11" i="2" s="1"/>
  <c r="I12" i="2" s="1"/>
  <c r="I13" i="2" s="1"/>
  <c r="I20" i="2" s="1"/>
  <c r="K7" i="2" l="1"/>
  <c r="J10" i="2"/>
  <c r="J11" i="2" s="1"/>
  <c r="J12" i="2" s="1"/>
  <c r="J13" i="2" s="1"/>
  <c r="J20" i="2" s="1"/>
  <c r="M6" i="2"/>
  <c r="K30" i="2"/>
  <c r="J34" i="2"/>
  <c r="J35" i="2" l="1"/>
  <c r="J36" i="2" s="1"/>
  <c r="J37" i="2" s="1"/>
  <c r="J44" i="2" s="1"/>
  <c r="L30" i="2"/>
  <c r="K34" i="2"/>
  <c r="K35" i="2" s="1"/>
  <c r="K36" i="2" s="1"/>
  <c r="K37" i="2" s="1"/>
  <c r="K44" i="2" s="1"/>
  <c r="L7" i="2"/>
  <c r="K10" i="2"/>
  <c r="K11" i="2" s="1"/>
  <c r="K12" i="2" s="1"/>
  <c r="K13" i="2" s="1"/>
  <c r="K20" i="2" s="1"/>
  <c r="M7" i="2" l="1"/>
  <c r="M10" i="2" s="1"/>
  <c r="M11" i="2" s="1"/>
  <c r="M12" i="2" s="1"/>
  <c r="M13" i="2" s="1"/>
  <c r="M20" i="2" s="1"/>
  <c r="L10" i="2"/>
  <c r="L11" i="2" s="1"/>
  <c r="L12" i="2" s="1"/>
  <c r="L13" i="2" s="1"/>
  <c r="L20" i="2" s="1"/>
  <c r="M30" i="2"/>
  <c r="M34" i="2" s="1"/>
  <c r="M35" i="2" s="1"/>
  <c r="M36" i="2" s="1"/>
  <c r="M37" i="2" s="1"/>
  <c r="M44" i="2" s="1"/>
  <c r="L34" i="2"/>
  <c r="L35" i="2" s="1"/>
  <c r="L36" i="2" s="1"/>
  <c r="L37" i="2" s="1"/>
  <c r="L44" i="2" s="1"/>
  <c r="C46" i="2" l="1"/>
  <c r="E6" i="1" s="1"/>
  <c r="C21" i="2"/>
  <c r="E4" i="1" s="1"/>
  <c r="C22" i="2"/>
  <c r="E3" i="1" s="1"/>
  <c r="C45" i="2"/>
  <c r="E7" i="1" s="1"/>
  <c r="M10" i="1" s="1"/>
  <c r="P3" i="1" l="1"/>
  <c r="L10" i="1"/>
  <c r="L3" i="1"/>
  <c r="H3" i="1"/>
  <c r="H10" i="1"/>
  <c r="Q3" i="1"/>
  <c r="I10" i="1"/>
  <c r="I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<sst xmlns="http://schemas.openxmlformats.org/spreadsheetml/2006/main" count="117" uniqueCount="72">
  <si>
    <t>Inputs</t>
  </si>
  <si>
    <t xml:space="preserve">Outputs </t>
  </si>
  <si>
    <t>Unlevered NPV</t>
  </si>
  <si>
    <t>Unlevered IRR</t>
  </si>
  <si>
    <t>Levered NPV</t>
  </si>
  <si>
    <t>Levered IRR</t>
  </si>
  <si>
    <t xml:space="preserve">Operating Cashflows </t>
  </si>
  <si>
    <t xml:space="preserve">Investment Cashflows </t>
  </si>
  <si>
    <t xml:space="preserve">Total Cashflows </t>
  </si>
  <si>
    <t xml:space="preserve">   Studio</t>
  </si>
  <si>
    <t xml:space="preserve">   One Bed, One Bath</t>
  </si>
  <si>
    <t xml:space="preserve">   Two Bed, One Bath</t>
  </si>
  <si>
    <t xml:space="preserve">   Two Bed, Two Bath</t>
  </si>
  <si>
    <t xml:space="preserve">Revenue </t>
  </si>
  <si>
    <t xml:space="preserve">   Anchor One</t>
  </si>
  <si>
    <t xml:space="preserve">   Anchor Two</t>
  </si>
  <si>
    <t xml:space="preserve">   Restaurant</t>
  </si>
  <si>
    <t>Apartment Units</t>
  </si>
  <si>
    <t>No. of Units</t>
  </si>
  <si>
    <t>Sq. Ft.</t>
  </si>
  <si>
    <t>$/Sq.Ft./Month</t>
  </si>
  <si>
    <t>Commercial Units</t>
  </si>
  <si>
    <t>Net Revenue</t>
  </si>
  <si>
    <t>Annual Revenue</t>
  </si>
  <si>
    <t xml:space="preserve">Gross Revenue </t>
  </si>
  <si>
    <t>Bad Debt</t>
  </si>
  <si>
    <t xml:space="preserve">Vacancy </t>
  </si>
  <si>
    <t xml:space="preserve">Net Revenue </t>
  </si>
  <si>
    <t xml:space="preserve">Operating Expense </t>
  </si>
  <si>
    <t>Property Management</t>
  </si>
  <si>
    <t>SG&amp;A</t>
  </si>
  <si>
    <t>Insurance</t>
  </si>
  <si>
    <t xml:space="preserve">Replacement Expense </t>
  </si>
  <si>
    <t xml:space="preserve">Common Utilities </t>
  </si>
  <si>
    <t xml:space="preserve">Operating Expenses </t>
  </si>
  <si>
    <t xml:space="preserve">Total Units </t>
  </si>
  <si>
    <t>Operating Expense</t>
  </si>
  <si>
    <t>Property Tax</t>
  </si>
  <si>
    <t xml:space="preserve">Purchase Price </t>
  </si>
  <si>
    <t>Retail Price/Sf</t>
  </si>
  <si>
    <t xml:space="preserve">Residental Price/Unit </t>
  </si>
  <si>
    <t>Appreciation Rate</t>
  </si>
  <si>
    <t xml:space="preserve">Sale Price </t>
  </si>
  <si>
    <t>Unlevered Project</t>
  </si>
  <si>
    <t xml:space="preserve">Cap Gains Tax Rate </t>
  </si>
  <si>
    <t xml:space="preserve">Purchase / Sale / Depreciation </t>
  </si>
  <si>
    <t xml:space="preserve">Anuual Depreciation </t>
  </si>
  <si>
    <t xml:space="preserve">Annual Depreciation </t>
  </si>
  <si>
    <t>Income Tax</t>
  </si>
  <si>
    <t xml:space="preserve">Income Tax Rate </t>
  </si>
  <si>
    <t>Earning Before Tax</t>
  </si>
  <si>
    <t xml:space="preserve">Net Income </t>
  </si>
  <si>
    <t>Purchase</t>
  </si>
  <si>
    <t xml:space="preserve">Sale </t>
  </si>
  <si>
    <t>Total Investment CF</t>
  </si>
  <si>
    <t xml:space="preserve">Total Operating Cashflows </t>
  </si>
  <si>
    <t>Revenue Growth</t>
  </si>
  <si>
    <t>Operating Expense Growth</t>
  </si>
  <si>
    <t xml:space="preserve">Financing </t>
  </si>
  <si>
    <t>Levered Project</t>
  </si>
  <si>
    <t xml:space="preserve">Percent Financed </t>
  </si>
  <si>
    <t xml:space="preserve">Loan Rate </t>
  </si>
  <si>
    <t xml:space="preserve">Amount Borrowed </t>
  </si>
  <si>
    <t>Annual Interest</t>
  </si>
  <si>
    <t xml:space="preserve">Interest Expense </t>
  </si>
  <si>
    <t xml:space="preserve">Sensitivity Analysis </t>
  </si>
  <si>
    <t xml:space="preserve">Anchor One </t>
  </si>
  <si>
    <t>UL IRR</t>
  </si>
  <si>
    <t>L IRR</t>
  </si>
  <si>
    <t>Anchor 2</t>
  </si>
  <si>
    <t xml:space="preserve">Restaurant </t>
  </si>
  <si>
    <t>Percent Financed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</si>
</sst>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3" fontId="0" fillId="0" borderId="0" xfId="0" applyNumberFormat="1"/>
    <xf numFmtId="0" fontId="2" fillId="0" borderId="0" xfId="0" applyFont="1"/>
    <xf numFmtId="8" fontId="2" fillId="0" borderId="0" xfId="0" applyNumberFormat="1" applyFont="1"/>
    <xf numFmtId="10" fontId="0" fillId="0" borderId="0" xfId="0" applyNumberFormat="1"/>
    <xf numFmtId="9" fontId="0" fillId="0" borderId="0" xfId="0" applyNumberFormat="1"/>
    <xf numFmtId="44" fontId="0" fillId="0" borderId="0" xfId="1" applyFont="1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44" fontId="0" fillId="0" borderId="0" xfId="0" applyNumberFormat="1"/>
    <xf numFmtId="44" fontId="0" fillId="0" borderId="0" xfId="1" applyFont="1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6" fontId="0" fillId="0" borderId="0" xfId="1" applyNumberFormat="1" applyFont="1"/>
    <xf numFmtId="0" fontId="2" fillId="0" borderId="0" xfId="0" applyFont="1" applyAlignment="1">
      <alignment horizontal="center"/>
    </xf>
    <xf numFmtId="164" fontId="0" fillId="0" borderId="0" xfId="0" applyNumberFormat="1"/>
    <xf numFmtId="6" fontId="0" fillId="0" borderId="0" xfId="0" applyNumberFormat="1"/>
    <xf numFmtId="165" fontId="0" fillId="0" borderId="0" xfId="0" applyNumberFormat="1"/>
    <xf numFmtId="44" fontId="2" fillId="0" borderId="0" xfId="0" applyNumberFormat="1" applyFont="1"/>
    <xf numFmtId="165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873C-D9DC-47FE-A5CB-44195B9581FE}">
  <dimension ref="A1:Q40"/>
  <sheetViews>
    <sheetView tabSelected="1" topLeftCell="C1" workbookViewId="0">
      <selection activeCell="Q15" sqref="Q15"/>
    </sheetView>
  </sheetViews>
  <sheetFormatPr defaultRowHeight="14.4" x14ac:dyDescent="0.3"/>
  <cols>
    <col min="1" max="1" width="23" bestFit="1" customWidth="1"/>
    <col min="2" max="2" width="14.6640625" bestFit="1" customWidth="1"/>
    <col min="4" max="4" width="13.33203125" bestFit="1" customWidth="1"/>
    <col min="5" max="5" width="14.6640625" bestFit="1" customWidth="1"/>
    <col min="7" max="7" width="14.44140625" bestFit="1" customWidth="1"/>
    <col min="8" max="8" width="10.5546875" bestFit="1" customWidth="1"/>
    <col min="15" max="15" width="10.33203125" bestFit="1" customWidth="1"/>
  </cols>
  <sheetData>
    <row r="1" spans="1:17" x14ac:dyDescent="0.3">
      <c r="A1" s="26" t="s">
        <v>0</v>
      </c>
      <c r="B1" s="26"/>
      <c r="D1" s="26" t="s">
        <v>1</v>
      </c>
      <c r="E1" s="26"/>
      <c r="G1" s="27" t="s">
        <v>65</v>
      </c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3">
      <c r="A2" s="26" t="s">
        <v>13</v>
      </c>
      <c r="B2" s="26"/>
      <c r="D2" s="1"/>
      <c r="E2" s="1"/>
      <c r="G2" s="4"/>
      <c r="H2" t="s">
        <v>67</v>
      </c>
      <c r="I2" t="s">
        <v>68</v>
      </c>
      <c r="L2" t="s">
        <v>67</v>
      </c>
      <c r="M2" t="s">
        <v>68</v>
      </c>
      <c r="P2" t="s">
        <v>67</v>
      </c>
      <c r="Q2" t="s">
        <v>68</v>
      </c>
    </row>
    <row r="3" spans="1:17" x14ac:dyDescent="0.3">
      <c r="A3" t="s">
        <v>9</v>
      </c>
      <c r="B3" s="2">
        <v>1.3</v>
      </c>
      <c r="D3" t="s">
        <v>2</v>
      </c>
      <c r="E3" s="20">
        <f>Cashflows!C22</f>
        <v>2896762.2781603588</v>
      </c>
      <c r="G3" t="s">
        <v>66</v>
      </c>
      <c r="H3" s="10">
        <f>E4</f>
        <v>0.27505143649022656</v>
      </c>
      <c r="I3" s="10">
        <f>E7</f>
        <v>3.692484259646033</v>
      </c>
      <c r="K3" t="s">
        <v>69</v>
      </c>
      <c r="L3" s="18">
        <f>E4</f>
        <v>0.27505143649022656</v>
      </c>
      <c r="M3" s="18">
        <f>E7</f>
        <v>3.692484259646033</v>
      </c>
      <c r="O3" t="s">
        <v>70</v>
      </c>
      <c r="P3" s="10">
        <f>E4</f>
        <v>0.27505143649022656</v>
      </c>
      <c r="Q3" s="10">
        <f>E7</f>
        <v>3.692484259646033</v>
      </c>
    </row>
    <row r="4" spans="1:17" x14ac:dyDescent="0.3">
      <c r="A4" t="s">
        <v>10</v>
      </c>
      <c r="B4" s="2">
        <v>1.25</v>
      </c>
      <c r="D4" t="s">
        <v>3</v>
      </c>
      <c r="E4" s="7">
        <f>Cashflows!C21</f>
        <v>0.27505143649022656</v>
      </c>
      <c r="G4" s="8">
        <v>1.06</v>
      </c>
      <c r="H4" s="10">
        <f t="dataTable" ref="H4:I8" dt2D="0" dtr="0" r1="B7" ca="1"/>
        <v>0.27748267056891507</v>
      </c>
      <c r="I4" s="10">
        <v>3.7330534938817577</v>
      </c>
      <c r="K4" s="8">
        <v>1.06</v>
      </c>
      <c r="L4" s="10">
        <f t="dataTable" ref="L4:M8" dt2D="0" dtr="0" r1="B8"/>
        <v>0.27699641834647237</v>
      </c>
      <c r="M4" s="10">
        <v>3.7249396063612696</v>
      </c>
      <c r="O4" s="8">
        <v>1.1000000000000001</v>
      </c>
      <c r="P4" s="10">
        <f t="dataTable" ref="P4:Q8" dt2D="0" dtr="0" r1="B9" ca="1"/>
        <v>0.27667225169592746</v>
      </c>
      <c r="Q4" s="10">
        <v>3.7195303592261943</v>
      </c>
    </row>
    <row r="5" spans="1:17" x14ac:dyDescent="0.3">
      <c r="A5" t="s">
        <v>11</v>
      </c>
      <c r="B5" s="2">
        <v>1.2</v>
      </c>
      <c r="G5" s="8">
        <v>1.04</v>
      </c>
      <c r="H5" s="10">
        <v>0.27626704507118127</v>
      </c>
      <c r="I5" s="10">
        <v>3.7127688129930831</v>
      </c>
      <c r="K5" s="8">
        <v>1.04</v>
      </c>
      <c r="L5" s="10">
        <v>0.27602392199831294</v>
      </c>
      <c r="M5" s="10">
        <v>3.7087118920500162</v>
      </c>
      <c r="O5" s="8">
        <v>1.08</v>
      </c>
      <c r="P5" s="10">
        <v>0.27586184032607353</v>
      </c>
      <c r="Q5" s="10">
        <v>3.7060072809308275</v>
      </c>
    </row>
    <row r="6" spans="1:17" x14ac:dyDescent="0.3">
      <c r="A6" t="s">
        <v>12</v>
      </c>
      <c r="B6" s="2">
        <v>1.1499999999999999</v>
      </c>
      <c r="D6" t="s">
        <v>4</v>
      </c>
      <c r="E6" s="20">
        <f>Cashflows!C46</f>
        <v>5447862.9210864827</v>
      </c>
      <c r="G6" s="8">
        <v>1.02</v>
      </c>
      <c r="H6" s="10">
        <v>0.27505143649022656</v>
      </c>
      <c r="I6" s="10">
        <v>3.692484259646033</v>
      </c>
      <c r="K6" s="8">
        <v>1.02</v>
      </c>
      <c r="L6" s="10">
        <v>0.27505143649022656</v>
      </c>
      <c r="M6" s="10">
        <v>3.692484259646033</v>
      </c>
      <c r="O6" s="8">
        <v>1.06</v>
      </c>
      <c r="P6" s="10">
        <v>0.27505143649022656</v>
      </c>
      <c r="Q6" s="10">
        <v>3.692484259646033</v>
      </c>
    </row>
    <row r="7" spans="1:17" x14ac:dyDescent="0.3">
      <c r="A7" t="s">
        <v>14</v>
      </c>
      <c r="B7" s="2">
        <v>1.02</v>
      </c>
      <c r="D7" t="s">
        <v>5</v>
      </c>
      <c r="E7" s="7">
        <f>Cashflows!C45</f>
        <v>3.692484259646033</v>
      </c>
      <c r="G7" s="8">
        <v>1</v>
      </c>
      <c r="H7" s="10">
        <v>0.27383584493047719</v>
      </c>
      <c r="I7" s="10">
        <v>3.6721998360623509</v>
      </c>
      <c r="K7" s="8">
        <v>1</v>
      </c>
      <c r="L7" s="10">
        <v>0.27407896187570269</v>
      </c>
      <c r="M7" s="10">
        <v>3.6762567102895591</v>
      </c>
      <c r="O7" s="8">
        <v>1.04</v>
      </c>
      <c r="P7" s="10">
        <v>0.27424104021935047</v>
      </c>
      <c r="Q7" s="10">
        <v>3.6789612960327256</v>
      </c>
    </row>
    <row r="8" spans="1:17" x14ac:dyDescent="0.3">
      <c r="A8" t="s">
        <v>15</v>
      </c>
      <c r="B8" s="2">
        <v>1.02</v>
      </c>
      <c r="G8" s="8">
        <v>0.98</v>
      </c>
      <c r="H8" s="10">
        <v>0.2726202704968137</v>
      </c>
      <c r="I8" s="10">
        <v>3.6519155445182614</v>
      </c>
      <c r="K8" s="8">
        <v>0.98</v>
      </c>
      <c r="L8" s="10">
        <v>0.27310649820841748</v>
      </c>
      <c r="M8" s="10">
        <v>3.6600292451431491</v>
      </c>
      <c r="O8" s="8">
        <v>1.02</v>
      </c>
      <c r="P8" s="10">
        <v>0.27343065154449842</v>
      </c>
      <c r="Q8" s="10">
        <v>3.6654383907625778</v>
      </c>
    </row>
    <row r="9" spans="1:17" x14ac:dyDescent="0.3">
      <c r="A9" t="s">
        <v>16</v>
      </c>
      <c r="B9" s="2">
        <v>1.06</v>
      </c>
    </row>
    <row r="10" spans="1:17" x14ac:dyDescent="0.3">
      <c r="A10" t="s">
        <v>26</v>
      </c>
      <c r="B10" s="6">
        <f>3%</f>
        <v>0.03</v>
      </c>
      <c r="G10" t="s">
        <v>71</v>
      </c>
      <c r="H10" s="10">
        <f>E4</f>
        <v>0.27505143649022656</v>
      </c>
      <c r="I10" s="10">
        <f>E7</f>
        <v>3.692484259646033</v>
      </c>
      <c r="K10" t="s">
        <v>25</v>
      </c>
      <c r="L10" s="10">
        <f>E4</f>
        <v>0.27505143649022656</v>
      </c>
      <c r="M10" s="10">
        <f>E7</f>
        <v>3.692484259646033</v>
      </c>
    </row>
    <row r="11" spans="1:17" x14ac:dyDescent="0.3">
      <c r="A11" t="s">
        <v>25</v>
      </c>
      <c r="B11" s="6">
        <f>0.01</f>
        <v>0.01</v>
      </c>
      <c r="G11" s="10">
        <v>0.99</v>
      </c>
      <c r="H11" s="10">
        <f t="dataTable" ref="H11:I15" dt2D="0" dtr="0" r1="B37" ca="1"/>
        <v>0.27505143649022656</v>
      </c>
      <c r="I11" s="10">
        <v>21.859166590858695</v>
      </c>
      <c r="J11" s="10"/>
      <c r="K11" s="10">
        <v>0.04</v>
      </c>
      <c r="L11" s="10">
        <f t="dataTable" ref="L11:M15" dt2D="0" dtr="0" r1="B11" ca="1"/>
        <v>0.26622296340881624</v>
      </c>
      <c r="M11" s="10">
        <v>3.5451611672985033</v>
      </c>
    </row>
    <row r="12" spans="1:17" x14ac:dyDescent="0.3">
      <c r="A12" t="s">
        <v>56</v>
      </c>
      <c r="B12" s="6">
        <v>0.02</v>
      </c>
      <c r="G12" s="10">
        <v>0.94</v>
      </c>
      <c r="H12" s="10">
        <v>0.27505143649022656</v>
      </c>
      <c r="I12" s="10">
        <v>3.692484259646033</v>
      </c>
      <c r="J12" s="10"/>
      <c r="K12" s="10">
        <v>0.03</v>
      </c>
      <c r="L12" s="10">
        <v>0.26916568550374942</v>
      </c>
      <c r="M12" s="10">
        <v>3.5942680478879385</v>
      </c>
    </row>
    <row r="13" spans="1:17" x14ac:dyDescent="0.3">
      <c r="G13" s="10">
        <v>0.89</v>
      </c>
      <c r="H13" s="10">
        <v>0.27505143649022656</v>
      </c>
      <c r="I13" s="10">
        <v>2.0408409787986526</v>
      </c>
      <c r="J13" s="10"/>
      <c r="K13" s="10">
        <v>0.02</v>
      </c>
      <c r="L13" s="10">
        <v>0.27210851036703732</v>
      </c>
      <c r="M13" s="10">
        <v>3.6433757569727021</v>
      </c>
    </row>
    <row r="14" spans="1:17" x14ac:dyDescent="0.3">
      <c r="G14" s="10">
        <v>0.84</v>
      </c>
      <c r="H14" s="10">
        <v>0.27505143649022656</v>
      </c>
      <c r="I14" s="10">
        <v>1.4215306843412945</v>
      </c>
      <c r="J14" s="10"/>
      <c r="K14" s="10">
        <v>0.01</v>
      </c>
      <c r="L14" s="10">
        <v>0.27505143649022656</v>
      </c>
      <c r="M14" s="10">
        <v>3.692484259646033</v>
      </c>
    </row>
    <row r="15" spans="1:17" x14ac:dyDescent="0.3">
      <c r="A15" s="26" t="s">
        <v>28</v>
      </c>
      <c r="B15" s="26"/>
      <c r="G15" s="10">
        <v>0.79</v>
      </c>
      <c r="H15" s="10">
        <v>0.27505143649022656</v>
      </c>
      <c r="I15" s="10">
        <v>1.0972777071079927</v>
      </c>
      <c r="J15" s="10"/>
      <c r="K15" s="10">
        <v>0</v>
      </c>
      <c r="L15" s="10">
        <v>0.27799446238045378</v>
      </c>
      <c r="M15" s="10">
        <v>3.7415935230274773</v>
      </c>
    </row>
    <row r="16" spans="1:17" x14ac:dyDescent="0.3">
      <c r="A16" t="s">
        <v>29</v>
      </c>
      <c r="B16" s="11">
        <v>0.04</v>
      </c>
    </row>
    <row r="17" spans="1:2" x14ac:dyDescent="0.3">
      <c r="A17" t="s">
        <v>30</v>
      </c>
      <c r="B17" s="8">
        <v>800</v>
      </c>
    </row>
    <row r="18" spans="1:2" x14ac:dyDescent="0.3">
      <c r="A18" t="s">
        <v>31</v>
      </c>
      <c r="B18" s="8">
        <v>400</v>
      </c>
    </row>
    <row r="19" spans="1:2" x14ac:dyDescent="0.3">
      <c r="A19" t="s">
        <v>32</v>
      </c>
      <c r="B19" s="8">
        <v>100</v>
      </c>
    </row>
    <row r="20" spans="1:2" x14ac:dyDescent="0.3">
      <c r="A20" t="s">
        <v>33</v>
      </c>
      <c r="B20" s="8">
        <v>125</v>
      </c>
    </row>
    <row r="21" spans="1:2" x14ac:dyDescent="0.3">
      <c r="A21" t="s">
        <v>37</v>
      </c>
      <c r="B21" s="6">
        <v>1.4999999999999999E-2</v>
      </c>
    </row>
    <row r="22" spans="1:2" x14ac:dyDescent="0.3">
      <c r="A22" t="s">
        <v>49</v>
      </c>
      <c r="B22" s="6">
        <v>0.25</v>
      </c>
    </row>
    <row r="23" spans="1:2" x14ac:dyDescent="0.3">
      <c r="A23" t="s">
        <v>57</v>
      </c>
      <c r="B23" s="6">
        <f>3%</f>
        <v>0.03</v>
      </c>
    </row>
    <row r="24" spans="1:2" x14ac:dyDescent="0.3">
      <c r="B24" s="6"/>
    </row>
    <row r="25" spans="1:2" x14ac:dyDescent="0.3">
      <c r="A25" s="26" t="s">
        <v>45</v>
      </c>
      <c r="B25" s="26"/>
    </row>
    <row r="26" spans="1:2" x14ac:dyDescent="0.3">
      <c r="A26" s="1" t="s">
        <v>39</v>
      </c>
      <c r="B26" s="13">
        <v>19.55</v>
      </c>
    </row>
    <row r="27" spans="1:2" x14ac:dyDescent="0.3">
      <c r="A27" s="1" t="s">
        <v>40</v>
      </c>
      <c r="B27" s="15">
        <v>55000</v>
      </c>
    </row>
    <row r="28" spans="1:2" x14ac:dyDescent="0.3">
      <c r="A28" t="s">
        <v>38</v>
      </c>
      <c r="B28" s="14">
        <f>B26*SUM('Net Revenue'!D8:D10)+'Inputs and Outputs'!B27*SUM('Net Revenue'!C3:C6)</f>
        <v>2043350</v>
      </c>
    </row>
    <row r="29" spans="1:2" x14ac:dyDescent="0.3">
      <c r="A29" t="s">
        <v>41</v>
      </c>
      <c r="B29" s="11">
        <v>2.5000000000000001E-2</v>
      </c>
    </row>
    <row r="30" spans="1:2" x14ac:dyDescent="0.3">
      <c r="A30" t="s">
        <v>42</v>
      </c>
      <c r="B30" s="16">
        <f>-FV(B29,10,0,B28)</f>
        <v>2615660.7533836262</v>
      </c>
    </row>
    <row r="31" spans="1:2" x14ac:dyDescent="0.3">
      <c r="A31" t="s">
        <v>44</v>
      </c>
      <c r="B31" s="6">
        <v>0.15</v>
      </c>
    </row>
    <row r="32" spans="1:2" x14ac:dyDescent="0.3">
      <c r="A32" t="s">
        <v>46</v>
      </c>
      <c r="B32" s="2">
        <f>B28/27.5</f>
        <v>74303.636363636368</v>
      </c>
    </row>
    <row r="34" spans="1:2" x14ac:dyDescent="0.3">
      <c r="A34" s="26" t="s">
        <v>58</v>
      </c>
      <c r="B34" s="26"/>
    </row>
    <row r="35" spans="1:2" x14ac:dyDescent="0.3">
      <c r="A35" t="s">
        <v>2</v>
      </c>
      <c r="B35" s="11">
        <v>0.08</v>
      </c>
    </row>
    <row r="36" spans="1:2" x14ac:dyDescent="0.3">
      <c r="A36" t="s">
        <v>4</v>
      </c>
      <c r="B36" s="11">
        <v>0.15</v>
      </c>
    </row>
    <row r="37" spans="1:2" x14ac:dyDescent="0.3">
      <c r="A37" t="s">
        <v>60</v>
      </c>
      <c r="B37" s="9">
        <v>0.94</v>
      </c>
    </row>
    <row r="38" spans="1:2" x14ac:dyDescent="0.3">
      <c r="A38" t="s">
        <v>61</v>
      </c>
      <c r="B38" s="7">
        <v>0.05</v>
      </c>
    </row>
    <row r="39" spans="1:2" x14ac:dyDescent="0.3">
      <c r="A39" t="s">
        <v>62</v>
      </c>
      <c r="B39" s="20">
        <f>B37*B28</f>
        <v>1920749</v>
      </c>
    </row>
    <row r="40" spans="1:2" x14ac:dyDescent="0.3">
      <c r="A40" t="s">
        <v>63</v>
      </c>
      <c r="B40" s="12">
        <f>B38*B39</f>
        <v>96037.450000000012</v>
      </c>
    </row>
  </sheetData>
  <mergeCells count="7">
    <mergeCell ref="A25:B25"/>
    <mergeCell ref="A34:B34"/>
    <mergeCell ref="G1:Q1"/>
    <mergeCell ref="A1:B1"/>
    <mergeCell ref="D1:E1"/>
    <mergeCell ref="A2:B2"/>
    <mergeCell ref="A15:B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B4C5-E259-4B05-BD42-8DB0C8287A04}">
  <dimension ref="B2:F15"/>
  <sheetViews>
    <sheetView workbookViewId="0">
      <selection activeCell="E14" sqref="E14"/>
    </sheetView>
  </sheetViews>
  <sheetFormatPr defaultRowHeight="14.4" x14ac:dyDescent="0.3"/>
  <cols>
    <col min="2" max="2" width="18.33203125" bestFit="1" customWidth="1"/>
    <col min="3" max="3" width="10.88671875" bestFit="1" customWidth="1"/>
    <col min="4" max="4" width="6.44140625" bestFit="1" customWidth="1"/>
    <col min="5" max="5" width="13.6640625" bestFit="1" customWidth="1"/>
    <col min="6" max="6" width="14.109375" bestFit="1" customWidth="1"/>
  </cols>
  <sheetData>
    <row r="2" spans="2:6" x14ac:dyDescent="0.3">
      <c r="B2" t="s">
        <v>17</v>
      </c>
      <c r="C2" t="s">
        <v>18</v>
      </c>
      <c r="D2" t="s">
        <v>19</v>
      </c>
      <c r="E2" t="s">
        <v>20</v>
      </c>
      <c r="F2" t="s">
        <v>23</v>
      </c>
    </row>
    <row r="3" spans="2:6" x14ac:dyDescent="0.3">
      <c r="B3" t="s">
        <v>9</v>
      </c>
      <c r="C3">
        <v>4</v>
      </c>
      <c r="D3">
        <v>800</v>
      </c>
      <c r="E3" s="2">
        <f>'Inputs and Outputs'!B3</f>
        <v>1.3</v>
      </c>
      <c r="F3" s="2">
        <f>C3*D3*E3*12</f>
        <v>49920</v>
      </c>
    </row>
    <row r="4" spans="2:6" x14ac:dyDescent="0.3">
      <c r="B4" t="s">
        <v>10</v>
      </c>
      <c r="C4">
        <v>8</v>
      </c>
      <c r="D4">
        <v>950</v>
      </c>
      <c r="E4" s="2">
        <f>'Inputs and Outputs'!B4</f>
        <v>1.25</v>
      </c>
      <c r="F4" s="2">
        <f t="shared" ref="F4:F10" si="0">C4*D4*E4*12</f>
        <v>114000</v>
      </c>
    </row>
    <row r="5" spans="2:6" x14ac:dyDescent="0.3">
      <c r="B5" t="s">
        <v>11</v>
      </c>
      <c r="C5">
        <v>6</v>
      </c>
      <c r="D5" s="3">
        <v>1100</v>
      </c>
      <c r="E5" s="2">
        <f>'Inputs and Outputs'!B5</f>
        <v>1.2</v>
      </c>
      <c r="F5" s="2">
        <f t="shared" si="0"/>
        <v>95040</v>
      </c>
    </row>
    <row r="6" spans="2:6" x14ac:dyDescent="0.3">
      <c r="B6" t="s">
        <v>12</v>
      </c>
      <c r="C6">
        <v>6</v>
      </c>
      <c r="D6" s="3">
        <v>1450</v>
      </c>
      <c r="E6" s="2">
        <f>'Inputs and Outputs'!B6</f>
        <v>1.1499999999999999</v>
      </c>
      <c r="F6" s="2">
        <f t="shared" si="0"/>
        <v>120060</v>
      </c>
    </row>
    <row r="7" spans="2:6" x14ac:dyDescent="0.3">
      <c r="B7" t="s">
        <v>21</v>
      </c>
      <c r="C7" t="s">
        <v>18</v>
      </c>
      <c r="D7" t="s">
        <v>19</v>
      </c>
      <c r="E7" t="s">
        <v>20</v>
      </c>
      <c r="F7" s="2"/>
    </row>
    <row r="8" spans="2:6" x14ac:dyDescent="0.3">
      <c r="B8" t="s">
        <v>14</v>
      </c>
      <c r="C8">
        <v>1</v>
      </c>
      <c r="D8" s="3">
        <v>15000</v>
      </c>
      <c r="E8" s="2" cm="1">
        <f t="array" ref="E8:E10">'Inputs and Outputs'!B7:B9</f>
        <v>1.02</v>
      </c>
      <c r="F8" s="2">
        <f t="shared" si="0"/>
        <v>183600</v>
      </c>
    </row>
    <row r="9" spans="2:6" x14ac:dyDescent="0.3">
      <c r="B9" t="s">
        <v>15</v>
      </c>
      <c r="C9">
        <v>1</v>
      </c>
      <c r="D9" s="3">
        <v>12000</v>
      </c>
      <c r="E9" s="2">
        <v>1.02</v>
      </c>
      <c r="F9" s="2">
        <f t="shared" si="0"/>
        <v>146880</v>
      </c>
    </row>
    <row r="10" spans="2:6" x14ac:dyDescent="0.3">
      <c r="B10" t="s">
        <v>16</v>
      </c>
      <c r="C10">
        <v>1</v>
      </c>
      <c r="D10" s="3">
        <v>10000</v>
      </c>
      <c r="E10" s="2">
        <v>1.06</v>
      </c>
      <c r="F10" s="2">
        <f t="shared" si="0"/>
        <v>127200</v>
      </c>
    </row>
    <row r="11" spans="2:6" x14ac:dyDescent="0.3">
      <c r="B11" s="4" t="s">
        <v>24</v>
      </c>
      <c r="F11" s="5">
        <f>SUM(F3:F10)</f>
        <v>836700</v>
      </c>
    </row>
    <row r="12" spans="2:6" x14ac:dyDescent="0.3">
      <c r="B12" t="s">
        <v>25</v>
      </c>
      <c r="F12" s="2">
        <f>F11*'Inputs and Outputs'!B11</f>
        <v>8367</v>
      </c>
    </row>
    <row r="13" spans="2:6" x14ac:dyDescent="0.3">
      <c r="B13" t="s">
        <v>26</v>
      </c>
      <c r="F13" s="2">
        <f>F11*'Inputs and Outputs'!B10</f>
        <v>25101</v>
      </c>
    </row>
    <row r="14" spans="2:6" x14ac:dyDescent="0.3">
      <c r="B14" s="4" t="s">
        <v>27</v>
      </c>
      <c r="F14" s="5">
        <f>F11-F12-F13</f>
        <v>803232</v>
      </c>
    </row>
    <row r="15" spans="2:6" x14ac:dyDescent="0.3">
      <c r="B15" t="s">
        <v>35</v>
      </c>
      <c r="C15">
        <f>SUM(C3:C6,C8:C10)</f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B5E-EE18-4DC8-A87B-70049C79AD2A}">
  <dimension ref="B2:C9"/>
  <sheetViews>
    <sheetView workbookViewId="0">
      <selection activeCell="C3" sqref="C3"/>
    </sheetView>
  </sheetViews>
  <sheetFormatPr defaultRowHeight="14.4" x14ac:dyDescent="0.3"/>
  <cols>
    <col min="2" max="2" width="19.44140625" bestFit="1" customWidth="1"/>
    <col min="3" max="3" width="11.77734375" bestFit="1" customWidth="1"/>
  </cols>
  <sheetData>
    <row r="2" spans="2:3" x14ac:dyDescent="0.3">
      <c r="B2" t="s">
        <v>27</v>
      </c>
      <c r="C2" s="2">
        <f>'Net Revenue'!F14</f>
        <v>803232</v>
      </c>
    </row>
    <row r="3" spans="2:3" x14ac:dyDescent="0.3">
      <c r="B3" t="s">
        <v>29</v>
      </c>
      <c r="C3" s="2">
        <f>C2*'Inputs and Outputs'!B16</f>
        <v>32129.280000000002</v>
      </c>
    </row>
    <row r="4" spans="2:3" x14ac:dyDescent="0.3">
      <c r="B4" t="s">
        <v>30</v>
      </c>
      <c r="C4" s="12">
        <f>'Inputs and Outputs'!B17*'Net Revenue'!$C$15</f>
        <v>21600</v>
      </c>
    </row>
    <row r="5" spans="2:3" x14ac:dyDescent="0.3">
      <c r="B5" t="s">
        <v>31</v>
      </c>
      <c r="C5" s="12">
        <f>'Inputs and Outputs'!B18*'Net Revenue'!$C$15</f>
        <v>10800</v>
      </c>
    </row>
    <row r="6" spans="2:3" x14ac:dyDescent="0.3">
      <c r="B6" t="s">
        <v>32</v>
      </c>
      <c r="C6" s="12">
        <f>'Inputs and Outputs'!B19*'Net Revenue'!$C$15</f>
        <v>2700</v>
      </c>
    </row>
    <row r="7" spans="2:3" x14ac:dyDescent="0.3">
      <c r="B7" t="s">
        <v>33</v>
      </c>
      <c r="C7" s="12">
        <f>'Inputs and Outputs'!B20*'Net Revenue'!$C$15</f>
        <v>3375</v>
      </c>
    </row>
    <row r="8" spans="2:3" x14ac:dyDescent="0.3">
      <c r="B8" t="s">
        <v>37</v>
      </c>
      <c r="C8" s="12">
        <f>'Inputs and Outputs'!B21*'Inputs and Outputs'!B28</f>
        <v>30650.25</v>
      </c>
    </row>
    <row r="9" spans="2:3" x14ac:dyDescent="0.3">
      <c r="B9" s="4" t="s">
        <v>36</v>
      </c>
      <c r="C9" s="5">
        <f>SUM(C3:C8)</f>
        <v>101254.53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FE27-E87B-4523-92D2-97A063EDDF07}">
  <dimension ref="B3:M46"/>
  <sheetViews>
    <sheetView workbookViewId="0">
      <selection activeCell="D6" sqref="D6"/>
    </sheetView>
  </sheetViews>
  <sheetFormatPr defaultRowHeight="14.4" x14ac:dyDescent="0.3"/>
  <cols>
    <col min="2" max="2" width="23.6640625" bestFit="1" customWidth="1"/>
    <col min="3" max="3" width="14.109375" bestFit="1" customWidth="1"/>
    <col min="4" max="11" width="13.5546875" bestFit="1" customWidth="1"/>
    <col min="12" max="12" width="12.44140625" customWidth="1"/>
    <col min="13" max="13" width="13.5546875" bestFit="1" customWidth="1"/>
  </cols>
  <sheetData>
    <row r="3" spans="2:13" x14ac:dyDescent="0.3">
      <c r="B3" s="27" t="s">
        <v>43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3" x14ac:dyDescent="0.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  <row r="5" spans="2:13" x14ac:dyDescent="0.3">
      <c r="B5" s="17" t="s">
        <v>6</v>
      </c>
    </row>
    <row r="6" spans="2:13" x14ac:dyDescent="0.3">
      <c r="B6" s="23" t="s">
        <v>22</v>
      </c>
      <c r="D6" s="14">
        <f>'Net Revenue'!$F$14</f>
        <v>803232</v>
      </c>
      <c r="E6" s="20">
        <f>D6*(1+'Inputs and Outputs'!$B$12)</f>
        <v>819296.64</v>
      </c>
      <c r="F6" s="20">
        <f>E6*(1+'Inputs and Outputs'!$B$12)</f>
        <v>835682.57280000008</v>
      </c>
      <c r="G6" s="20">
        <f>F6*(1+'Inputs and Outputs'!$B$12)</f>
        <v>852396.22425600013</v>
      </c>
      <c r="H6" s="20">
        <f>G6*(1+'Inputs and Outputs'!$B$12)</f>
        <v>869444.14874112012</v>
      </c>
      <c r="I6" s="20">
        <f>H6*(1+'Inputs and Outputs'!$B$12)</f>
        <v>886833.03171594255</v>
      </c>
      <c r="J6" s="20">
        <f>I6*(1+'Inputs and Outputs'!$B$12)</f>
        <v>904569.69235026138</v>
      </c>
      <c r="K6" s="20">
        <f>J6*(1+'Inputs and Outputs'!$B$12)</f>
        <v>922661.08619726659</v>
      </c>
      <c r="L6" s="20">
        <f>K6*(1+'Inputs and Outputs'!$B$12)</f>
        <v>941114.30792121193</v>
      </c>
      <c r="M6" s="20">
        <f>L6*(1+'Inputs and Outputs'!$B$12)</f>
        <v>959936.59407963615</v>
      </c>
    </row>
    <row r="7" spans="2:13" x14ac:dyDescent="0.3">
      <c r="B7" s="23" t="s">
        <v>34</v>
      </c>
      <c r="D7" s="14">
        <f>OpEx!$C$9</f>
        <v>101254.53</v>
      </c>
      <c r="E7" s="20">
        <f>D7*(1+'Inputs and Outputs'!$B$23)</f>
        <v>104292.16590000001</v>
      </c>
      <c r="F7" s="20">
        <f>E7*(1+'Inputs and Outputs'!$B$23)</f>
        <v>107420.93087700001</v>
      </c>
      <c r="G7" s="20">
        <f>F7*(1+'Inputs and Outputs'!$B$23)</f>
        <v>110643.55880331001</v>
      </c>
      <c r="H7" s="20">
        <f>G7*(1+'Inputs and Outputs'!$B$23)</f>
        <v>113962.86556740932</v>
      </c>
      <c r="I7" s="20">
        <f>H7*(1+'Inputs and Outputs'!$B$23)</f>
        <v>117381.75153443161</v>
      </c>
      <c r="J7" s="20">
        <f>I7*(1+'Inputs and Outputs'!$B$23)</f>
        <v>120903.20408046455</v>
      </c>
      <c r="K7" s="20">
        <f>J7*(1+'Inputs and Outputs'!$B$23)</f>
        <v>124530.3002028785</v>
      </c>
      <c r="L7" s="20">
        <f>K7*(1+'Inputs and Outputs'!$B$23)</f>
        <v>128266.20920896485</v>
      </c>
      <c r="M7" s="20">
        <f>L7*(1+'Inputs and Outputs'!$B$23)</f>
        <v>132114.19548523379</v>
      </c>
    </row>
    <row r="8" spans="2:13" x14ac:dyDescent="0.3">
      <c r="B8" s="23" t="s">
        <v>37</v>
      </c>
      <c r="D8" s="14">
        <f>'Inputs and Outputs'!$B$21*'Inputs and Outputs'!$B$28</f>
        <v>30650.25</v>
      </c>
      <c r="E8" s="14">
        <f>'Inputs and Outputs'!$B$21*'Inputs and Outputs'!$B$28</f>
        <v>30650.25</v>
      </c>
      <c r="F8" s="14">
        <f>'Inputs and Outputs'!$B$21*'Inputs and Outputs'!$B$28</f>
        <v>30650.25</v>
      </c>
      <c r="G8" s="14">
        <f>'Inputs and Outputs'!$B$21*'Inputs and Outputs'!$B$28</f>
        <v>30650.25</v>
      </c>
      <c r="H8" s="14">
        <f>'Inputs and Outputs'!$B$21*'Inputs and Outputs'!$B$28</f>
        <v>30650.25</v>
      </c>
      <c r="I8" s="14">
        <f>'Inputs and Outputs'!$B$21*'Inputs and Outputs'!$B$28</f>
        <v>30650.25</v>
      </c>
      <c r="J8" s="14">
        <f>'Inputs and Outputs'!$B$21*'Inputs and Outputs'!$B$28</f>
        <v>30650.25</v>
      </c>
      <c r="K8" s="14">
        <f>'Inputs and Outputs'!$B$21*'Inputs and Outputs'!$B$28</f>
        <v>30650.25</v>
      </c>
      <c r="L8" s="14">
        <f>'Inputs and Outputs'!$B$21*'Inputs and Outputs'!$B$28</f>
        <v>30650.25</v>
      </c>
      <c r="M8" s="14">
        <f>'Inputs and Outputs'!$B$21*'Inputs and Outputs'!$B$28</f>
        <v>30650.25</v>
      </c>
    </row>
    <row r="9" spans="2:13" x14ac:dyDescent="0.3">
      <c r="B9" s="23" t="s">
        <v>47</v>
      </c>
      <c r="D9" s="14">
        <f>'Inputs and Outputs'!$B$32</f>
        <v>74303.636363636368</v>
      </c>
      <c r="E9" s="14">
        <f>'Inputs and Outputs'!$B$32</f>
        <v>74303.636363636368</v>
      </c>
      <c r="F9" s="14">
        <f>'Inputs and Outputs'!$B$32</f>
        <v>74303.636363636368</v>
      </c>
      <c r="G9" s="14">
        <f>'Inputs and Outputs'!$B$32</f>
        <v>74303.636363636368</v>
      </c>
      <c r="H9" s="14">
        <f>'Inputs and Outputs'!$B$32</f>
        <v>74303.636363636368</v>
      </c>
      <c r="I9" s="14">
        <f>'Inputs and Outputs'!$B$32</f>
        <v>74303.636363636368</v>
      </c>
      <c r="J9" s="14">
        <f>'Inputs and Outputs'!$B$32</f>
        <v>74303.636363636368</v>
      </c>
      <c r="K9" s="14">
        <f>'Inputs and Outputs'!$B$32</f>
        <v>74303.636363636368</v>
      </c>
      <c r="L9" s="14">
        <f>'Inputs and Outputs'!$B$32</f>
        <v>74303.636363636368</v>
      </c>
      <c r="M9" s="14">
        <f>'Inputs and Outputs'!$B$32</f>
        <v>74303.636363636368</v>
      </c>
    </row>
    <row r="10" spans="2:13" x14ac:dyDescent="0.3">
      <c r="B10" s="23" t="s">
        <v>50</v>
      </c>
      <c r="D10" s="20">
        <f>D6-D7-D8-D9</f>
        <v>597023.58363636362</v>
      </c>
      <c r="E10" s="20">
        <f t="shared" ref="E10:M10" si="0">E6-E7-E8-E9</f>
        <v>610050.58773636364</v>
      </c>
      <c r="F10" s="20">
        <f t="shared" si="0"/>
        <v>623307.75555936375</v>
      </c>
      <c r="G10" s="20">
        <f t="shared" si="0"/>
        <v>636798.77908905374</v>
      </c>
      <c r="H10" s="20">
        <f t="shared" si="0"/>
        <v>650527.39681007445</v>
      </c>
      <c r="I10" s="20">
        <f t="shared" si="0"/>
        <v>664497.3938178746</v>
      </c>
      <c r="J10" s="20">
        <f t="shared" si="0"/>
        <v>678712.60190616047</v>
      </c>
      <c r="K10" s="20">
        <f t="shared" si="0"/>
        <v>693176.89963075169</v>
      </c>
      <c r="L10" s="20">
        <f t="shared" si="0"/>
        <v>707894.21234861074</v>
      </c>
      <c r="M10" s="20">
        <f t="shared" si="0"/>
        <v>722868.51223076601</v>
      </c>
    </row>
    <row r="11" spans="2:13" x14ac:dyDescent="0.3">
      <c r="B11" s="23" t="s">
        <v>48</v>
      </c>
      <c r="D11" s="20">
        <f>D10*('Inputs and Outputs'!$B$22)</f>
        <v>149255.8959090909</v>
      </c>
      <c r="E11" s="20">
        <f>E10*('Inputs and Outputs'!$B$22)</f>
        <v>152512.64693409091</v>
      </c>
      <c r="F11" s="20">
        <f>F10*('Inputs and Outputs'!$B$22)</f>
        <v>155826.93888984094</v>
      </c>
      <c r="G11" s="20">
        <f>G10*('Inputs and Outputs'!$B$22)</f>
        <v>159199.69477226344</v>
      </c>
      <c r="H11" s="20">
        <f>H10*('Inputs and Outputs'!$B$22)</f>
        <v>162631.84920251861</v>
      </c>
      <c r="I11" s="20">
        <f>I10*('Inputs and Outputs'!$B$22)</f>
        <v>166124.34845446865</v>
      </c>
      <c r="J11" s="20">
        <f>J10*('Inputs and Outputs'!$B$22)</f>
        <v>169678.15047654012</v>
      </c>
      <c r="K11" s="20">
        <f>K10*('Inputs and Outputs'!$B$22)</f>
        <v>173294.22490768792</v>
      </c>
      <c r="L11" s="20">
        <f>L10*('Inputs and Outputs'!$B$22)</f>
        <v>176973.55308715269</v>
      </c>
      <c r="M11" s="20">
        <f>M10*('Inputs and Outputs'!$B$22)</f>
        <v>180717.1280576915</v>
      </c>
    </row>
    <row r="12" spans="2:13" x14ac:dyDescent="0.3">
      <c r="B12" s="23" t="s">
        <v>51</v>
      </c>
      <c r="D12" s="20">
        <f>D10-D11</f>
        <v>447767.68772727274</v>
      </c>
      <c r="E12" s="20">
        <f t="shared" ref="E12:M12" si="1">E10-E11</f>
        <v>457537.94080227276</v>
      </c>
      <c r="F12" s="20">
        <f t="shared" si="1"/>
        <v>467480.81666952278</v>
      </c>
      <c r="G12" s="20">
        <f t="shared" si="1"/>
        <v>477599.08431679034</v>
      </c>
      <c r="H12" s="20">
        <f t="shared" si="1"/>
        <v>487895.54760755587</v>
      </c>
      <c r="I12" s="20">
        <f t="shared" si="1"/>
        <v>498373.04536340595</v>
      </c>
      <c r="J12" s="20">
        <f t="shared" si="1"/>
        <v>509034.45142962039</v>
      </c>
      <c r="K12" s="20">
        <f t="shared" si="1"/>
        <v>519882.67472306377</v>
      </c>
      <c r="L12" s="20">
        <f t="shared" si="1"/>
        <v>530920.65926145809</v>
      </c>
      <c r="M12" s="20">
        <f t="shared" si="1"/>
        <v>542151.3841730745</v>
      </c>
    </row>
    <row r="13" spans="2:13" x14ac:dyDescent="0.3">
      <c r="B13" s="24" t="s">
        <v>55</v>
      </c>
      <c r="C13" s="4"/>
      <c r="D13" s="22">
        <f>D12+D9</f>
        <v>522071.3240909091</v>
      </c>
      <c r="E13" s="22">
        <f t="shared" ref="E13:M13" si="2">E12+E9</f>
        <v>531841.57716590911</v>
      </c>
      <c r="F13" s="22">
        <f t="shared" si="2"/>
        <v>541784.45303315914</v>
      </c>
      <c r="G13" s="22">
        <f t="shared" si="2"/>
        <v>551902.72068042669</v>
      </c>
      <c r="H13" s="22">
        <f t="shared" si="2"/>
        <v>562199.18397119222</v>
      </c>
      <c r="I13" s="22">
        <f t="shared" si="2"/>
        <v>572676.68172704231</v>
      </c>
      <c r="J13" s="22">
        <f t="shared" si="2"/>
        <v>583338.08779325674</v>
      </c>
      <c r="K13" s="22">
        <f t="shared" si="2"/>
        <v>594186.31108670018</v>
      </c>
      <c r="L13" s="22">
        <f t="shared" si="2"/>
        <v>605224.29562509444</v>
      </c>
      <c r="M13" s="22">
        <f t="shared" si="2"/>
        <v>616455.02053671086</v>
      </c>
    </row>
    <row r="15" spans="2:13" x14ac:dyDescent="0.3">
      <c r="B15" s="17" t="s">
        <v>7</v>
      </c>
    </row>
    <row r="16" spans="2:13" x14ac:dyDescent="0.3">
      <c r="B16" t="s">
        <v>52</v>
      </c>
      <c r="C16" s="14">
        <f>-'Inputs and Outputs'!$B$28</f>
        <v>-2043350</v>
      </c>
    </row>
    <row r="17" spans="2:13" x14ac:dyDescent="0.3">
      <c r="B17" t="s">
        <v>53</v>
      </c>
      <c r="M17" s="19">
        <f>'Inputs and Outputs'!$B$30-('Inputs and Outputs'!$B$30-'Inputs and Outputs'!$B$28)*'Inputs and Outputs'!$B$31</f>
        <v>2529814.1403760822</v>
      </c>
    </row>
    <row r="18" spans="2:13" x14ac:dyDescent="0.3">
      <c r="B18" s="4" t="s">
        <v>54</v>
      </c>
      <c r="C18" s="20">
        <f>SUM(C16:C17)</f>
        <v>-2043350</v>
      </c>
      <c r="D18" s="20"/>
      <c r="E18" s="20"/>
      <c r="F18" s="20"/>
      <c r="G18" s="20"/>
      <c r="H18" s="20"/>
      <c r="I18" s="20"/>
      <c r="J18" s="20"/>
      <c r="K18" s="20"/>
      <c r="L18" s="20"/>
      <c r="M18" s="20">
        <f t="shared" ref="M18" si="3">SUM(M16:M17)</f>
        <v>2529814.1403760822</v>
      </c>
    </row>
    <row r="19" spans="2:13" x14ac:dyDescent="0.3">
      <c r="B19" s="4"/>
    </row>
    <row r="20" spans="2:13" x14ac:dyDescent="0.3">
      <c r="B20" s="17" t="s">
        <v>8</v>
      </c>
      <c r="C20" s="20">
        <f>C13+C18</f>
        <v>-2043350</v>
      </c>
      <c r="D20" s="22">
        <f t="shared" ref="D20:M20" si="4">D13+D18</f>
        <v>522071.3240909091</v>
      </c>
      <c r="E20" s="22">
        <f t="shared" si="4"/>
        <v>531841.57716590911</v>
      </c>
      <c r="F20" s="22">
        <f t="shared" si="4"/>
        <v>541784.45303315914</v>
      </c>
      <c r="G20" s="22">
        <f t="shared" si="4"/>
        <v>551902.72068042669</v>
      </c>
      <c r="H20" s="22">
        <f t="shared" si="4"/>
        <v>562199.18397119222</v>
      </c>
      <c r="I20" s="22">
        <f t="shared" si="4"/>
        <v>572676.68172704231</v>
      </c>
      <c r="J20" s="22">
        <f t="shared" si="4"/>
        <v>583338.08779325674</v>
      </c>
      <c r="K20" s="22">
        <f t="shared" si="4"/>
        <v>594186.31108670018</v>
      </c>
      <c r="L20" s="22">
        <f t="shared" si="4"/>
        <v>605224.29562509444</v>
      </c>
      <c r="M20" s="22">
        <f t="shared" si="4"/>
        <v>3146269.1609127931</v>
      </c>
    </row>
    <row r="21" spans="2:13" x14ac:dyDescent="0.3">
      <c r="B21" s="17" t="s">
        <v>3</v>
      </c>
      <c r="C21" s="25">
        <f>IRR(C20:M20)</f>
        <v>0.27505143649022656</v>
      </c>
    </row>
    <row r="22" spans="2:13" x14ac:dyDescent="0.3">
      <c r="B22" s="17" t="s">
        <v>2</v>
      </c>
      <c r="C22" s="21">
        <f>NPV('Inputs and Outputs'!B35,Cashflows!D20:M20)+Cashflows!C20</f>
        <v>2896762.2781603588</v>
      </c>
    </row>
    <row r="26" spans="2:13" x14ac:dyDescent="0.3">
      <c r="B26" s="27" t="s">
        <v>59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13" x14ac:dyDescent="0.3"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</row>
    <row r="28" spans="2:13" x14ac:dyDescent="0.3">
      <c r="B28" s="17" t="s">
        <v>6</v>
      </c>
    </row>
    <row r="29" spans="2:13" x14ac:dyDescent="0.3">
      <c r="B29" s="23" t="s">
        <v>22</v>
      </c>
      <c r="D29" s="14">
        <f>'Net Revenue'!$F$14</f>
        <v>803232</v>
      </c>
      <c r="E29" s="20">
        <f>D29*(1+'Inputs and Outputs'!$B$12)</f>
        <v>819296.64</v>
      </c>
      <c r="F29" s="20">
        <f>E29*(1+'Inputs and Outputs'!$B$12)</f>
        <v>835682.57280000008</v>
      </c>
      <c r="G29" s="20">
        <f>F29*(1+'Inputs and Outputs'!$B$12)</f>
        <v>852396.22425600013</v>
      </c>
      <c r="H29" s="20">
        <f>G29*(1+'Inputs and Outputs'!$B$12)</f>
        <v>869444.14874112012</v>
      </c>
      <c r="I29" s="20">
        <f>H29*(1+'Inputs and Outputs'!$B$12)</f>
        <v>886833.03171594255</v>
      </c>
      <c r="J29" s="20">
        <f>I29*(1+'Inputs and Outputs'!$B$12)</f>
        <v>904569.69235026138</v>
      </c>
      <c r="K29" s="20">
        <f>J29*(1+'Inputs and Outputs'!$B$12)</f>
        <v>922661.08619726659</v>
      </c>
      <c r="L29" s="20">
        <f>K29*(1+'Inputs and Outputs'!$B$12)</f>
        <v>941114.30792121193</v>
      </c>
      <c r="M29" s="20">
        <f>L29*(1+'Inputs and Outputs'!$B$12)</f>
        <v>959936.59407963615</v>
      </c>
    </row>
    <row r="30" spans="2:13" x14ac:dyDescent="0.3">
      <c r="B30" s="23" t="s">
        <v>34</v>
      </c>
      <c r="D30" s="14">
        <f>OpEx!$C$9</f>
        <v>101254.53</v>
      </c>
      <c r="E30" s="20">
        <f>D30*(1+'Inputs and Outputs'!$B$23)</f>
        <v>104292.16590000001</v>
      </c>
      <c r="F30" s="20">
        <f>E30*(1+'Inputs and Outputs'!$B$23)</f>
        <v>107420.93087700001</v>
      </c>
      <c r="G30" s="20">
        <f>F30*(1+'Inputs and Outputs'!$B$23)</f>
        <v>110643.55880331001</v>
      </c>
      <c r="H30" s="20">
        <f>G30*(1+'Inputs and Outputs'!$B$23)</f>
        <v>113962.86556740932</v>
      </c>
      <c r="I30" s="20">
        <f>H30*(1+'Inputs and Outputs'!$B$23)</f>
        <v>117381.75153443161</v>
      </c>
      <c r="J30" s="20">
        <f>I30*(1+'Inputs and Outputs'!$B$23)</f>
        <v>120903.20408046455</v>
      </c>
      <c r="K30" s="20">
        <f>J30*(1+'Inputs and Outputs'!$B$23)</f>
        <v>124530.3002028785</v>
      </c>
      <c r="L30" s="20">
        <f>K30*(1+'Inputs and Outputs'!$B$23)</f>
        <v>128266.20920896485</v>
      </c>
      <c r="M30" s="20">
        <f>L30*(1+'Inputs and Outputs'!$B$23)</f>
        <v>132114.19548523379</v>
      </c>
    </row>
    <row r="31" spans="2:13" x14ac:dyDescent="0.3">
      <c r="B31" s="23" t="s">
        <v>37</v>
      </c>
      <c r="D31" s="14">
        <f>'Inputs and Outputs'!$B$21*'Inputs and Outputs'!$B$28</f>
        <v>30650.25</v>
      </c>
      <c r="E31" s="14">
        <f>'Inputs and Outputs'!$B$21*'Inputs and Outputs'!$B$28</f>
        <v>30650.25</v>
      </c>
      <c r="F31" s="14">
        <f>'Inputs and Outputs'!$B$21*'Inputs and Outputs'!$B$28</f>
        <v>30650.25</v>
      </c>
      <c r="G31" s="14">
        <f>'Inputs and Outputs'!$B$21*'Inputs and Outputs'!$B$28</f>
        <v>30650.25</v>
      </c>
      <c r="H31" s="14">
        <f>'Inputs and Outputs'!$B$21*'Inputs and Outputs'!$B$28</f>
        <v>30650.25</v>
      </c>
      <c r="I31" s="14">
        <f>'Inputs and Outputs'!$B$21*'Inputs and Outputs'!$B$28</f>
        <v>30650.25</v>
      </c>
      <c r="J31" s="14">
        <f>'Inputs and Outputs'!$B$21*'Inputs and Outputs'!$B$28</f>
        <v>30650.25</v>
      </c>
      <c r="K31" s="14">
        <f>'Inputs and Outputs'!$B$21*'Inputs and Outputs'!$B$28</f>
        <v>30650.25</v>
      </c>
      <c r="L31" s="14">
        <f>'Inputs and Outputs'!$B$21*'Inputs and Outputs'!$B$28</f>
        <v>30650.25</v>
      </c>
      <c r="M31" s="14">
        <f>'Inputs and Outputs'!$B$21*'Inputs and Outputs'!$B$28</f>
        <v>30650.25</v>
      </c>
    </row>
    <row r="32" spans="2:13" x14ac:dyDescent="0.3">
      <c r="B32" s="23" t="s">
        <v>47</v>
      </c>
      <c r="D32" s="14">
        <f>'Inputs and Outputs'!$B$32</f>
        <v>74303.636363636368</v>
      </c>
      <c r="E32" s="14">
        <f>'Inputs and Outputs'!$B$32</f>
        <v>74303.636363636368</v>
      </c>
      <c r="F32" s="14">
        <f>'Inputs and Outputs'!$B$32</f>
        <v>74303.636363636368</v>
      </c>
      <c r="G32" s="14">
        <f>'Inputs and Outputs'!$B$32</f>
        <v>74303.636363636368</v>
      </c>
      <c r="H32" s="14">
        <f>'Inputs and Outputs'!$B$32</f>
        <v>74303.636363636368</v>
      </c>
      <c r="I32" s="14">
        <f>'Inputs and Outputs'!$B$32</f>
        <v>74303.636363636368</v>
      </c>
      <c r="J32" s="14">
        <f>'Inputs and Outputs'!$B$32</f>
        <v>74303.636363636368</v>
      </c>
      <c r="K32" s="14">
        <f>'Inputs and Outputs'!$B$32</f>
        <v>74303.636363636368</v>
      </c>
      <c r="L32" s="14">
        <f>'Inputs and Outputs'!$B$32</f>
        <v>74303.636363636368</v>
      </c>
      <c r="M32" s="14">
        <f>'Inputs and Outputs'!$B$32</f>
        <v>74303.636363636368</v>
      </c>
    </row>
    <row r="33" spans="2:13" x14ac:dyDescent="0.3">
      <c r="B33" s="23" t="s">
        <v>64</v>
      </c>
      <c r="D33" s="14">
        <f>'Inputs and Outputs'!$B$40</f>
        <v>96037.450000000012</v>
      </c>
      <c r="E33" s="14">
        <f>'Inputs and Outputs'!$B$40</f>
        <v>96037.450000000012</v>
      </c>
      <c r="F33" s="14">
        <f>'Inputs and Outputs'!$B$40</f>
        <v>96037.450000000012</v>
      </c>
      <c r="G33" s="14">
        <f>'Inputs and Outputs'!$B$40</f>
        <v>96037.450000000012</v>
      </c>
      <c r="H33" s="14">
        <f>'Inputs and Outputs'!$B$40</f>
        <v>96037.450000000012</v>
      </c>
      <c r="I33" s="14">
        <f>'Inputs and Outputs'!$B$40</f>
        <v>96037.450000000012</v>
      </c>
      <c r="J33" s="14">
        <f>'Inputs and Outputs'!$B$40</f>
        <v>96037.450000000012</v>
      </c>
      <c r="K33" s="14">
        <f>'Inputs and Outputs'!$B$40</f>
        <v>96037.450000000012</v>
      </c>
      <c r="L33" s="14">
        <f>'Inputs and Outputs'!$B$40</f>
        <v>96037.450000000012</v>
      </c>
      <c r="M33" s="14">
        <f>'Inputs and Outputs'!$B$40</f>
        <v>96037.450000000012</v>
      </c>
    </row>
    <row r="34" spans="2:13" x14ac:dyDescent="0.3">
      <c r="B34" s="23" t="s">
        <v>50</v>
      </c>
      <c r="D34" s="20">
        <f>D29-D30-D31-D32-D33</f>
        <v>500986.13363636361</v>
      </c>
      <c r="E34" s="20">
        <f t="shared" ref="E34:M34" si="5">E29-E30-E31-E32-E33</f>
        <v>514013.13773636363</v>
      </c>
      <c r="F34" s="20">
        <f t="shared" si="5"/>
        <v>527270.30555936368</v>
      </c>
      <c r="G34" s="20">
        <f t="shared" si="5"/>
        <v>540761.32908905367</v>
      </c>
      <c r="H34" s="20">
        <f t="shared" si="5"/>
        <v>554489.94681007438</v>
      </c>
      <c r="I34" s="20">
        <f t="shared" si="5"/>
        <v>568459.94381787465</v>
      </c>
      <c r="J34" s="20">
        <f t="shared" si="5"/>
        <v>582675.1519061604</v>
      </c>
      <c r="K34" s="20">
        <f t="shared" si="5"/>
        <v>597139.44963075174</v>
      </c>
      <c r="L34" s="20">
        <f t="shared" si="5"/>
        <v>611856.76234861067</v>
      </c>
      <c r="M34" s="20">
        <f t="shared" si="5"/>
        <v>626831.06223076605</v>
      </c>
    </row>
    <row r="35" spans="2:13" x14ac:dyDescent="0.3">
      <c r="B35" s="23" t="s">
        <v>48</v>
      </c>
      <c r="D35" s="20">
        <f>D34*('Inputs and Outputs'!$B$22)</f>
        <v>125246.5334090909</v>
      </c>
      <c r="E35" s="20">
        <f>E34*('Inputs and Outputs'!$B$22)</f>
        <v>128503.28443409091</v>
      </c>
      <c r="F35" s="20">
        <f>F34*('Inputs and Outputs'!$B$22)</f>
        <v>131817.57638984092</v>
      </c>
      <c r="G35" s="20">
        <f>G34*('Inputs and Outputs'!$B$22)</f>
        <v>135190.33227226342</v>
      </c>
      <c r="H35" s="20">
        <f>H34*('Inputs and Outputs'!$B$22)</f>
        <v>138622.4867025186</v>
      </c>
      <c r="I35" s="20">
        <f>I34*('Inputs and Outputs'!$B$22)</f>
        <v>142114.98595446866</v>
      </c>
      <c r="J35" s="20">
        <f>J34*('Inputs and Outputs'!$B$22)</f>
        <v>145668.7879765401</v>
      </c>
      <c r="K35" s="20">
        <f>K34*('Inputs and Outputs'!$B$22)</f>
        <v>149284.86240768794</v>
      </c>
      <c r="L35" s="20">
        <f>L34*('Inputs and Outputs'!$B$22)</f>
        <v>152964.19058715267</v>
      </c>
      <c r="M35" s="20">
        <f>M34*('Inputs and Outputs'!$B$22)</f>
        <v>156707.76555769151</v>
      </c>
    </row>
    <row r="36" spans="2:13" x14ac:dyDescent="0.3">
      <c r="B36" s="23" t="s">
        <v>51</v>
      </c>
      <c r="D36" s="20">
        <f>D34-D35</f>
        <v>375739.60022727272</v>
      </c>
      <c r="E36" s="20">
        <f t="shared" ref="E36" si="6">E34-E35</f>
        <v>385509.85330227274</v>
      </c>
      <c r="F36" s="20">
        <f t="shared" ref="F36" si="7">F34-F35</f>
        <v>395452.72916952276</v>
      </c>
      <c r="G36" s="20">
        <f t="shared" ref="G36" si="8">G34-G35</f>
        <v>405570.99681679026</v>
      </c>
      <c r="H36" s="20">
        <f t="shared" ref="H36" si="9">H34-H35</f>
        <v>415867.46010755579</v>
      </c>
      <c r="I36" s="20">
        <f t="shared" ref="I36" si="10">I34-I35</f>
        <v>426344.95786340599</v>
      </c>
      <c r="J36" s="20">
        <f t="shared" ref="J36" si="11">J34-J35</f>
        <v>437006.3639296203</v>
      </c>
      <c r="K36" s="20">
        <f t="shared" ref="K36" si="12">K34-K35</f>
        <v>447854.58722306381</v>
      </c>
      <c r="L36" s="20">
        <f t="shared" ref="L36" si="13">L34-L35</f>
        <v>458892.57176145801</v>
      </c>
      <c r="M36" s="20">
        <f t="shared" ref="M36" si="14">M34-M35</f>
        <v>470123.29667307454</v>
      </c>
    </row>
    <row r="37" spans="2:13" x14ac:dyDescent="0.3">
      <c r="B37" s="24" t="s">
        <v>55</v>
      </c>
      <c r="C37" s="4"/>
      <c r="D37" s="22">
        <f>D36+D32</f>
        <v>450043.23659090907</v>
      </c>
      <c r="E37" s="22">
        <f t="shared" ref="E37" si="15">E36+E32</f>
        <v>459813.48966590909</v>
      </c>
      <c r="F37" s="22">
        <f t="shared" ref="F37" si="16">F36+F32</f>
        <v>469756.36553315911</v>
      </c>
      <c r="G37" s="22">
        <f t="shared" ref="G37" si="17">G36+G32</f>
        <v>479874.63318042661</v>
      </c>
      <c r="H37" s="22">
        <f t="shared" ref="H37" si="18">H36+H32</f>
        <v>490171.09647119214</v>
      </c>
      <c r="I37" s="22">
        <f t="shared" ref="I37" si="19">I36+I32</f>
        <v>500648.59422704234</v>
      </c>
      <c r="J37" s="22">
        <f t="shared" ref="J37" si="20">J36+J32</f>
        <v>511310.00029325666</v>
      </c>
      <c r="K37" s="22">
        <f t="shared" ref="K37" si="21">K36+K32</f>
        <v>522158.22358670016</v>
      </c>
      <c r="L37" s="22">
        <f t="shared" ref="L37" si="22">L36+L32</f>
        <v>533196.20812509442</v>
      </c>
      <c r="M37" s="22">
        <f t="shared" ref="M37" si="23">M36+M32</f>
        <v>544426.93303671095</v>
      </c>
    </row>
    <row r="39" spans="2:13" x14ac:dyDescent="0.3">
      <c r="B39" s="17" t="s">
        <v>7</v>
      </c>
    </row>
    <row r="40" spans="2:13" x14ac:dyDescent="0.3">
      <c r="B40" t="s">
        <v>52</v>
      </c>
      <c r="C40" s="14">
        <f>-('Inputs and Outputs'!B28-'Inputs and Outputs'!B39)</f>
        <v>-122601</v>
      </c>
    </row>
    <row r="41" spans="2:13" x14ac:dyDescent="0.3">
      <c r="B41" t="s">
        <v>53</v>
      </c>
      <c r="M41" s="19">
        <f>'Inputs and Outputs'!B30-'Inputs and Outputs'!B39-('Inputs and Outputs'!B30-'Inputs and Outputs'!B28)*'Inputs and Outputs'!B31</f>
        <v>609065.14037608227</v>
      </c>
    </row>
    <row r="42" spans="2:13" x14ac:dyDescent="0.3">
      <c r="B42" s="4" t="s">
        <v>54</v>
      </c>
      <c r="C42" s="20">
        <f>SUM(C40:C41)</f>
        <v>-122601</v>
      </c>
      <c r="D42" s="20"/>
      <c r="E42" s="20"/>
      <c r="F42" s="20"/>
      <c r="G42" s="20"/>
      <c r="H42" s="20"/>
      <c r="I42" s="20"/>
      <c r="J42" s="20"/>
      <c r="K42" s="20"/>
      <c r="L42" s="20"/>
      <c r="M42" s="22">
        <f t="shared" ref="M42" si="24">SUM(M40:M41)</f>
        <v>609065.14037608227</v>
      </c>
    </row>
    <row r="43" spans="2:13" x14ac:dyDescent="0.3">
      <c r="B43" s="4"/>
    </row>
    <row r="44" spans="2:13" x14ac:dyDescent="0.3">
      <c r="B44" s="17" t="s">
        <v>8</v>
      </c>
      <c r="C44" s="20">
        <f>C37+C42</f>
        <v>-122601</v>
      </c>
      <c r="D44" s="22">
        <f t="shared" ref="D44:M44" si="25">D37+D42</f>
        <v>450043.23659090907</v>
      </c>
      <c r="E44" s="22">
        <f t="shared" si="25"/>
        <v>459813.48966590909</v>
      </c>
      <c r="F44" s="22">
        <f t="shared" si="25"/>
        <v>469756.36553315911</v>
      </c>
      <c r="G44" s="22">
        <f t="shared" si="25"/>
        <v>479874.63318042661</v>
      </c>
      <c r="H44" s="22">
        <f t="shared" si="25"/>
        <v>490171.09647119214</v>
      </c>
      <c r="I44" s="22">
        <f t="shared" si="25"/>
        <v>500648.59422704234</v>
      </c>
      <c r="J44" s="22">
        <f t="shared" si="25"/>
        <v>511310.00029325666</v>
      </c>
      <c r="K44" s="22">
        <f t="shared" si="25"/>
        <v>522158.22358670016</v>
      </c>
      <c r="L44" s="22">
        <f t="shared" si="25"/>
        <v>533196.20812509442</v>
      </c>
      <c r="M44" s="22">
        <f t="shared" si="25"/>
        <v>1153492.0734127932</v>
      </c>
    </row>
    <row r="45" spans="2:13" x14ac:dyDescent="0.3">
      <c r="B45" s="17" t="s">
        <v>5</v>
      </c>
      <c r="C45" s="25">
        <f>IRR(C44:M44)</f>
        <v>3.692484259646033</v>
      </c>
    </row>
    <row r="46" spans="2:13" x14ac:dyDescent="0.3">
      <c r="B46" s="17" t="s">
        <v>4</v>
      </c>
      <c r="C46" s="21">
        <f>NPV('Inputs and Outputs'!B58,Cashflows!D44:M44)+Cashflows!C44</f>
        <v>5447862.9210864827</v>
      </c>
    </row>
  </sheetData>
  <mergeCells count="2">
    <mergeCell ref="B3:M3"/>
    <mergeCell ref="B26:M26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75edd0-ccd9-4ad7-b8cf-f1a8c75968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B012004D46E409826BCB27AFE5A14" ma:contentTypeVersion="14" ma:contentTypeDescription="Create a new document." ma:contentTypeScope="" ma:versionID="0c76d13d9de96439128e897817188467">
  <xsd:schema xmlns:xsd="http://www.w3.org/2001/XMLSchema" xmlns:xs="http://www.w3.org/2001/XMLSchema" xmlns:p="http://schemas.microsoft.com/office/2006/metadata/properties" xmlns:ns3="8075edd0-ccd9-4ad7-b8cf-f1a8c75968c5" xmlns:ns4="8937de2a-d562-441e-b19a-d9396b5ad010" targetNamespace="http://schemas.microsoft.com/office/2006/metadata/properties" ma:root="true" ma:fieldsID="ecc4fe3dc141a5741119ccb9cc079ffb" ns3:_="" ns4:_="">
    <xsd:import namespace="8075edd0-ccd9-4ad7-b8cf-f1a8c75968c5"/>
    <xsd:import namespace="8937de2a-d562-441e-b19a-d9396b5ad0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5edd0-ccd9-4ad7-b8cf-f1a8c7596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7de2a-d562-441e-b19a-d9396b5ad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702A0D-BAC8-4022-89CB-60D691E8B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907E-0218-4A69-B388-05E82990CA29}">
  <ds:schemaRefs>
    <ds:schemaRef ds:uri="http://schemas.openxmlformats.org/package/2006/metadata/core-properties"/>
    <ds:schemaRef ds:uri="http://purl.org/dc/terms/"/>
    <ds:schemaRef ds:uri="http://purl.org/dc/elements/1.1/"/>
    <ds:schemaRef ds:uri="8075edd0-ccd9-4ad7-b8cf-f1a8c75968c5"/>
    <ds:schemaRef ds:uri="http://schemas.microsoft.com/office/2006/documentManagement/types"/>
    <ds:schemaRef ds:uri="http://schemas.microsoft.com/office/2006/metadata/properties"/>
    <ds:schemaRef ds:uri="8937de2a-d562-441e-b19a-d9396b5ad010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DD03A7-3EBC-418B-A203-E4DB66D09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5edd0-ccd9-4ad7-b8cf-f1a8c75968c5"/>
    <ds:schemaRef ds:uri="8937de2a-d562-441e-b19a-d9396b5ad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Net Revenue</vt:lpstr>
      <vt:lpstr>OpEx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klokh</dc:creator>
  <cp:lastModifiedBy>ummekulsum Lokhandwala</cp:lastModifiedBy>
  <dcterms:created xsi:type="dcterms:W3CDTF">2023-06-07T12:59:35Z</dcterms:created>
  <dcterms:modified xsi:type="dcterms:W3CDTF">2023-06-16T09:40:17Z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0x010100E33B012004D46E409826BCB27AFE5A14</vt:lpwstr>
  </property>
</Properties>
</file>