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5b94e2e7ac43f/Desktop/"/>
    </mc:Choice>
  </mc:AlternateContent>
  <xr:revisionPtr revIDLastSave="533" documentId="8_{4808769A-0855-4B10-91F7-B34CD1A47656}" xr6:coauthVersionLast="47" xr6:coauthVersionMax="47" xr10:uidLastSave="{1BA0984B-E457-4167-A234-03229BF873E2}"/>
  <bookViews>
    <workbookView minimized="1" xWindow="4176" yWindow="1968" windowWidth="17280" windowHeight="8880" xr2:uid="{2A89DB9E-1B1D-4546-AFDB-ED610116A622}"/>
  </bookViews>
  <sheets>
    <sheet name="Inputs_Outputs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J6" i="2" s="1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D7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D5" i="2"/>
  <c r="D3" i="2"/>
  <c r="E3" i="2" s="1"/>
  <c r="E22" i="2" s="1"/>
  <c r="B22" i="1"/>
  <c r="B24" i="1" s="1"/>
  <c r="W18" i="2" s="1"/>
  <c r="B16" i="1"/>
  <c r="B18" i="1" s="1"/>
  <c r="W16" i="2" s="1"/>
  <c r="W19" i="2" l="1"/>
  <c r="C22" i="2"/>
  <c r="C23" i="2" s="1"/>
  <c r="C15" i="2"/>
  <c r="C17" i="2"/>
  <c r="D22" i="2"/>
  <c r="Q6" i="2"/>
  <c r="O6" i="2"/>
  <c r="N6" i="2"/>
  <c r="V6" i="2"/>
  <c r="I6" i="2"/>
  <c r="W6" i="2"/>
  <c r="G6" i="2"/>
  <c r="F6" i="2"/>
  <c r="B17" i="1"/>
  <c r="F3" i="2"/>
  <c r="F22" i="2" s="1"/>
  <c r="D4" i="2"/>
  <c r="D6" i="2"/>
  <c r="P6" i="2"/>
  <c r="H6" i="2"/>
  <c r="B23" i="1"/>
  <c r="E4" i="2"/>
  <c r="U6" i="2"/>
  <c r="M6" i="2"/>
  <c r="E6" i="2"/>
  <c r="T6" i="2"/>
  <c r="L6" i="2"/>
  <c r="S6" i="2"/>
  <c r="K6" i="2"/>
  <c r="R6" i="2"/>
  <c r="C19" i="2" l="1"/>
  <c r="C26" i="2" s="1"/>
  <c r="E23" i="2"/>
  <c r="D23" i="2"/>
  <c r="F23" i="2"/>
  <c r="G3" i="2"/>
  <c r="G22" i="2" s="1"/>
  <c r="F4" i="2"/>
  <c r="F8" i="2"/>
  <c r="N8" i="2"/>
  <c r="V8" i="2"/>
  <c r="J8" i="2"/>
  <c r="K8" i="2"/>
  <c r="G8" i="2"/>
  <c r="O8" i="2"/>
  <c r="W8" i="2"/>
  <c r="R8" i="2"/>
  <c r="S8" i="2"/>
  <c r="H8" i="2"/>
  <c r="P8" i="2"/>
  <c r="D8" i="2"/>
  <c r="D9" i="2" s="1"/>
  <c r="D10" i="2" s="1"/>
  <c r="I8" i="2"/>
  <c r="Q8" i="2"/>
  <c r="L8" i="2"/>
  <c r="T8" i="2"/>
  <c r="E8" i="2"/>
  <c r="E9" i="2" s="1"/>
  <c r="E10" i="2" s="1"/>
  <c r="M8" i="2"/>
  <c r="U8" i="2"/>
  <c r="F9" i="2" l="1"/>
  <c r="F10" i="2" s="1"/>
  <c r="G23" i="2"/>
  <c r="D11" i="2"/>
  <c r="D12" i="2" s="1"/>
  <c r="D26" i="2" s="1"/>
  <c r="E11" i="2"/>
  <c r="E12" i="2" s="1"/>
  <c r="E26" i="2" s="1"/>
  <c r="H3" i="2"/>
  <c r="H22" i="2" s="1"/>
  <c r="G4" i="2"/>
  <c r="G9" i="2" s="1"/>
  <c r="G10" i="2" s="1"/>
  <c r="F11" i="2" l="1"/>
  <c r="F12" i="2" s="1"/>
  <c r="F26" i="2" s="1"/>
  <c r="H23" i="2"/>
  <c r="G11" i="2"/>
  <c r="G12" i="2" s="1"/>
  <c r="G26" i="2" s="1"/>
  <c r="I3" i="2"/>
  <c r="I22" i="2" s="1"/>
  <c r="H4" i="2"/>
  <c r="H9" i="2" s="1"/>
  <c r="H10" i="2" s="1"/>
  <c r="I23" i="2" l="1"/>
  <c r="H11" i="2"/>
  <c r="H12" i="2" s="1"/>
  <c r="H26" i="2" s="1"/>
  <c r="J3" i="2"/>
  <c r="J22" i="2" s="1"/>
  <c r="I4" i="2"/>
  <c r="I9" i="2" s="1"/>
  <c r="I10" i="2" s="1"/>
  <c r="J23" i="2" l="1"/>
  <c r="I11" i="2"/>
  <c r="I12" i="2" s="1"/>
  <c r="I26" i="2" s="1"/>
  <c r="J4" i="2"/>
  <c r="J9" i="2" s="1"/>
  <c r="J10" i="2" s="1"/>
  <c r="K3" i="2"/>
  <c r="K22" i="2" s="1"/>
  <c r="K23" i="2" s="1"/>
  <c r="J11" i="2" l="1"/>
  <c r="J12" i="2" s="1"/>
  <c r="J26" i="2" s="1"/>
  <c r="K4" i="2"/>
  <c r="K9" i="2" s="1"/>
  <c r="K10" i="2" s="1"/>
  <c r="L3" i="2"/>
  <c r="L22" i="2" s="1"/>
  <c r="L23" i="2" l="1"/>
  <c r="K11" i="2"/>
  <c r="K12" i="2" s="1"/>
  <c r="K26" i="2" s="1"/>
  <c r="M3" i="2"/>
  <c r="M22" i="2" s="1"/>
  <c r="M23" i="2" s="1"/>
  <c r="L4" i="2"/>
  <c r="L9" i="2" s="1"/>
  <c r="L10" i="2" s="1"/>
  <c r="L11" i="2" l="1"/>
  <c r="L12" i="2" s="1"/>
  <c r="L26" i="2" s="1"/>
  <c r="N3" i="2"/>
  <c r="N22" i="2" s="1"/>
  <c r="N23" i="2" s="1"/>
  <c r="M4" i="2"/>
  <c r="M9" i="2" s="1"/>
  <c r="M10" i="2" s="1"/>
  <c r="M11" i="2" l="1"/>
  <c r="M12" i="2" s="1"/>
  <c r="M26" i="2" s="1"/>
  <c r="N4" i="2"/>
  <c r="N9" i="2" s="1"/>
  <c r="N10" i="2" s="1"/>
  <c r="O3" i="2"/>
  <c r="O22" i="2" s="1"/>
  <c r="O23" i="2" l="1"/>
  <c r="N11" i="2"/>
  <c r="N12" i="2" s="1"/>
  <c r="N26" i="2" s="1"/>
  <c r="O4" i="2"/>
  <c r="O9" i="2" s="1"/>
  <c r="O10" i="2" s="1"/>
  <c r="P3" i="2"/>
  <c r="P22" i="2" s="1"/>
  <c r="P23" i="2" s="1"/>
  <c r="O11" i="2" l="1"/>
  <c r="O12" i="2" s="1"/>
  <c r="O26" i="2" s="1"/>
  <c r="Q3" i="2"/>
  <c r="Q22" i="2" s="1"/>
  <c r="P4" i="2"/>
  <c r="P9" i="2" s="1"/>
  <c r="P10" i="2" s="1"/>
  <c r="Q23" i="2" l="1"/>
  <c r="P11" i="2"/>
  <c r="P12" i="2" s="1"/>
  <c r="P26" i="2" s="1"/>
  <c r="R3" i="2"/>
  <c r="R22" i="2" s="1"/>
  <c r="Q4" i="2"/>
  <c r="Q9" i="2" s="1"/>
  <c r="Q10" i="2" s="1"/>
  <c r="R23" i="2" l="1"/>
  <c r="Q11" i="2"/>
  <c r="Q12" i="2" s="1"/>
  <c r="Q26" i="2" s="1"/>
  <c r="R4" i="2"/>
  <c r="R9" i="2" s="1"/>
  <c r="R10" i="2" s="1"/>
  <c r="S3" i="2"/>
  <c r="S22" i="2" s="1"/>
  <c r="S23" i="2" l="1"/>
  <c r="S4" i="2"/>
  <c r="S9" i="2" s="1"/>
  <c r="S10" i="2" s="1"/>
  <c r="T3" i="2"/>
  <c r="T22" i="2" s="1"/>
  <c r="R11" i="2"/>
  <c r="R12" i="2" s="1"/>
  <c r="R26" i="2" s="1"/>
  <c r="T23" i="2" l="1"/>
  <c r="S11" i="2"/>
  <c r="S12" i="2" s="1"/>
  <c r="S26" i="2" s="1"/>
  <c r="U3" i="2"/>
  <c r="U22" i="2" s="1"/>
  <c r="T4" i="2"/>
  <c r="T9" i="2" s="1"/>
  <c r="T10" i="2" s="1"/>
  <c r="U23" i="2" l="1"/>
  <c r="T11" i="2"/>
  <c r="T12" i="2" s="1"/>
  <c r="T26" i="2" s="1"/>
  <c r="V3" i="2"/>
  <c r="V22" i="2" s="1"/>
  <c r="V23" i="2" s="1"/>
  <c r="U4" i="2"/>
  <c r="U9" i="2" s="1"/>
  <c r="U10" i="2" s="1"/>
  <c r="U11" i="2" l="1"/>
  <c r="U12" i="2" s="1"/>
  <c r="U26" i="2" s="1"/>
  <c r="V4" i="2"/>
  <c r="V9" i="2" s="1"/>
  <c r="V10" i="2" s="1"/>
  <c r="W3" i="2"/>
  <c r="W22" i="2" s="1"/>
  <c r="W23" i="2" s="1"/>
  <c r="W4" i="2" l="1"/>
  <c r="W9" i="2" s="1"/>
  <c r="W10" i="2" s="1"/>
  <c r="V11" i="2"/>
  <c r="V12" i="2" s="1"/>
  <c r="V26" i="2" s="1"/>
  <c r="W11" i="2" l="1"/>
  <c r="W12" i="2" s="1"/>
  <c r="W26" i="2" s="1"/>
  <c r="E2" i="1" l="1"/>
  <c r="H22" i="1" s="1"/>
  <c r="E3" i="1"/>
  <c r="I22" i="1" s="1"/>
  <c r="I2" i="1" l="1"/>
  <c r="I11" i="1"/>
  <c r="H2" i="1"/>
  <c r="H11" i="1"/>
</calcChain>
</file>

<file path=xl/sharedStrings.xml><?xml version="1.0" encoding="utf-8"?>
<sst xmlns="http://schemas.openxmlformats.org/spreadsheetml/2006/main" count="58" uniqueCount="48">
  <si>
    <t>Inputs</t>
  </si>
  <si>
    <t xml:space="preserve">First Year Revenue </t>
  </si>
  <si>
    <t>Revenue Growth (Years 1 - 5)</t>
  </si>
  <si>
    <t>Revenue Growth (Years 6 - 15)</t>
  </si>
  <si>
    <t>Revenue Growth (Years 16 - 20)</t>
  </si>
  <si>
    <t>Sales Force Commission (% of Rev)</t>
  </si>
  <si>
    <t>IT Staff</t>
  </si>
  <si>
    <t>Power Cost per kWh</t>
  </si>
  <si>
    <t>Cost of Building per SF</t>
  </si>
  <si>
    <t>Cost of Servers per SF</t>
  </si>
  <si>
    <t xml:space="preserve">Building Size </t>
  </si>
  <si>
    <t>Server Room Size (fraction of Building)</t>
  </si>
  <si>
    <t>Annual Cost of Power</t>
  </si>
  <si>
    <t>Consumption Per Hour (watts)</t>
  </si>
  <si>
    <t>Building Depreciation</t>
  </si>
  <si>
    <t xml:space="preserve">Server Depreciation </t>
  </si>
  <si>
    <t xml:space="preserve">Building Purchase Price </t>
  </si>
  <si>
    <t xml:space="preserve">Server Purchase Price </t>
  </si>
  <si>
    <t xml:space="preserve">Building Sale Price </t>
  </si>
  <si>
    <t xml:space="preserve">Server Sale Price </t>
  </si>
  <si>
    <t>Outputs</t>
  </si>
  <si>
    <t>NPV</t>
  </si>
  <si>
    <t>IRR</t>
  </si>
  <si>
    <t xml:space="preserve">Cost of Capital </t>
  </si>
  <si>
    <t xml:space="preserve">Revenue </t>
  </si>
  <si>
    <t>Sales Commission</t>
  </si>
  <si>
    <t xml:space="preserve">Power Cost </t>
  </si>
  <si>
    <t xml:space="preserve">Depreciation </t>
  </si>
  <si>
    <t>Earnings Before Tax</t>
  </si>
  <si>
    <t>Income Tax</t>
  </si>
  <si>
    <t>Net Income</t>
  </si>
  <si>
    <t>Operating Cashflow</t>
  </si>
  <si>
    <t xml:space="preserve">Operations </t>
  </si>
  <si>
    <t>Building Purchase</t>
  </si>
  <si>
    <t>Building Sale</t>
  </si>
  <si>
    <t xml:space="preserve">Server Purchase </t>
  </si>
  <si>
    <t>Server Sale</t>
  </si>
  <si>
    <t>CapEx Cashflows</t>
  </si>
  <si>
    <t>Working Capital</t>
  </si>
  <si>
    <t xml:space="preserve">Working Capital Account </t>
  </si>
  <si>
    <t xml:space="preserve">Working Capital Cashflows </t>
  </si>
  <si>
    <t xml:space="preserve">Total Free Cashflows </t>
  </si>
  <si>
    <t xml:space="preserve">Annual Data Cost </t>
  </si>
  <si>
    <t xml:space="preserve">Data Cost </t>
  </si>
  <si>
    <t>Working Captial Year 0 (% Cost to Build)</t>
  </si>
  <si>
    <t>Working Captial Year 1-20 (% of Revenue)</t>
  </si>
  <si>
    <t>Cost of Servers</t>
  </si>
  <si>
    <t xml:space="preserve">Server Room Fraction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</si>
</sst>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72" formatCode="_(&quot;$&quot;* #,##0_);_(&quot;$&quot;* \(#,##0\);_(&quot;$&quot;* &quot;-&quot;??_);_(@_)"/>
    <numFmt numFmtId="173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  <xf numFmtId="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/>
    <xf numFmtId="9" fontId="0" fillId="0" borderId="0" xfId="0" applyNumberFormat="1"/>
    <xf numFmtId="44" fontId="0" fillId="0" borderId="0" xfId="1" applyFont="1"/>
    <xf numFmtId="172" fontId="0" fillId="0" borderId="0" xfId="1" applyNumberFormat="1" applyFont="1"/>
    <xf numFmtId="9" fontId="0" fillId="0" borderId="0" xfId="2" applyFont="1"/>
    <xf numFmtId="173" fontId="0" fillId="0" borderId="0" xfId="2" applyNumberFormat="1" applyFont="1"/>
    <xf numFmtId="173" fontId="0" fillId="0" borderId="0" xfId="0" applyNumberFormat="1"/>
    <xf numFmtId="172" fontId="0" fillId="0" borderId="0" xfId="0" applyNumberFormat="1"/>
    <xf numFmtId="0" fontId="0" fillId="0" borderId="0" xfId="1" applyNumberFormat="1" applyFont="1"/>
    <xf numFmtId="1" fontId="2" fillId="0" borderId="0" xfId="0" applyNumberFormat="1" applyFont="1"/>
    <xf numFmtId="1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  <a:r>
              <a:rPr lang="en-US" baseline="0"/>
              <a:t> Year Revenue Sensitivity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NPV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Inputs_Outputs!$G$3:$G$8</c:f>
              <c:numCache>
                <c:formatCode>_("$"* #,##0_);_("$"* \(#,##0\);_("$"* "-"??_);_(@_)</c:formatCode>
                <c:ptCount val="6"/>
                <c:pt idx="0">
                  <c:v>2500000</c:v>
                </c:pt>
                <c:pt idx="1">
                  <c:v>3000000</c:v>
                </c:pt>
                <c:pt idx="2">
                  <c:v>3500000</c:v>
                </c:pt>
                <c:pt idx="3">
                  <c:v>4000000</c:v>
                </c:pt>
                <c:pt idx="4">
                  <c:v>4500000</c:v>
                </c:pt>
                <c:pt idx="5">
                  <c:v>5000000</c:v>
                </c:pt>
              </c:numCache>
            </c:numRef>
          </c:cat>
          <c:val>
            <c:numRef>
              <c:f>Inputs_Outputs!$H$3:$H$8</c:f>
              <c:numCache>
                <c:formatCode>_("$"* #,##0_);_("$"* \(#,##0\);_("$"* "-"??_);_(@_)</c:formatCode>
                <c:ptCount val="6"/>
                <c:pt idx="0">
                  <c:v>1426103.421043165</c:v>
                </c:pt>
                <c:pt idx="1">
                  <c:v>5063396.9907906838</c:v>
                </c:pt>
                <c:pt idx="2">
                  <c:v>8700690.5605381988</c:v>
                </c:pt>
                <c:pt idx="3">
                  <c:v>12337984.130285706</c:v>
                </c:pt>
                <c:pt idx="4">
                  <c:v>15975277.700033233</c:v>
                </c:pt>
                <c:pt idx="5">
                  <c:v>19612571.269780748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F-4B39-BFDD-93AC6BCB9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7836319"/>
        <c:axId val="1347838719"/>
      </c:barChart>
      <c:lineChart>
        <c:grouping val="standard"/>
        <c:varyColors val="0"/>
        <c:ser>
          <c:idx val="2"/>
          <c:order val="0"/>
          <c:tx>
            <c:v>IRR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Inputs_Outputs!$I$3:$I$8</c:f>
              <c:numCache>
                <c:formatCode>0.0%</c:formatCode>
                <c:ptCount val="6"/>
                <c:pt idx="0">
                  <c:v>0.10130589853162397</c:v>
                </c:pt>
                <c:pt idx="1">
                  <c:v>0.15116401153080861</c:v>
                </c:pt>
                <c:pt idx="2">
                  <c:v>0.19720758568563479</c:v>
                </c:pt>
                <c:pt idx="3">
                  <c:v>0.24114594506418086</c:v>
                </c:pt>
                <c:pt idx="4">
                  <c:v>0.28383513136857386</c:v>
                </c:pt>
                <c:pt idx="5">
                  <c:v>0.32574059908159003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FF-4B39-BFDD-93AC6BCB9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1500431"/>
        <c:axId val="1501499471"/>
      </c:lineChart>
      <c:catAx>
        <c:axId val="1347836319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838719"/>
        <c:crosses val="autoZero"/>
        <c:auto val="1"/>
        <c:lblAlgn val="ctr"/>
        <c:lblOffset val="100"/>
        <c:noMultiLvlLbl val="0"/>
      </c:catAx>
      <c:valAx>
        <c:axId val="134783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836319"/>
        <c:crosses val="autoZero"/>
        <c:crossBetween val="between"/>
      </c:valAx>
      <c:valAx>
        <c:axId val="1501499471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500431"/>
        <c:crosses val="max"/>
        <c:crossBetween val="between"/>
      </c:valAx>
      <c:catAx>
        <c:axId val="1501500431"/>
        <c:scaling>
          <c:orientation val="minMax"/>
        </c:scaling>
        <c:delete val="1"/>
        <c:axPos val="b"/>
        <c:majorTickMark val="out"/>
        <c:minorTickMark val="none"/>
        <c:tickLblPos val="nextTo"/>
        <c:crossAx val="15014994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of Servers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NPV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Inputs_Outputs!$G$12:$G$19</c:f>
              <c:numCache>
                <c:formatCode>_("$"* #,##0_);_("$"* \(#,##0\);_("$"* "-"??_);_(@_)</c:formatCode>
                <c:ptCount val="8"/>
                <c:pt idx="0">
                  <c:v>2000</c:v>
                </c:pt>
                <c:pt idx="1">
                  <c:v>1750</c:v>
                </c:pt>
                <c:pt idx="2">
                  <c:v>1500</c:v>
                </c:pt>
                <c:pt idx="3">
                  <c:v>1250</c:v>
                </c:pt>
                <c:pt idx="4">
                  <c:v>1000</c:v>
                </c:pt>
                <c:pt idx="5">
                  <c:v>750</c:v>
                </c:pt>
                <c:pt idx="6">
                  <c:v>500</c:v>
                </c:pt>
                <c:pt idx="7">
                  <c:v>250</c:v>
                </c:pt>
              </c:numCache>
            </c:numRef>
          </c:cat>
          <c:val>
            <c:numRef>
              <c:f>Inputs_Outputs!$H$12:$H$19</c:f>
              <c:numCache>
                <c:formatCode>_("$"* #,##0_);_("$"* \(#,##0\);_("$"* "-"??_);_(@_)</c:formatCode>
                <c:ptCount val="8"/>
                <c:pt idx="0">
                  <c:v>1426103.421043165</c:v>
                </c:pt>
                <c:pt idx="1">
                  <c:v>2264973.5640984867</c:v>
                </c:pt>
                <c:pt idx="2">
                  <c:v>3103843.7071538102</c:v>
                </c:pt>
                <c:pt idx="3">
                  <c:v>3942713.8502091262</c:v>
                </c:pt>
                <c:pt idx="4">
                  <c:v>4781583.9932644442</c:v>
                </c:pt>
                <c:pt idx="5">
                  <c:v>5620454.1363197677</c:v>
                </c:pt>
                <c:pt idx="6">
                  <c:v>6459324.2793750856</c:v>
                </c:pt>
                <c:pt idx="7">
                  <c:v>7298194.4224304073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EC-4A8E-80E3-480939E4A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4522079"/>
        <c:axId val="634522559"/>
      </c:barChart>
      <c:lineChart>
        <c:grouping val="standard"/>
        <c:varyColors val="0"/>
        <c:ser>
          <c:idx val="2"/>
          <c:order val="2"/>
          <c:tx>
            <c:v>IRR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Inputs_Outputs!$I$12:$I$19</c:f>
              <c:numCache>
                <c:formatCode>0.0%</c:formatCode>
                <c:ptCount val="8"/>
                <c:pt idx="0">
                  <c:v>0.10130589853162397</c:v>
                </c:pt>
                <c:pt idx="1">
                  <c:v>0.11738951628189942</c:v>
                </c:pt>
                <c:pt idx="2">
                  <c:v>0.1374531784944184</c:v>
                </c:pt>
                <c:pt idx="3">
                  <c:v>0.16349538718121481</c:v>
                </c:pt>
                <c:pt idx="4">
                  <c:v>0.19926361591323016</c:v>
                </c:pt>
                <c:pt idx="5">
                  <c:v>0.25280668791789584</c:v>
                </c:pt>
                <c:pt idx="6">
                  <c:v>0.3454367402774805</c:v>
                </c:pt>
                <c:pt idx="7">
                  <c:v>0.55931616181377408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EC-4A8E-80E3-480939E4A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995583"/>
        <c:axId val="6451703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Inputs_Outputs!$G$12:$G$19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8"/>
                      <c:pt idx="0">
                        <c:v>2000</c:v>
                      </c:pt>
                      <c:pt idx="1">
                        <c:v>1750</c:v>
                      </c:pt>
                      <c:pt idx="2">
                        <c:v>1500</c:v>
                      </c:pt>
                      <c:pt idx="3">
                        <c:v>1250</c:v>
                      </c:pt>
                      <c:pt idx="4">
                        <c:v>1000</c:v>
                      </c:pt>
                      <c:pt idx="5">
                        <c:v>750</c:v>
                      </c:pt>
                      <c:pt idx="6">
                        <c:v>500</c:v>
                      </c:pt>
                      <c:pt idx="7">
                        <c:v>250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Inputs_Outputs!$G$12:$G$19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8"/>
                      <c:pt idx="0">
                        <c:v>2000</c:v>
                      </c:pt>
                      <c:pt idx="1">
                        <c:v>1750</c:v>
                      </c:pt>
                      <c:pt idx="2">
                        <c:v>1500</c:v>
                      </c:pt>
                      <c:pt idx="3">
                        <c:v>1250</c:v>
                      </c:pt>
                      <c:pt idx="4">
                        <c:v>1000</c:v>
                      </c:pt>
                      <c:pt idx="5">
                        <c:v>750</c:v>
                      </c:pt>
                      <c:pt idx="6">
                        <c:v>500</c:v>
                      </c:pt>
                      <c:pt idx="7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1EC-4A8E-80E3-480939E4AFEA}"/>
                  </c:ext>
                </c:extLst>
              </c15:ser>
            </c15:filteredLineSeries>
          </c:ext>
        </c:extLst>
      </c:lineChart>
      <c:catAx>
        <c:axId val="634522079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22559"/>
        <c:crosses val="autoZero"/>
        <c:auto val="1"/>
        <c:lblAlgn val="ctr"/>
        <c:lblOffset val="100"/>
        <c:noMultiLvlLbl val="0"/>
      </c:catAx>
      <c:valAx>
        <c:axId val="6345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22079"/>
        <c:crosses val="autoZero"/>
        <c:crossBetween val="between"/>
      </c:valAx>
      <c:valAx>
        <c:axId val="645170399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995583"/>
        <c:crosses val="max"/>
        <c:crossBetween val="between"/>
      </c:valAx>
      <c:catAx>
        <c:axId val="1491995583"/>
        <c:scaling>
          <c:orientation val="minMax"/>
        </c:scaling>
        <c:delete val="1"/>
        <c:axPos val="b"/>
        <c:majorTickMark val="out"/>
        <c:minorTickMark val="none"/>
        <c:tickLblPos val="nextTo"/>
        <c:crossAx val="64517039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</a:t>
            </a:r>
            <a:r>
              <a:rPr lang="en-US" baseline="0"/>
              <a:t> Room Fraction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NPV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Inputs_Outputs!$G$23:$G$27</c:f>
              <c:numCache>
                <c:formatCode>0%</c:formatCode>
                <c:ptCount val="5"/>
                <c:pt idx="0">
                  <c:v>0.5</c:v>
                </c:pt>
                <c:pt idx="1">
                  <c:v>0.4</c:v>
                </c:pt>
                <c:pt idx="2">
                  <c:v>0.3</c:v>
                </c:pt>
                <c:pt idx="3">
                  <c:v>0.2</c:v>
                </c:pt>
                <c:pt idx="4">
                  <c:v>0.1</c:v>
                </c:pt>
              </c:numCache>
            </c:numRef>
          </c:cat>
          <c:val>
            <c:numRef>
              <c:f>Inputs_Outputs!$H$23:$H$27</c:f>
              <c:numCache>
                <c:formatCode>_("$"* #,##0_);_("$"* \(#,##0\);_("$"* "-"??_);_(@_)</c:formatCode>
                <c:ptCount val="5"/>
                <c:pt idx="0">
                  <c:v>1426103.421043165</c:v>
                </c:pt>
                <c:pt idx="1">
                  <c:v>3542358.3915349804</c:v>
                </c:pt>
                <c:pt idx="2">
                  <c:v>5658613.3620267957</c:v>
                </c:pt>
                <c:pt idx="3">
                  <c:v>7774868.3325186074</c:v>
                </c:pt>
                <c:pt idx="4">
                  <c:v>9891123.3030104209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7E-4D84-BA1B-B301650FF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1994623"/>
        <c:axId val="14919941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Inputs_Outputs!$G$23:$G$27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0.4</c:v>
                      </c:pt>
                      <c:pt idx="2">
                        <c:v>0.3</c:v>
                      </c:pt>
                      <c:pt idx="3">
                        <c:v>0.2</c:v>
                      </c:pt>
                      <c:pt idx="4">
                        <c:v>0.1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Inputs_Outputs!$G$23:$G$27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0.4</c:v>
                      </c:pt>
                      <c:pt idx="2">
                        <c:v>0.3</c:v>
                      </c:pt>
                      <c:pt idx="3">
                        <c:v>0.2</c:v>
                      </c:pt>
                      <c:pt idx="4">
                        <c:v>0.1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17E-4D84-BA1B-B301650FF15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v>IRR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Inputs_Outputs!$I$23:$I$27</c:f>
              <c:numCache>
                <c:formatCode>0.0%</c:formatCode>
                <c:ptCount val="5"/>
                <c:pt idx="0">
                  <c:v>0.10130589853162397</c:v>
                </c:pt>
                <c:pt idx="1">
                  <c:v>0.14181586476819152</c:v>
                </c:pt>
                <c:pt idx="2">
                  <c:v>0.20137582733272663</c:v>
                </c:pt>
                <c:pt idx="3">
                  <c:v>0.30504663996315307</c:v>
                </c:pt>
                <c:pt idx="4">
                  <c:v>0.55965322070672996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7E-4D84-BA1B-B301650FF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6256335"/>
        <c:axId val="736259695"/>
      </c:lineChart>
      <c:catAx>
        <c:axId val="149199462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994143"/>
        <c:crosses val="autoZero"/>
        <c:auto val="1"/>
        <c:lblAlgn val="ctr"/>
        <c:lblOffset val="100"/>
        <c:noMultiLvlLbl val="0"/>
      </c:catAx>
      <c:valAx>
        <c:axId val="14919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994623"/>
        <c:crosses val="autoZero"/>
        <c:crossBetween val="between"/>
      </c:valAx>
      <c:valAx>
        <c:axId val="736259695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256335"/>
        <c:crosses val="max"/>
        <c:crossBetween val="between"/>
      </c:valAx>
      <c:catAx>
        <c:axId val="736256335"/>
        <c:scaling>
          <c:orientation val="minMax"/>
        </c:scaling>
        <c:delete val="1"/>
        <c:axPos val="b"/>
        <c:majorTickMark val="out"/>
        <c:minorTickMark val="none"/>
        <c:tickLblPos val="nextTo"/>
        <c:crossAx val="73625969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0</xdr:row>
      <xdr:rowOff>114300</xdr:rowOff>
    </xdr:from>
    <xdr:to>
      <xdr:col>17</xdr:col>
      <xdr:colOff>403860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A09CB-ED71-7311-ED24-5032E00AC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15</xdr:row>
      <xdr:rowOff>80010</xdr:rowOff>
    </xdr:from>
    <xdr:to>
      <xdr:col>17</xdr:col>
      <xdr:colOff>419100</xdr:colOff>
      <xdr:row>30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5A2BD8-6878-71D7-10FC-88A6F58B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160020</xdr:colOff>
      <xdr:row>31</xdr:row>
      <xdr:rowOff>11430</xdr:rowOff>
    </xdr:from>
    <xdr:to>
      <xdr:col>17</xdr:col>
      <xdr:colOff>480060</xdr:colOff>
      <xdr:row>46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CAA8CD-DDAC-720F-46B2-CFCCEAA0C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6C20-0340-46D2-8F66-0753390936B2}">
  <dimension ref="A1:I29"/>
  <sheetViews>
    <sheetView tabSelected="1" topLeftCell="C1" workbookViewId="0">
      <selection activeCell="T17" sqref="T17"/>
    </sheetView>
  </sheetViews>
  <sheetFormatPr defaultRowHeight="14.4" x14ac:dyDescent="0.3"/>
  <cols>
    <col min="1" max="1" width="35.44140625" bestFit="1" customWidth="1"/>
    <col min="2" max="2" width="15.109375" bestFit="1" customWidth="1"/>
    <col min="4" max="4" width="4.44140625" bestFit="1" customWidth="1"/>
    <col min="5" max="5" width="17.44140625" bestFit="1" customWidth="1"/>
    <col min="7" max="7" width="19.21875" bestFit="1" customWidth="1"/>
    <col min="8" max="8" width="12" bestFit="1" customWidth="1"/>
  </cols>
  <sheetData>
    <row r="1" spans="1:9" x14ac:dyDescent="0.3">
      <c r="A1" s="1" t="s">
        <v>0</v>
      </c>
      <c r="B1" s="1"/>
      <c r="D1" s="1" t="s">
        <v>20</v>
      </c>
      <c r="E1" s="1"/>
      <c r="H1" t="s">
        <v>21</v>
      </c>
      <c r="I1" t="s">
        <v>22</v>
      </c>
    </row>
    <row r="2" spans="1:9" x14ac:dyDescent="0.3">
      <c r="A2" t="s">
        <v>1</v>
      </c>
      <c r="B2" s="9">
        <v>2500000</v>
      </c>
      <c r="D2" t="s">
        <v>21</v>
      </c>
      <c r="E2" s="9">
        <f>NPV(B26,Model!D26:W26)+Model!C26</f>
        <v>1426103.421043165</v>
      </c>
      <c r="G2" s="4" t="s">
        <v>1</v>
      </c>
      <c r="H2" s="13">
        <f>E2</f>
        <v>1426103.421043165</v>
      </c>
      <c r="I2" s="12">
        <f>E3</f>
        <v>0.10130589853162397</v>
      </c>
    </row>
    <row r="3" spans="1:9" x14ac:dyDescent="0.3">
      <c r="A3" t="s">
        <v>2</v>
      </c>
      <c r="B3" s="11">
        <v>0.02</v>
      </c>
      <c r="D3" t="s">
        <v>22</v>
      </c>
      <c r="E3" s="7">
        <f>IRR(Model!C26:W26)</f>
        <v>0.10130589853162397</v>
      </c>
      <c r="G3" s="9">
        <v>2500000</v>
      </c>
      <c r="H3" s="13">
        <f t="dataTable" ref="H3:I8" dt2D="0" dtr="0" r1="B2"/>
        <v>1426103.421043165</v>
      </c>
      <c r="I3" s="12">
        <v>0.10130589853162397</v>
      </c>
    </row>
    <row r="4" spans="1:9" x14ac:dyDescent="0.3">
      <c r="A4" t="s">
        <v>3</v>
      </c>
      <c r="B4" s="11">
        <v>0.01</v>
      </c>
      <c r="G4" s="9">
        <v>3000000</v>
      </c>
      <c r="H4" s="13">
        <v>5063396.9907906838</v>
      </c>
      <c r="I4" s="12">
        <v>0.15116401153080861</v>
      </c>
    </row>
    <row r="5" spans="1:9" x14ac:dyDescent="0.3">
      <c r="A5" t="s">
        <v>4</v>
      </c>
      <c r="B5" s="11">
        <v>-0.02</v>
      </c>
      <c r="G5" s="9">
        <v>3500000</v>
      </c>
      <c r="H5" s="13">
        <v>8700690.5605381988</v>
      </c>
      <c r="I5" s="12">
        <v>0.19720758568563479</v>
      </c>
    </row>
    <row r="6" spans="1:9" x14ac:dyDescent="0.3">
      <c r="A6" t="s">
        <v>5</v>
      </c>
      <c r="B6" s="11">
        <v>0.15</v>
      </c>
      <c r="G6" s="9">
        <v>4000000</v>
      </c>
      <c r="H6" s="13">
        <v>12337984.130285706</v>
      </c>
      <c r="I6" s="12">
        <v>0.24114594506418086</v>
      </c>
    </row>
    <row r="7" spans="1:9" x14ac:dyDescent="0.3">
      <c r="A7" t="s">
        <v>6</v>
      </c>
      <c r="B7" s="9">
        <v>250000</v>
      </c>
      <c r="G7" s="9">
        <v>4500000</v>
      </c>
      <c r="H7" s="13">
        <v>15975277.700033233</v>
      </c>
      <c r="I7" s="12">
        <v>0.28383513136857386</v>
      </c>
    </row>
    <row r="8" spans="1:9" x14ac:dyDescent="0.3">
      <c r="A8" t="s">
        <v>7</v>
      </c>
      <c r="B8" s="8">
        <v>0.1</v>
      </c>
      <c r="G8" s="9">
        <v>5000000</v>
      </c>
      <c r="H8" s="13">
        <v>19612571.269780748</v>
      </c>
      <c r="I8" s="12">
        <v>0.32574059908159003</v>
      </c>
    </row>
    <row r="9" spans="1:9" x14ac:dyDescent="0.3">
      <c r="A9" t="s">
        <v>13</v>
      </c>
      <c r="B9">
        <v>150</v>
      </c>
    </row>
    <row r="10" spans="1:9" x14ac:dyDescent="0.3">
      <c r="A10" t="s">
        <v>12</v>
      </c>
      <c r="B10" s="9">
        <f>B9*24*365*B8/1000*B15*B21</f>
        <v>492750</v>
      </c>
      <c r="H10" t="s">
        <v>21</v>
      </c>
      <c r="I10" t="s">
        <v>22</v>
      </c>
    </row>
    <row r="11" spans="1:9" x14ac:dyDescent="0.3">
      <c r="A11" t="s">
        <v>42</v>
      </c>
      <c r="B11" s="9">
        <v>500000</v>
      </c>
      <c r="G11" s="4" t="s">
        <v>46</v>
      </c>
      <c r="H11" s="13">
        <f>E2</f>
        <v>1426103.421043165</v>
      </c>
      <c r="I11" s="12">
        <f>E3</f>
        <v>0.10130589853162397</v>
      </c>
    </row>
    <row r="12" spans="1:9" x14ac:dyDescent="0.3">
      <c r="A12" t="s">
        <v>29</v>
      </c>
      <c r="B12" s="12">
        <v>0.2</v>
      </c>
      <c r="G12" s="9">
        <v>2000</v>
      </c>
      <c r="H12" s="13">
        <f t="dataTable" ref="H12:I19" dt2D="0" dtr="0" r1="B20" ca="1"/>
        <v>1426103.421043165</v>
      </c>
      <c r="I12" s="12">
        <v>0.10130589853162397</v>
      </c>
    </row>
    <row r="13" spans="1:9" x14ac:dyDescent="0.3">
      <c r="B13" s="7"/>
      <c r="G13" s="9">
        <v>1750</v>
      </c>
      <c r="H13" s="13">
        <v>2264973.5640984867</v>
      </c>
      <c r="I13" s="12">
        <v>0.11738951628189942</v>
      </c>
    </row>
    <row r="14" spans="1:9" x14ac:dyDescent="0.3">
      <c r="A14" t="s">
        <v>8</v>
      </c>
      <c r="B14">
        <v>45.35</v>
      </c>
      <c r="G14" s="9">
        <v>1500</v>
      </c>
      <c r="H14" s="13">
        <v>3103843.7071538102</v>
      </c>
      <c r="I14" s="12">
        <v>0.1374531784944184</v>
      </c>
    </row>
    <row r="15" spans="1:9" x14ac:dyDescent="0.3">
      <c r="A15" t="s">
        <v>10</v>
      </c>
      <c r="B15">
        <v>7500</v>
      </c>
      <c r="G15" s="9">
        <v>1250</v>
      </c>
      <c r="H15" s="13">
        <v>3942713.8502091262</v>
      </c>
      <c r="I15" s="12">
        <v>0.16349538718121481</v>
      </c>
    </row>
    <row r="16" spans="1:9" x14ac:dyDescent="0.3">
      <c r="A16" t="s">
        <v>16</v>
      </c>
      <c r="B16" s="8">
        <f>B14*B15</f>
        <v>340125</v>
      </c>
      <c r="G16" s="9">
        <v>1000</v>
      </c>
      <c r="H16" s="13">
        <v>4781583.9932644442</v>
      </c>
      <c r="I16" s="12">
        <v>0.19926361591323016</v>
      </c>
    </row>
    <row r="17" spans="1:9" x14ac:dyDescent="0.3">
      <c r="A17" t="s">
        <v>14</v>
      </c>
      <c r="B17" s="8">
        <f>SLN(B16,B16*0.5,20)</f>
        <v>8503.125</v>
      </c>
      <c r="E17" s="2"/>
      <c r="G17" s="9">
        <v>750</v>
      </c>
      <c r="H17" s="13">
        <v>5620454.1363197677</v>
      </c>
      <c r="I17" s="12">
        <v>0.25280668791789584</v>
      </c>
    </row>
    <row r="18" spans="1:9" x14ac:dyDescent="0.3">
      <c r="A18" t="s">
        <v>18</v>
      </c>
      <c r="B18" s="8">
        <f>B16*0.5</f>
        <v>170062.5</v>
      </c>
      <c r="G18" s="9">
        <v>500</v>
      </c>
      <c r="H18" s="13">
        <v>6459324.2793750856</v>
      </c>
      <c r="I18" s="12">
        <v>0.3454367402774805</v>
      </c>
    </row>
    <row r="19" spans="1:9" x14ac:dyDescent="0.3">
      <c r="G19" s="9">
        <v>250</v>
      </c>
      <c r="H19" s="13">
        <v>7298194.4224304073</v>
      </c>
      <c r="I19" s="12">
        <v>0.55931616181377408</v>
      </c>
    </row>
    <row r="20" spans="1:9" x14ac:dyDescent="0.3">
      <c r="A20" t="s">
        <v>9</v>
      </c>
      <c r="B20">
        <v>2000</v>
      </c>
    </row>
    <row r="21" spans="1:9" x14ac:dyDescent="0.3">
      <c r="A21" t="s">
        <v>11</v>
      </c>
      <c r="B21">
        <v>0.5</v>
      </c>
      <c r="H21" t="s">
        <v>21</v>
      </c>
      <c r="I21" t="s">
        <v>22</v>
      </c>
    </row>
    <row r="22" spans="1:9" x14ac:dyDescent="0.3">
      <c r="A22" t="s">
        <v>17</v>
      </c>
      <c r="B22" s="3">
        <f>B20*B21*B15</f>
        <v>7500000</v>
      </c>
      <c r="G22" s="4" t="s">
        <v>47</v>
      </c>
      <c r="H22" s="13">
        <f>E2</f>
        <v>1426103.421043165</v>
      </c>
      <c r="I22" s="12">
        <f>E3</f>
        <v>0.10130589853162397</v>
      </c>
    </row>
    <row r="23" spans="1:9" x14ac:dyDescent="0.3">
      <c r="A23" t="s">
        <v>15</v>
      </c>
      <c r="B23" s="3">
        <f>SLN(B22,0,20)</f>
        <v>375000</v>
      </c>
      <c r="G23" s="10">
        <v>0.5</v>
      </c>
      <c r="H23" s="13">
        <f t="dataTable" ref="H23:I27" dt2D="0" dtr="0" r1="B21" ca="1"/>
        <v>1426103.421043165</v>
      </c>
      <c r="I23" s="12">
        <v>0.10130589853162397</v>
      </c>
    </row>
    <row r="24" spans="1:9" x14ac:dyDescent="0.3">
      <c r="A24" t="s">
        <v>19</v>
      </c>
      <c r="B24" s="3">
        <f>B22*0.05</f>
        <v>375000</v>
      </c>
      <c r="G24" s="10">
        <v>0.4</v>
      </c>
      <c r="H24" s="13">
        <v>3542358.3915349804</v>
      </c>
      <c r="I24" s="12">
        <v>0.14181586476819152</v>
      </c>
    </row>
    <row r="25" spans="1:9" x14ac:dyDescent="0.3">
      <c r="G25" s="10">
        <v>0.3</v>
      </c>
      <c r="H25" s="13">
        <v>5658613.3620267957</v>
      </c>
      <c r="I25" s="12">
        <v>0.20137582733272663</v>
      </c>
    </row>
    <row r="26" spans="1:9" x14ac:dyDescent="0.3">
      <c r="A26" t="s">
        <v>23</v>
      </c>
      <c r="B26" s="11">
        <v>0.08</v>
      </c>
      <c r="G26" s="10">
        <v>0.2</v>
      </c>
      <c r="H26" s="13">
        <v>7774868.3325186074</v>
      </c>
      <c r="I26" s="12">
        <v>0.30504663996315307</v>
      </c>
    </row>
    <row r="27" spans="1:9" x14ac:dyDescent="0.3">
      <c r="G27" s="10">
        <v>0.1</v>
      </c>
      <c r="H27" s="13">
        <v>9891123.3030104209</v>
      </c>
      <c r="I27" s="12">
        <v>0.55965322070672996</v>
      </c>
    </row>
    <row r="28" spans="1:9" x14ac:dyDescent="0.3">
      <c r="A28" t="s">
        <v>44</v>
      </c>
      <c r="B28" s="11">
        <v>0.05</v>
      </c>
    </row>
    <row r="29" spans="1:9" x14ac:dyDescent="0.3">
      <c r="A29" t="s">
        <v>45</v>
      </c>
      <c r="B29" s="11">
        <v>0.05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19EC-806A-4BB6-A79D-42D4A5695BB0}">
  <dimension ref="B2:X26"/>
  <sheetViews>
    <sheetView topLeftCell="P1" zoomScale="80" zoomScaleNormal="80" workbookViewId="0">
      <selection activeCell="C26" sqref="C26"/>
    </sheetView>
  </sheetViews>
  <sheetFormatPr defaultRowHeight="14.4" x14ac:dyDescent="0.3"/>
  <cols>
    <col min="2" max="2" width="24.88671875" bestFit="1" customWidth="1"/>
    <col min="3" max="3" width="16.33203125" bestFit="1" customWidth="1"/>
    <col min="4" max="4" width="14.6640625" bestFit="1" customWidth="1"/>
    <col min="5" max="22" width="14.33203125" bestFit="1" customWidth="1"/>
    <col min="23" max="23" width="14.6640625" bestFit="1" customWidth="1"/>
  </cols>
  <sheetData>
    <row r="2" spans="2:24" x14ac:dyDescent="0.3">
      <c r="B2" s="5" t="s">
        <v>32</v>
      </c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</row>
    <row r="3" spans="2:24" x14ac:dyDescent="0.3">
      <c r="B3" t="s">
        <v>24</v>
      </c>
      <c r="C3" s="14"/>
      <c r="D3" s="16">
        <f>Inputs_Outputs!B2</f>
        <v>2500000</v>
      </c>
      <c r="E3" s="16">
        <f>D3*(1+Inputs_Outputs!B3)</f>
        <v>2550000</v>
      </c>
      <c r="F3" s="16">
        <f>E3*(1+Inputs_Outputs!B3)</f>
        <v>2601000</v>
      </c>
      <c r="G3" s="16">
        <f>F3*(1+Inputs_Outputs!B3)</f>
        <v>2653020</v>
      </c>
      <c r="H3" s="16">
        <f>G3*(1+Inputs_Outputs!B3)</f>
        <v>2706080.4</v>
      </c>
      <c r="I3" s="16">
        <f>H3*(1+Inputs_Outputs!B4)</f>
        <v>2733141.2039999999</v>
      </c>
      <c r="J3" s="16">
        <f>I3*(1+Inputs_Outputs!B4)</f>
        <v>2760472.6160399998</v>
      </c>
      <c r="K3" s="16">
        <f>J3*(1+Inputs_Outputs!B4)</f>
        <v>2788077.3422003998</v>
      </c>
      <c r="L3" s="16">
        <f>K3*(1+Inputs_Outputs!B4)</f>
        <v>2815958.115622404</v>
      </c>
      <c r="M3" s="16">
        <f>L3*(1+Inputs_Outputs!B4)</f>
        <v>2844117.696778628</v>
      </c>
      <c r="N3" s="16">
        <f>M3*(1+Inputs_Outputs!B4)</f>
        <v>2872558.8737464142</v>
      </c>
      <c r="O3" s="16">
        <f>N3*(1+Inputs_Outputs!B4)</f>
        <v>2901284.4624838782</v>
      </c>
      <c r="P3" s="16">
        <f>O3*(1+Inputs_Outputs!B4)</f>
        <v>2930297.307108717</v>
      </c>
      <c r="Q3" s="16">
        <f>P3*(1+Inputs_Outputs!B4)</f>
        <v>2959600.2801798042</v>
      </c>
      <c r="R3" s="16">
        <f>Q3*(1+Inputs_Outputs!B4)</f>
        <v>2989196.2829816025</v>
      </c>
      <c r="S3" s="16">
        <f>R3*(1+Inputs_Outputs!B5)</f>
        <v>2929412.3573219702</v>
      </c>
      <c r="T3" s="16">
        <f>S3*(1+Inputs_Outputs!B5)</f>
        <v>2870824.1101755309</v>
      </c>
      <c r="U3" s="16">
        <f>T3*(1+Inputs_Outputs!B5)</f>
        <v>2813407.6279720203</v>
      </c>
      <c r="V3" s="16">
        <f>U3*(1+Inputs_Outputs!B5)</f>
        <v>2757139.4754125797</v>
      </c>
      <c r="W3" s="16">
        <f>V3*(1+Inputs_Outputs!B5)</f>
        <v>2701996.6859043282</v>
      </c>
    </row>
    <row r="4" spans="2:24" x14ac:dyDescent="0.3">
      <c r="B4" t="s">
        <v>25</v>
      </c>
      <c r="C4" s="14"/>
      <c r="D4" s="16">
        <f>D3*Inputs_Outputs!$B$6</f>
        <v>375000</v>
      </c>
      <c r="E4" s="16">
        <f>E3*Inputs_Outputs!$B$6</f>
        <v>382500</v>
      </c>
      <c r="F4" s="16">
        <f>F3*Inputs_Outputs!$B$6</f>
        <v>390150</v>
      </c>
      <c r="G4" s="16">
        <f>G3*Inputs_Outputs!$B$6</f>
        <v>397953</v>
      </c>
      <c r="H4" s="16">
        <f>H3*Inputs_Outputs!$B$6</f>
        <v>405912.06</v>
      </c>
      <c r="I4" s="16">
        <f>I3*Inputs_Outputs!$B$6</f>
        <v>409971.18059999996</v>
      </c>
      <c r="J4" s="16">
        <f>J3*Inputs_Outputs!$B$6</f>
        <v>414070.89240599994</v>
      </c>
      <c r="K4" s="16">
        <f>K3*Inputs_Outputs!$B$6</f>
        <v>418211.60133005999</v>
      </c>
      <c r="L4" s="16">
        <f>L3*Inputs_Outputs!$B$6</f>
        <v>422393.71734336059</v>
      </c>
      <c r="M4" s="16">
        <f>M3*Inputs_Outputs!$B$6</f>
        <v>426617.65451679419</v>
      </c>
      <c r="N4" s="16">
        <f>N3*Inputs_Outputs!$B$6</f>
        <v>430883.83106196212</v>
      </c>
      <c r="O4" s="16">
        <f>O3*Inputs_Outputs!$B$6</f>
        <v>435192.6693725817</v>
      </c>
      <c r="P4" s="16">
        <f>P3*Inputs_Outputs!$B$6</f>
        <v>439544.59606630757</v>
      </c>
      <c r="Q4" s="16">
        <f>Q3*Inputs_Outputs!$B$6</f>
        <v>443940.04202697059</v>
      </c>
      <c r="R4" s="16">
        <f>R3*Inputs_Outputs!$B$6</f>
        <v>448379.44244724035</v>
      </c>
      <c r="S4" s="16">
        <f>S3*Inputs_Outputs!$B$6</f>
        <v>439411.85359829554</v>
      </c>
      <c r="T4" s="16">
        <f>T3*Inputs_Outputs!$B$6</f>
        <v>430623.6165263296</v>
      </c>
      <c r="U4" s="16">
        <f>U3*Inputs_Outputs!$B$6</f>
        <v>422011.14419580303</v>
      </c>
      <c r="V4" s="16">
        <f>V3*Inputs_Outputs!$B$6</f>
        <v>413570.92131188692</v>
      </c>
      <c r="W4" s="16">
        <f>W3*Inputs_Outputs!$B$6</f>
        <v>405299.50288564921</v>
      </c>
    </row>
    <row r="5" spans="2:24" x14ac:dyDescent="0.3">
      <c r="B5" t="s">
        <v>6</v>
      </c>
      <c r="C5" s="14"/>
      <c r="D5" s="16">
        <f>Inputs_Outputs!$B$7</f>
        <v>250000</v>
      </c>
      <c r="E5" s="16">
        <f>Inputs_Outputs!$B$7</f>
        <v>250000</v>
      </c>
      <c r="F5" s="16">
        <f>Inputs_Outputs!$B$7</f>
        <v>250000</v>
      </c>
      <c r="G5" s="16">
        <f>Inputs_Outputs!$B$7</f>
        <v>250000</v>
      </c>
      <c r="H5" s="16">
        <f>Inputs_Outputs!$B$7</f>
        <v>250000</v>
      </c>
      <c r="I5" s="16">
        <f>Inputs_Outputs!$B$7</f>
        <v>250000</v>
      </c>
      <c r="J5" s="16">
        <f>Inputs_Outputs!$B$7</f>
        <v>250000</v>
      </c>
      <c r="K5" s="16">
        <f>Inputs_Outputs!$B$7</f>
        <v>250000</v>
      </c>
      <c r="L5" s="16">
        <f>Inputs_Outputs!$B$7</f>
        <v>250000</v>
      </c>
      <c r="M5" s="16">
        <f>Inputs_Outputs!$B$7</f>
        <v>250000</v>
      </c>
      <c r="N5" s="16">
        <f>Inputs_Outputs!$B$7</f>
        <v>250000</v>
      </c>
      <c r="O5" s="16">
        <f>Inputs_Outputs!$B$7</f>
        <v>250000</v>
      </c>
      <c r="P5" s="16">
        <f>Inputs_Outputs!$B$7</f>
        <v>250000</v>
      </c>
      <c r="Q5" s="16">
        <f>Inputs_Outputs!$B$7</f>
        <v>250000</v>
      </c>
      <c r="R5" s="16">
        <f>Inputs_Outputs!$B$7</f>
        <v>250000</v>
      </c>
      <c r="S5" s="16">
        <f>Inputs_Outputs!$B$7</f>
        <v>250000</v>
      </c>
      <c r="T5" s="16">
        <f>Inputs_Outputs!$B$7</f>
        <v>250000</v>
      </c>
      <c r="U5" s="16">
        <f>Inputs_Outputs!$B$7</f>
        <v>250000</v>
      </c>
      <c r="V5" s="16">
        <f>Inputs_Outputs!$B$7</f>
        <v>250000</v>
      </c>
      <c r="W5" s="16">
        <f>Inputs_Outputs!$B$7</f>
        <v>250000</v>
      </c>
    </row>
    <row r="6" spans="2:24" x14ac:dyDescent="0.3">
      <c r="B6" t="s">
        <v>26</v>
      </c>
      <c r="C6" s="14"/>
      <c r="D6" s="16">
        <f>Inputs_Outputs!$B$10</f>
        <v>492750</v>
      </c>
      <c r="E6" s="16">
        <f>Inputs_Outputs!$B$10</f>
        <v>492750</v>
      </c>
      <c r="F6" s="16">
        <f>Inputs_Outputs!$B$10</f>
        <v>492750</v>
      </c>
      <c r="G6" s="16">
        <f>Inputs_Outputs!$B$10</f>
        <v>492750</v>
      </c>
      <c r="H6" s="16">
        <f>Inputs_Outputs!$B$10</f>
        <v>492750</v>
      </c>
      <c r="I6" s="16">
        <f>Inputs_Outputs!$B$10</f>
        <v>492750</v>
      </c>
      <c r="J6" s="16">
        <f>Inputs_Outputs!$B$10</f>
        <v>492750</v>
      </c>
      <c r="K6" s="16">
        <f>Inputs_Outputs!$B$10</f>
        <v>492750</v>
      </c>
      <c r="L6" s="16">
        <f>Inputs_Outputs!$B$10</f>
        <v>492750</v>
      </c>
      <c r="M6" s="16">
        <f>Inputs_Outputs!$B$10</f>
        <v>492750</v>
      </c>
      <c r="N6" s="16">
        <f>Inputs_Outputs!$B$10</f>
        <v>492750</v>
      </c>
      <c r="O6" s="16">
        <f>Inputs_Outputs!$B$10</f>
        <v>492750</v>
      </c>
      <c r="P6" s="16">
        <f>Inputs_Outputs!$B$10</f>
        <v>492750</v>
      </c>
      <c r="Q6" s="16">
        <f>Inputs_Outputs!$B$10</f>
        <v>492750</v>
      </c>
      <c r="R6" s="16">
        <f>Inputs_Outputs!$B$10</f>
        <v>492750</v>
      </c>
      <c r="S6" s="16">
        <f>Inputs_Outputs!$B$10</f>
        <v>492750</v>
      </c>
      <c r="T6" s="16">
        <f>Inputs_Outputs!$B$10</f>
        <v>492750</v>
      </c>
      <c r="U6" s="16">
        <f>Inputs_Outputs!$B$10</f>
        <v>492750</v>
      </c>
      <c r="V6" s="16">
        <f>Inputs_Outputs!$B$10</f>
        <v>492750</v>
      </c>
      <c r="W6" s="16">
        <f>Inputs_Outputs!$B$10</f>
        <v>492750</v>
      </c>
    </row>
    <row r="7" spans="2:24" x14ac:dyDescent="0.3">
      <c r="B7" t="s">
        <v>43</v>
      </c>
      <c r="C7" s="14"/>
      <c r="D7" s="16">
        <f>Inputs_Outputs!$B$11</f>
        <v>500000</v>
      </c>
      <c r="E7" s="16">
        <f>Inputs_Outputs!$B$11</f>
        <v>500000</v>
      </c>
      <c r="F7" s="16">
        <f>Inputs_Outputs!$B$11</f>
        <v>500000</v>
      </c>
      <c r="G7" s="16">
        <f>Inputs_Outputs!$B$11</f>
        <v>500000</v>
      </c>
      <c r="H7" s="16">
        <f>Inputs_Outputs!$B$11</f>
        <v>500000</v>
      </c>
      <c r="I7" s="16">
        <f>Inputs_Outputs!$B$11</f>
        <v>500000</v>
      </c>
      <c r="J7" s="16">
        <f>Inputs_Outputs!$B$11</f>
        <v>500000</v>
      </c>
      <c r="K7" s="16">
        <f>Inputs_Outputs!$B$11</f>
        <v>500000</v>
      </c>
      <c r="L7" s="16">
        <f>Inputs_Outputs!$B$11</f>
        <v>500000</v>
      </c>
      <c r="M7" s="16">
        <f>Inputs_Outputs!$B$11</f>
        <v>500000</v>
      </c>
      <c r="N7" s="16">
        <f>Inputs_Outputs!$B$11</f>
        <v>500000</v>
      </c>
      <c r="O7" s="16">
        <f>Inputs_Outputs!$B$11</f>
        <v>500000</v>
      </c>
      <c r="P7" s="16">
        <f>Inputs_Outputs!$B$11</f>
        <v>500000</v>
      </c>
      <c r="Q7" s="16">
        <f>Inputs_Outputs!$B$11</f>
        <v>500000</v>
      </c>
      <c r="R7" s="16">
        <f>Inputs_Outputs!$B$11</f>
        <v>500000</v>
      </c>
      <c r="S7" s="16">
        <f>Inputs_Outputs!$B$11</f>
        <v>500000</v>
      </c>
      <c r="T7" s="16">
        <f>Inputs_Outputs!$B$11</f>
        <v>500000</v>
      </c>
      <c r="U7" s="16">
        <f>Inputs_Outputs!$B$11</f>
        <v>500000</v>
      </c>
      <c r="V7" s="16">
        <f>Inputs_Outputs!$B$11</f>
        <v>500000</v>
      </c>
      <c r="W7" s="16">
        <f>Inputs_Outputs!$B$11</f>
        <v>500000</v>
      </c>
    </row>
    <row r="8" spans="2:24" x14ac:dyDescent="0.3">
      <c r="B8" t="s">
        <v>27</v>
      </c>
      <c r="C8" s="14"/>
      <c r="D8" s="16">
        <f>Inputs_Outputs!$B$17 +Inputs_Outputs!$B$23</f>
        <v>383503.125</v>
      </c>
      <c r="E8" s="16">
        <f>Inputs_Outputs!$B$17 +Inputs_Outputs!$B$23</f>
        <v>383503.125</v>
      </c>
      <c r="F8" s="16">
        <f>Inputs_Outputs!$B$17 +Inputs_Outputs!$B$23</f>
        <v>383503.125</v>
      </c>
      <c r="G8" s="16">
        <f>Inputs_Outputs!$B$17 +Inputs_Outputs!$B$23</f>
        <v>383503.125</v>
      </c>
      <c r="H8" s="16">
        <f>Inputs_Outputs!$B$17 +Inputs_Outputs!$B$23</f>
        <v>383503.125</v>
      </c>
      <c r="I8" s="16">
        <f>Inputs_Outputs!$B$17 +Inputs_Outputs!$B$23</f>
        <v>383503.125</v>
      </c>
      <c r="J8" s="16">
        <f>Inputs_Outputs!$B$17 +Inputs_Outputs!$B$23</f>
        <v>383503.125</v>
      </c>
      <c r="K8" s="16">
        <f>Inputs_Outputs!$B$17 +Inputs_Outputs!$B$23</f>
        <v>383503.125</v>
      </c>
      <c r="L8" s="16">
        <f>Inputs_Outputs!$B$17 +Inputs_Outputs!$B$23</f>
        <v>383503.125</v>
      </c>
      <c r="M8" s="16">
        <f>Inputs_Outputs!$B$17 +Inputs_Outputs!$B$23</f>
        <v>383503.125</v>
      </c>
      <c r="N8" s="16">
        <f>Inputs_Outputs!$B$17 +Inputs_Outputs!$B$23</f>
        <v>383503.125</v>
      </c>
      <c r="O8" s="16">
        <f>Inputs_Outputs!$B$17 +Inputs_Outputs!$B$23</f>
        <v>383503.125</v>
      </c>
      <c r="P8" s="16">
        <f>Inputs_Outputs!$B$17 +Inputs_Outputs!$B$23</f>
        <v>383503.125</v>
      </c>
      <c r="Q8" s="16">
        <f>Inputs_Outputs!$B$17 +Inputs_Outputs!$B$23</f>
        <v>383503.125</v>
      </c>
      <c r="R8" s="16">
        <f>Inputs_Outputs!$B$17 +Inputs_Outputs!$B$23</f>
        <v>383503.125</v>
      </c>
      <c r="S8" s="16">
        <f>Inputs_Outputs!$B$17 +Inputs_Outputs!$B$23</f>
        <v>383503.125</v>
      </c>
      <c r="T8" s="16">
        <f>Inputs_Outputs!$B$17 +Inputs_Outputs!$B$23</f>
        <v>383503.125</v>
      </c>
      <c r="U8" s="16">
        <f>Inputs_Outputs!$B$17 +Inputs_Outputs!$B$23</f>
        <v>383503.125</v>
      </c>
      <c r="V8" s="16">
        <f>Inputs_Outputs!$B$17 +Inputs_Outputs!$B$23</f>
        <v>383503.125</v>
      </c>
      <c r="W8" s="16">
        <f>Inputs_Outputs!$B$17 +Inputs_Outputs!$B$23</f>
        <v>383503.125</v>
      </c>
    </row>
    <row r="9" spans="2:24" x14ac:dyDescent="0.3">
      <c r="B9" t="s">
        <v>28</v>
      </c>
      <c r="C9" s="14"/>
      <c r="D9" s="16">
        <f>D3-(SUM(D4:D8))</f>
        <v>498746.875</v>
      </c>
      <c r="E9" s="16">
        <f>E3-(SUM(E4:E8))</f>
        <v>541246.875</v>
      </c>
      <c r="F9" s="16">
        <f>F3-(SUM(F4:F8))</f>
        <v>584596.875</v>
      </c>
      <c r="G9" s="16">
        <f t="shared" ref="G9:W9" si="0">G3-(SUM(G4:G8))</f>
        <v>628813.875</v>
      </c>
      <c r="H9" s="16">
        <f t="shared" si="0"/>
        <v>673915.21499999985</v>
      </c>
      <c r="I9" s="16">
        <f t="shared" si="0"/>
        <v>696916.89839999983</v>
      </c>
      <c r="J9" s="16">
        <f t="shared" si="0"/>
        <v>720148.59863399994</v>
      </c>
      <c r="K9" s="16">
        <f t="shared" si="0"/>
        <v>743612.6158703398</v>
      </c>
      <c r="L9" s="16">
        <f t="shared" si="0"/>
        <v>767311.27327904338</v>
      </c>
      <c r="M9" s="16">
        <f t="shared" si="0"/>
        <v>791246.91726183379</v>
      </c>
      <c r="N9" s="16">
        <f t="shared" si="0"/>
        <v>815421.91768445214</v>
      </c>
      <c r="O9" s="16">
        <f t="shared" si="0"/>
        <v>839838.6681112966</v>
      </c>
      <c r="P9" s="16">
        <f t="shared" si="0"/>
        <v>864499.58604240953</v>
      </c>
      <c r="Q9" s="16">
        <f t="shared" si="0"/>
        <v>889407.11315283366</v>
      </c>
      <c r="R9" s="16">
        <f t="shared" si="0"/>
        <v>914563.71553436201</v>
      </c>
      <c r="S9" s="16">
        <f t="shared" si="0"/>
        <v>863747.37872367469</v>
      </c>
      <c r="T9" s="16">
        <f t="shared" si="0"/>
        <v>813947.36864920123</v>
      </c>
      <c r="U9" s="16">
        <f t="shared" si="0"/>
        <v>765143.35877621733</v>
      </c>
      <c r="V9" s="16">
        <f t="shared" si="0"/>
        <v>717315.42910069274</v>
      </c>
      <c r="W9" s="16">
        <f t="shared" si="0"/>
        <v>670444.05801867903</v>
      </c>
    </row>
    <row r="10" spans="2:24" x14ac:dyDescent="0.3">
      <c r="B10" t="s">
        <v>29</v>
      </c>
      <c r="C10" s="14"/>
      <c r="D10" s="16">
        <f>MAX(D9*Inputs_Outputs!$B$12,0)</f>
        <v>99749.375</v>
      </c>
      <c r="E10" s="16">
        <f>MAX(E9*Inputs_Outputs!$B$12,0)</f>
        <v>108249.375</v>
      </c>
      <c r="F10" s="16">
        <f>MAX(F9*Inputs_Outputs!$B$12,0)</f>
        <v>116919.375</v>
      </c>
      <c r="G10" s="16">
        <f>MAX(G9*Inputs_Outputs!$B$12,0)</f>
        <v>125762.77500000001</v>
      </c>
      <c r="H10" s="16">
        <f>MAX(H9*Inputs_Outputs!$B$12,0)</f>
        <v>134783.04299999998</v>
      </c>
      <c r="I10" s="16">
        <f>MAX(I9*Inputs_Outputs!$B$12,0)</f>
        <v>139383.37967999998</v>
      </c>
      <c r="J10" s="16">
        <f>MAX(J9*Inputs_Outputs!$B$12,0)</f>
        <v>144029.71972679999</v>
      </c>
      <c r="K10" s="16">
        <f>MAX(K9*Inputs_Outputs!$B$12,0)</f>
        <v>148722.52317406796</v>
      </c>
      <c r="L10" s="16">
        <f>MAX(L9*Inputs_Outputs!$B$12,0)</f>
        <v>153462.25465580868</v>
      </c>
      <c r="M10" s="16">
        <f>MAX(M9*Inputs_Outputs!$B$12,0)</f>
        <v>158249.38345236678</v>
      </c>
      <c r="N10" s="16">
        <f>MAX(N9*Inputs_Outputs!$B$12,0)</f>
        <v>163084.38353689044</v>
      </c>
      <c r="O10" s="16">
        <f>MAX(O9*Inputs_Outputs!$B$12,0)</f>
        <v>167967.73362225934</v>
      </c>
      <c r="P10" s="16">
        <f>MAX(P9*Inputs_Outputs!$B$12,0)</f>
        <v>172899.91720848193</v>
      </c>
      <c r="Q10" s="16">
        <f>MAX(Q9*Inputs_Outputs!$B$12,0)</f>
        <v>177881.42263056675</v>
      </c>
      <c r="R10" s="16">
        <f>MAX(R9*Inputs_Outputs!$B$12,0)</f>
        <v>182912.74310687243</v>
      </c>
      <c r="S10" s="16">
        <f>MAX(S9*Inputs_Outputs!$B$12,0)</f>
        <v>172749.47574473495</v>
      </c>
      <c r="T10" s="16">
        <f>MAX(T9*Inputs_Outputs!$B$12,0)</f>
        <v>162789.47372984025</v>
      </c>
      <c r="U10" s="16">
        <f>MAX(U9*Inputs_Outputs!$B$12,0)</f>
        <v>153028.67175524347</v>
      </c>
      <c r="V10" s="16">
        <f>MAX(V9*Inputs_Outputs!$B$12,0)</f>
        <v>143463.08582013854</v>
      </c>
      <c r="W10" s="16">
        <f>MAX(W9*Inputs_Outputs!$B$12,0)</f>
        <v>134088.81160373581</v>
      </c>
      <c r="X10" s="6"/>
    </row>
    <row r="11" spans="2:24" x14ac:dyDescent="0.3">
      <c r="B11" t="s">
        <v>30</v>
      </c>
      <c r="C11" s="14"/>
      <c r="D11" s="16">
        <f>D9-D10</f>
        <v>398997.5</v>
      </c>
      <c r="E11" s="16">
        <f t="shared" ref="E11:W11" si="1">E9-E10</f>
        <v>432997.5</v>
      </c>
      <c r="F11" s="16">
        <f t="shared" si="1"/>
        <v>467677.5</v>
      </c>
      <c r="G11" s="16">
        <f t="shared" si="1"/>
        <v>503051.1</v>
      </c>
      <c r="H11" s="16">
        <f t="shared" si="1"/>
        <v>539132.1719999999</v>
      </c>
      <c r="I11" s="16">
        <f t="shared" si="1"/>
        <v>557533.51871999982</v>
      </c>
      <c r="J11" s="16">
        <f t="shared" si="1"/>
        <v>576118.87890719995</v>
      </c>
      <c r="K11" s="16">
        <f t="shared" si="1"/>
        <v>594890.09269627184</v>
      </c>
      <c r="L11" s="16">
        <f t="shared" si="1"/>
        <v>613849.0186232347</v>
      </c>
      <c r="M11" s="16">
        <f t="shared" si="1"/>
        <v>632997.53380946699</v>
      </c>
      <c r="N11" s="16">
        <f t="shared" si="1"/>
        <v>652337.53414756176</v>
      </c>
      <c r="O11" s="16">
        <f t="shared" si="1"/>
        <v>671870.93448903726</v>
      </c>
      <c r="P11" s="16">
        <f t="shared" si="1"/>
        <v>691599.6688339276</v>
      </c>
      <c r="Q11" s="16">
        <f t="shared" si="1"/>
        <v>711525.6905222669</v>
      </c>
      <c r="R11" s="16">
        <f t="shared" si="1"/>
        <v>731650.97242748959</v>
      </c>
      <c r="S11" s="16">
        <f t="shared" si="1"/>
        <v>690997.9029789397</v>
      </c>
      <c r="T11" s="16">
        <f t="shared" si="1"/>
        <v>651157.89491936099</v>
      </c>
      <c r="U11" s="16">
        <f t="shared" si="1"/>
        <v>612114.68702097388</v>
      </c>
      <c r="V11" s="16">
        <f t="shared" si="1"/>
        <v>573852.34328055417</v>
      </c>
      <c r="W11" s="16">
        <f t="shared" si="1"/>
        <v>536355.24641494325</v>
      </c>
    </row>
    <row r="12" spans="2:24" x14ac:dyDescent="0.3">
      <c r="B12" s="4" t="s">
        <v>31</v>
      </c>
      <c r="C12" s="14"/>
      <c r="D12" s="16">
        <f>D11+D8</f>
        <v>782500.625</v>
      </c>
      <c r="E12" s="16">
        <f t="shared" ref="E12:W12" si="2">E11+E8</f>
        <v>816500.625</v>
      </c>
      <c r="F12" s="16">
        <f t="shared" si="2"/>
        <v>851180.625</v>
      </c>
      <c r="G12" s="16">
        <f t="shared" si="2"/>
        <v>886554.22499999998</v>
      </c>
      <c r="H12" s="16">
        <f t="shared" si="2"/>
        <v>922635.2969999999</v>
      </c>
      <c r="I12" s="16">
        <f t="shared" si="2"/>
        <v>941036.64371999982</v>
      </c>
      <c r="J12" s="16">
        <f t="shared" si="2"/>
        <v>959622.00390719995</v>
      </c>
      <c r="K12" s="16">
        <f t="shared" si="2"/>
        <v>978393.21769627184</v>
      </c>
      <c r="L12" s="16">
        <f t="shared" si="2"/>
        <v>997352.1436232347</v>
      </c>
      <c r="M12" s="16">
        <f t="shared" si="2"/>
        <v>1016500.658809467</v>
      </c>
      <c r="N12" s="16">
        <f t="shared" si="2"/>
        <v>1035840.6591475618</v>
      </c>
      <c r="O12" s="16">
        <f t="shared" si="2"/>
        <v>1055374.0594890374</v>
      </c>
      <c r="P12" s="16">
        <f t="shared" si="2"/>
        <v>1075102.7938339277</v>
      </c>
      <c r="Q12" s="16">
        <f t="shared" si="2"/>
        <v>1095028.815522267</v>
      </c>
      <c r="R12" s="16">
        <f t="shared" si="2"/>
        <v>1115154.0974274897</v>
      </c>
      <c r="S12" s="16">
        <f t="shared" si="2"/>
        <v>1074501.0279789397</v>
      </c>
      <c r="T12" s="16">
        <f t="shared" si="2"/>
        <v>1034661.019919361</v>
      </c>
      <c r="U12" s="16">
        <f t="shared" si="2"/>
        <v>995617.81202097388</v>
      </c>
      <c r="V12" s="16">
        <f t="shared" si="2"/>
        <v>957355.46828055417</v>
      </c>
      <c r="W12" s="16">
        <f t="shared" si="2"/>
        <v>919858.37141494325</v>
      </c>
    </row>
    <row r="14" spans="2:24" x14ac:dyDescent="0.3">
      <c r="B14" s="5" t="s">
        <v>37</v>
      </c>
      <c r="C14" s="15">
        <v>0</v>
      </c>
      <c r="D14" s="15">
        <v>1</v>
      </c>
      <c r="E14" s="15">
        <v>2</v>
      </c>
      <c r="F14" s="15">
        <v>3</v>
      </c>
      <c r="G14" s="15">
        <v>4</v>
      </c>
      <c r="H14" s="15">
        <v>5</v>
      </c>
      <c r="I14" s="15">
        <v>6</v>
      </c>
      <c r="J14" s="15">
        <v>7</v>
      </c>
      <c r="K14" s="15">
        <v>8</v>
      </c>
      <c r="L14" s="15">
        <v>9</v>
      </c>
      <c r="M14" s="15">
        <v>10</v>
      </c>
      <c r="N14" s="15">
        <v>11</v>
      </c>
      <c r="O14" s="15">
        <v>12</v>
      </c>
      <c r="P14" s="15">
        <v>13</v>
      </c>
      <c r="Q14" s="15">
        <v>14</v>
      </c>
      <c r="R14" s="15">
        <v>15</v>
      </c>
      <c r="S14" s="15">
        <v>16</v>
      </c>
      <c r="T14" s="15">
        <v>17</v>
      </c>
      <c r="U14" s="15">
        <v>18</v>
      </c>
      <c r="V14" s="15">
        <v>19</v>
      </c>
      <c r="W14" s="15">
        <v>20</v>
      </c>
    </row>
    <row r="15" spans="2:24" x14ac:dyDescent="0.3">
      <c r="B15" t="s">
        <v>33</v>
      </c>
      <c r="C15" s="6">
        <f>-Inputs_Outputs!B16</f>
        <v>-340125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2:24" x14ac:dyDescent="0.3">
      <c r="B16" t="s">
        <v>34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>
        <f>Inputs_Outputs!B18</f>
        <v>170062.5</v>
      </c>
    </row>
    <row r="17" spans="2:23" x14ac:dyDescent="0.3">
      <c r="B17" t="s">
        <v>35</v>
      </c>
      <c r="C17" s="6">
        <f>-Inputs_Outputs!B22</f>
        <v>-7500000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2:23" x14ac:dyDescent="0.3">
      <c r="B18" t="s">
        <v>36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>
        <f>Inputs_Outputs!B24</f>
        <v>375000</v>
      </c>
    </row>
    <row r="19" spans="2:23" x14ac:dyDescent="0.3">
      <c r="B19" s="4" t="s">
        <v>37</v>
      </c>
      <c r="C19" s="6">
        <f>SUM(C15:C18)</f>
        <v>-7840125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>
        <f>SUM(W15:W18)</f>
        <v>545062.5</v>
      </c>
    </row>
    <row r="20" spans="2:23" x14ac:dyDescent="0.3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2:23" x14ac:dyDescent="0.3">
      <c r="B21" s="5" t="s">
        <v>38</v>
      </c>
      <c r="C21" s="15">
        <v>0</v>
      </c>
      <c r="D21" s="15">
        <v>1</v>
      </c>
      <c r="E21" s="15">
        <v>2</v>
      </c>
      <c r="F21" s="15">
        <v>3</v>
      </c>
      <c r="G21" s="15">
        <v>4</v>
      </c>
      <c r="H21" s="15">
        <v>5</v>
      </c>
      <c r="I21" s="15">
        <v>6</v>
      </c>
      <c r="J21" s="15">
        <v>7</v>
      </c>
      <c r="K21" s="15">
        <v>8</v>
      </c>
      <c r="L21" s="15">
        <v>9</v>
      </c>
      <c r="M21" s="15">
        <v>10</v>
      </c>
      <c r="N21" s="15">
        <v>11</v>
      </c>
      <c r="O21" s="15">
        <v>12</v>
      </c>
      <c r="P21" s="15">
        <v>13</v>
      </c>
      <c r="Q21" s="15">
        <v>14</v>
      </c>
      <c r="R21" s="15">
        <v>15</v>
      </c>
      <c r="S21" s="15">
        <v>16</v>
      </c>
      <c r="T21" s="15">
        <v>17</v>
      </c>
      <c r="U21" s="15">
        <v>18</v>
      </c>
      <c r="V21" s="15">
        <v>19</v>
      </c>
      <c r="W21" s="15">
        <v>20</v>
      </c>
    </row>
    <row r="22" spans="2:23" x14ac:dyDescent="0.3">
      <c r="B22" t="s">
        <v>39</v>
      </c>
      <c r="C22" s="6">
        <f>Inputs_Outputs!$B$28*(Inputs_Outputs!B22+Inputs_Outputs!B16)</f>
        <v>392006.25</v>
      </c>
      <c r="D22" s="6">
        <f>Inputs_Outputs!$B$29*Model!D3</f>
        <v>125000</v>
      </c>
      <c r="E22" s="6">
        <f>Inputs_Outputs!$B$29*Model!E3</f>
        <v>127500</v>
      </c>
      <c r="F22" s="6">
        <f>Inputs_Outputs!$B$29*Model!F3</f>
        <v>130050</v>
      </c>
      <c r="G22" s="6">
        <f>Inputs_Outputs!$B$29*Model!G3</f>
        <v>132651</v>
      </c>
      <c r="H22" s="6">
        <f>Inputs_Outputs!$B$29*Model!H3</f>
        <v>135304.01999999999</v>
      </c>
      <c r="I22" s="6">
        <f>Inputs_Outputs!$B$29*Model!I3</f>
        <v>136657.06020000001</v>
      </c>
      <c r="J22" s="6">
        <f>Inputs_Outputs!$B$29*Model!J3</f>
        <v>138023.630802</v>
      </c>
      <c r="K22" s="6">
        <f>Inputs_Outputs!$B$29*Model!K3</f>
        <v>139403.86711001999</v>
      </c>
      <c r="L22" s="6">
        <f>Inputs_Outputs!$B$29*Model!L3</f>
        <v>140797.90578112021</v>
      </c>
      <c r="M22" s="6">
        <f>Inputs_Outputs!$B$29*Model!M3</f>
        <v>142205.88483893141</v>
      </c>
      <c r="N22" s="6">
        <f>Inputs_Outputs!$B$29*Model!N3</f>
        <v>143627.94368732072</v>
      </c>
      <c r="O22" s="6">
        <f>Inputs_Outputs!$B$29*Model!O3</f>
        <v>145064.22312419393</v>
      </c>
      <c r="P22" s="6">
        <f>Inputs_Outputs!$B$29*Model!P3</f>
        <v>146514.86535543585</v>
      </c>
      <c r="Q22" s="6">
        <f>Inputs_Outputs!$B$29*Model!Q3</f>
        <v>147980.01400899023</v>
      </c>
      <c r="R22" s="6">
        <f>Inputs_Outputs!$B$29*Model!R3</f>
        <v>149459.81414908014</v>
      </c>
      <c r="S22" s="6">
        <f>Inputs_Outputs!$B$29*Model!S3</f>
        <v>146470.6178660985</v>
      </c>
      <c r="T22" s="6">
        <f>Inputs_Outputs!$B$29*Model!T3</f>
        <v>143541.20550877656</v>
      </c>
      <c r="U22" s="6">
        <f>Inputs_Outputs!$B$29*Model!U3</f>
        <v>140670.38139860102</v>
      </c>
      <c r="V22" s="6">
        <f>Inputs_Outputs!$B$29*Model!V3</f>
        <v>137856.973770629</v>
      </c>
      <c r="W22" s="6">
        <f>Inputs_Outputs!$B$29*Model!W3</f>
        <v>135099.83429521642</v>
      </c>
    </row>
    <row r="23" spans="2:23" x14ac:dyDescent="0.3">
      <c r="B23" s="4" t="s">
        <v>40</v>
      </c>
      <c r="C23" s="6">
        <f>-C22</f>
        <v>-392006.25</v>
      </c>
      <c r="D23" s="6">
        <f>C22-D22</f>
        <v>267006.25</v>
      </c>
      <c r="E23" s="6">
        <f t="shared" ref="E23:W23" si="3">D22-E22</f>
        <v>-2500</v>
      </c>
      <c r="F23" s="6">
        <f t="shared" si="3"/>
        <v>-2550</v>
      </c>
      <c r="G23" s="6">
        <f t="shared" si="3"/>
        <v>-2601</v>
      </c>
      <c r="H23" s="6">
        <f t="shared" si="3"/>
        <v>-2653.0199999999895</v>
      </c>
      <c r="I23" s="6">
        <f t="shared" si="3"/>
        <v>-1353.0402000000176</v>
      </c>
      <c r="J23" s="6">
        <f t="shared" si="3"/>
        <v>-1366.5706019999925</v>
      </c>
      <c r="K23" s="6">
        <f t="shared" si="3"/>
        <v>-1380.2363080199866</v>
      </c>
      <c r="L23" s="6">
        <f t="shared" si="3"/>
        <v>-1394.0386711002211</v>
      </c>
      <c r="M23" s="6">
        <f t="shared" si="3"/>
        <v>-1407.9790578112006</v>
      </c>
      <c r="N23" s="6">
        <f t="shared" si="3"/>
        <v>-1422.058848389308</v>
      </c>
      <c r="O23" s="6">
        <f t="shared" si="3"/>
        <v>-1436.2794368732139</v>
      </c>
      <c r="P23" s="6">
        <f t="shared" si="3"/>
        <v>-1450.6422312419163</v>
      </c>
      <c r="Q23" s="6">
        <f t="shared" si="3"/>
        <v>-1465.1486535543809</v>
      </c>
      <c r="R23" s="6">
        <f t="shared" si="3"/>
        <v>-1479.8001400899084</v>
      </c>
      <c r="S23" s="6">
        <f t="shared" si="3"/>
        <v>2989.196282981633</v>
      </c>
      <c r="T23" s="6">
        <f t="shared" si="3"/>
        <v>2929.4123573219404</v>
      </c>
      <c r="U23" s="6">
        <f t="shared" si="3"/>
        <v>2870.8241101755411</v>
      </c>
      <c r="V23" s="6">
        <f t="shared" si="3"/>
        <v>2813.4076279720175</v>
      </c>
      <c r="W23" s="6">
        <f>V22-W22+W22</f>
        <v>137856.973770629</v>
      </c>
    </row>
    <row r="24" spans="2:23" x14ac:dyDescent="0.3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2:23" x14ac:dyDescent="0.3">
      <c r="C25" s="15">
        <v>0</v>
      </c>
      <c r="D25" s="15">
        <v>1</v>
      </c>
      <c r="E25" s="15">
        <v>2</v>
      </c>
      <c r="F25" s="15">
        <v>3</v>
      </c>
      <c r="G25" s="15">
        <v>4</v>
      </c>
      <c r="H25" s="15">
        <v>5</v>
      </c>
      <c r="I25" s="15">
        <v>6</v>
      </c>
      <c r="J25" s="15">
        <v>7</v>
      </c>
      <c r="K25" s="15">
        <v>8</v>
      </c>
      <c r="L25" s="15">
        <v>9</v>
      </c>
      <c r="M25" s="15">
        <v>10</v>
      </c>
      <c r="N25" s="15">
        <v>11</v>
      </c>
      <c r="O25" s="15">
        <v>12</v>
      </c>
      <c r="P25" s="15">
        <v>13</v>
      </c>
      <c r="Q25" s="15">
        <v>14</v>
      </c>
      <c r="R25" s="15">
        <v>15</v>
      </c>
      <c r="S25" s="15">
        <v>16</v>
      </c>
      <c r="T25" s="15">
        <v>17</v>
      </c>
      <c r="U25" s="15">
        <v>18</v>
      </c>
      <c r="V25" s="15">
        <v>19</v>
      </c>
      <c r="W25" s="15">
        <v>20</v>
      </c>
    </row>
    <row r="26" spans="2:23" x14ac:dyDescent="0.3">
      <c r="B26" s="4" t="s">
        <v>41</v>
      </c>
      <c r="C26" s="6">
        <f>SUM(C12,C19,C23)</f>
        <v>-8232131.25</v>
      </c>
      <c r="D26" s="6">
        <f t="shared" ref="D26:W26" si="4">SUM(D12,D19,D23)</f>
        <v>1049506.875</v>
      </c>
      <c r="E26" s="6">
        <f t="shared" si="4"/>
        <v>814000.625</v>
      </c>
      <c r="F26" s="6">
        <f t="shared" si="4"/>
        <v>848630.625</v>
      </c>
      <c r="G26" s="6">
        <f t="shared" si="4"/>
        <v>883953.22499999998</v>
      </c>
      <c r="H26" s="6">
        <f t="shared" si="4"/>
        <v>919982.27699999989</v>
      </c>
      <c r="I26" s="6">
        <f t="shared" si="4"/>
        <v>939683.60351999977</v>
      </c>
      <c r="J26" s="6">
        <f t="shared" si="4"/>
        <v>958255.43330519996</v>
      </c>
      <c r="K26" s="6">
        <f t="shared" si="4"/>
        <v>977012.98138825188</v>
      </c>
      <c r="L26" s="6">
        <f t="shared" si="4"/>
        <v>995958.10495213442</v>
      </c>
      <c r="M26" s="6">
        <f t="shared" si="4"/>
        <v>1015092.6797516558</v>
      </c>
      <c r="N26" s="6">
        <f t="shared" si="4"/>
        <v>1034418.6002991725</v>
      </c>
      <c r="O26" s="6">
        <f t="shared" si="4"/>
        <v>1053937.7800521641</v>
      </c>
      <c r="P26" s="6">
        <f t="shared" si="4"/>
        <v>1073652.1516026859</v>
      </c>
      <c r="Q26" s="6">
        <f t="shared" si="4"/>
        <v>1093563.6668687128</v>
      </c>
      <c r="R26" s="6">
        <f t="shared" si="4"/>
        <v>1113674.2972873999</v>
      </c>
      <c r="S26" s="6">
        <f t="shared" si="4"/>
        <v>1077490.2242619214</v>
      </c>
      <c r="T26" s="6">
        <f t="shared" si="4"/>
        <v>1037590.4322766829</v>
      </c>
      <c r="U26" s="6">
        <f t="shared" si="4"/>
        <v>998488.63613114948</v>
      </c>
      <c r="V26" s="6">
        <f t="shared" si="4"/>
        <v>960168.87590852613</v>
      </c>
      <c r="W26" s="6">
        <f t="shared" si="4"/>
        <v>1602777.845185572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Inputs_Outputs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klokh</dc:creator>
  <cp:lastModifiedBy>ummekulsum Lokhandwala</cp:lastModifiedBy>
  <dcterms:created xsi:type="dcterms:W3CDTF">2023-06-12T10:02:14Z</dcterms:created>
  <dcterms:modified xsi:type="dcterms:W3CDTF">2023-06-16T09:48:32Z</dcterms:modified>
</cp:coreProperties>
</file>