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R:\@GUICHET\@Compta Fisca\Macro Excel fiscale - Claude 2025\"/>
    </mc:Choice>
  </mc:AlternateContent>
  <xr:revisionPtr revIDLastSave="0" documentId="13_ncr:1_{7FA5DAD4-09FE-468F-9C2C-199CF2386FE8}" xr6:coauthVersionLast="47" xr6:coauthVersionMax="47" xr10:uidLastSave="{00000000-0000-0000-0000-000000000000}"/>
  <bookViews>
    <workbookView xWindow="-104" yWindow="-104" windowWidth="22326" windowHeight="11947" tabRatio="605" xr2:uid="{00000000-000D-0000-FFFF-FFFF00000000}"/>
  </bookViews>
  <sheets>
    <sheet name="01_Parametres" sheetId="1" r:id="rId1"/>
    <sheet name="Parametres (2) _sauv" sheetId="10" state="hidden" r:id="rId2"/>
    <sheet name="02_Bitrequest_import" sheetId="2" r:id="rId3"/>
    <sheet name="03_Tout_autre_wallet" sheetId="9" r:id="rId4"/>
    <sheet name="CUMP_Calculs" sheetId="4" state="hidden" r:id="rId5"/>
    <sheet name="04_Resultats_Comptables" sheetId="5" r:id="rId6"/>
    <sheet name="Fichier_config" sheetId="11" state="hidden" r:id="rId7"/>
    <sheet name="reporting-comptable-csv (2)" sheetId="8" state="hidden" r:id="rId8"/>
  </sheets>
  <definedNames>
    <definedName name="_xlnm.Print_Area" localSheetId="0">'01_Parametres'!$A$1:$W$33</definedName>
    <definedName name="_xlnm.Print_Area" localSheetId="5">'04_Resultats_Comptables'!$A$1:$G$38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3" i="5" s="1"/>
  <c r="K7" i="9"/>
  <c r="K8" i="9"/>
  <c r="K9" i="9"/>
  <c r="K6" i="9"/>
  <c r="C8" i="5"/>
  <c r="E8" i="5" s="1"/>
  <c r="C21" i="5"/>
  <c r="P10" i="4"/>
  <c r="P14" i="4"/>
  <c r="P15" i="4"/>
  <c r="P16" i="4"/>
  <c r="P17" i="4"/>
  <c r="O10" i="4"/>
  <c r="O11" i="4"/>
  <c r="O12" i="4"/>
  <c r="O13" i="4"/>
  <c r="O14" i="4"/>
  <c r="O15" i="4"/>
  <c r="O16" i="4"/>
  <c r="O17" i="4"/>
  <c r="N15" i="4"/>
  <c r="S15" i="4" s="1"/>
  <c r="N16" i="4"/>
  <c r="S16" i="4" s="1"/>
  <c r="N17" i="4"/>
  <c r="S17" i="4" s="1"/>
  <c r="N6" i="4"/>
  <c r="S6" i="4" s="1"/>
  <c r="M9" i="4"/>
  <c r="M13" i="4"/>
  <c r="M6" i="4"/>
  <c r="M15" i="4"/>
  <c r="M16" i="4"/>
  <c r="M17" i="4"/>
  <c r="AD9" i="9"/>
  <c r="N14" i="4"/>
  <c r="N13" i="4"/>
  <c r="N12" i="4"/>
  <c r="S12" i="4" s="1"/>
  <c r="N11" i="4"/>
  <c r="N10" i="4"/>
  <c r="P9" i="9"/>
  <c r="Q9" i="9"/>
  <c r="O9" i="4" s="1"/>
  <c r="R9" i="9"/>
  <c r="Y9" i="9" s="1"/>
  <c r="T9" i="9"/>
  <c r="S9" i="9" s="1"/>
  <c r="U9" i="9"/>
  <c r="H9" i="4"/>
  <c r="H15" i="4"/>
  <c r="H16" i="4"/>
  <c r="AB8" i="9"/>
  <c r="P8" i="9"/>
  <c r="M8" i="4" s="1"/>
  <c r="Q8" i="9"/>
  <c r="O8" i="4" s="1"/>
  <c r="R8" i="9"/>
  <c r="N8" i="4" s="1"/>
  <c r="T8" i="9"/>
  <c r="S8" i="9" s="1"/>
  <c r="P8" i="4" s="1"/>
  <c r="U8" i="9"/>
  <c r="B16" i="4"/>
  <c r="B17" i="4"/>
  <c r="B6" i="4"/>
  <c r="B7" i="4"/>
  <c r="B8" i="4"/>
  <c r="B9" i="4"/>
  <c r="B13" i="4"/>
  <c r="B14" i="4"/>
  <c r="B15" i="4"/>
  <c r="C15" i="4"/>
  <c r="D15" i="4"/>
  <c r="E15" i="4"/>
  <c r="C16" i="4"/>
  <c r="D16" i="4"/>
  <c r="E16" i="4"/>
  <c r="C17" i="4"/>
  <c r="D17" i="4"/>
  <c r="E17" i="4"/>
  <c r="T7" i="9"/>
  <c r="R7" i="9"/>
  <c r="Q7" i="9"/>
  <c r="AB7" i="9" s="1"/>
  <c r="P7" i="9"/>
  <c r="U7" i="9" s="1"/>
  <c r="T6" i="9"/>
  <c r="R6" i="9"/>
  <c r="Y6" i="9" s="1"/>
  <c r="Q6" i="9"/>
  <c r="J6" i="9" s="1"/>
  <c r="P6" i="9"/>
  <c r="U6" i="9" s="1"/>
  <c r="U7" i="2"/>
  <c r="U8" i="2"/>
  <c r="U9" i="2"/>
  <c r="U6" i="2"/>
  <c r="C18" i="2"/>
  <c r="A15" i="2"/>
  <c r="A16" i="2"/>
  <c r="A8" i="2"/>
  <c r="A9" i="2" s="1"/>
  <c r="A10" i="2" s="1"/>
  <c r="A11" i="2" s="1"/>
  <c r="A12" i="2" s="1"/>
  <c r="A13" i="2" s="1"/>
  <c r="A14" i="2" s="1"/>
  <c r="A7" i="2"/>
  <c r="AD7" i="2"/>
  <c r="AD8" i="2"/>
  <c r="AD9" i="2"/>
  <c r="AD6" i="2"/>
  <c r="G4" i="11"/>
  <c r="D4" i="11"/>
  <c r="B4" i="11"/>
  <c r="E16" i="8"/>
  <c r="C23" i="5"/>
  <c r="J7" i="9"/>
  <c r="J8" i="9"/>
  <c r="J9" i="9"/>
  <c r="T7" i="2"/>
  <c r="T8" i="2"/>
  <c r="T9" i="2"/>
  <c r="T6" i="2"/>
  <c r="M14" i="4"/>
  <c r="P6" i="2"/>
  <c r="P7" i="2"/>
  <c r="P8" i="2"/>
  <c r="P9" i="2"/>
  <c r="M10" i="4"/>
  <c r="M11" i="4"/>
  <c r="M12" i="4"/>
  <c r="Q7" i="2"/>
  <c r="D7" i="4" s="1"/>
  <c r="Q8" i="2"/>
  <c r="Q9" i="2"/>
  <c r="AB9" i="2" s="1"/>
  <c r="D10" i="4"/>
  <c r="D14" i="4"/>
  <c r="R7" i="2"/>
  <c r="R8" i="2"/>
  <c r="R9" i="2"/>
  <c r="C9" i="4" s="1"/>
  <c r="C10" i="4"/>
  <c r="C11" i="4"/>
  <c r="C13" i="4"/>
  <c r="C14" i="4"/>
  <c r="R6" i="2"/>
  <c r="X6" i="2" s="1"/>
  <c r="AE6" i="2" s="1"/>
  <c r="D7" i="8"/>
  <c r="Q6" i="2"/>
  <c r="D6" i="4" s="1"/>
  <c r="O7" i="4" l="1"/>
  <c r="N9" i="4"/>
  <c r="S9" i="4" s="1"/>
  <c r="X6" i="9"/>
  <c r="AE6" i="9" s="1"/>
  <c r="X9" i="9"/>
  <c r="AE9" i="9" s="1"/>
  <c r="C9" i="5"/>
  <c r="AB9" i="9"/>
  <c r="AC8" i="9"/>
  <c r="P9" i="4"/>
  <c r="AC9" i="9"/>
  <c r="AD7" i="9"/>
  <c r="AD6" i="9"/>
  <c r="AD8" i="9"/>
  <c r="M7" i="4"/>
  <c r="B12" i="4"/>
  <c r="B11" i="4"/>
  <c r="B10" i="4"/>
  <c r="O6" i="4"/>
  <c r="Q6" i="4" s="1"/>
  <c r="AB6" i="9"/>
  <c r="N7" i="4"/>
  <c r="H17" i="4"/>
  <c r="W9" i="9"/>
  <c r="S6" i="9"/>
  <c r="V6" i="9"/>
  <c r="V7" i="9" s="1"/>
  <c r="V8" i="9" s="1"/>
  <c r="V9" i="9" s="1"/>
  <c r="S7" i="9"/>
  <c r="S9" i="2"/>
  <c r="E9" i="4" s="1"/>
  <c r="C6" i="4"/>
  <c r="S8" i="2"/>
  <c r="E8" i="4" s="1"/>
  <c r="AB7" i="2"/>
  <c r="Y6" i="2"/>
  <c r="S7" i="2"/>
  <c r="E7" i="4" s="1"/>
  <c r="D12" i="4"/>
  <c r="D9" i="4"/>
  <c r="D8" i="4"/>
  <c r="C12" i="4"/>
  <c r="AB8" i="2"/>
  <c r="D13" i="4"/>
  <c r="D11" i="4"/>
  <c r="V6" i="2"/>
  <c r="S6" i="2"/>
  <c r="AC6" i="2" s="1"/>
  <c r="V7" i="2"/>
  <c r="V8" i="2" s="1"/>
  <c r="V9" i="2" s="1"/>
  <c r="C8" i="4"/>
  <c r="C7" i="4"/>
  <c r="AB6" i="2"/>
  <c r="E27" i="5" l="1"/>
  <c r="P7" i="4"/>
  <c r="AC7" i="9"/>
  <c r="P11" i="4"/>
  <c r="P12" i="4"/>
  <c r="P13" i="4"/>
  <c r="W6" i="9"/>
  <c r="AC6" i="9"/>
  <c r="P6" i="4"/>
  <c r="R6" i="4" s="1"/>
  <c r="R7" i="4" s="1"/>
  <c r="Q7" i="4"/>
  <c r="Q8" i="4" s="1"/>
  <c r="H6" i="4"/>
  <c r="H12" i="4"/>
  <c r="F6" i="4"/>
  <c r="F7" i="4" s="1"/>
  <c r="AC9" i="2"/>
  <c r="AC7" i="2"/>
  <c r="E6" i="4"/>
  <c r="G6" i="4" s="1"/>
  <c r="W6" i="2"/>
  <c r="AC8" i="2"/>
  <c r="R8" i="4" l="1"/>
  <c r="S8" i="4" s="1"/>
  <c r="W7" i="9"/>
  <c r="X7" i="9" s="1"/>
  <c r="S7" i="4"/>
  <c r="Q9" i="4"/>
  <c r="Q10" i="4" s="1"/>
  <c r="Q11" i="4" s="1"/>
  <c r="F8" i="4"/>
  <c r="G7" i="4"/>
  <c r="I6" i="4"/>
  <c r="R9" i="4" l="1"/>
  <c r="R10" i="4" s="1"/>
  <c r="R11" i="4" s="1"/>
  <c r="S11" i="4" s="1"/>
  <c r="S10" i="4"/>
  <c r="AE7" i="9"/>
  <c r="Y7" i="9"/>
  <c r="Q12" i="4"/>
  <c r="Q13" i="4" s="1"/>
  <c r="Q14" i="4" s="1"/>
  <c r="G8" i="4"/>
  <c r="W8" i="9"/>
  <c r="X8" i="9" s="1"/>
  <c r="H7" i="4"/>
  <c r="F9" i="4"/>
  <c r="G9" i="4"/>
  <c r="R12" i="4" l="1"/>
  <c r="R13" i="4" s="1"/>
  <c r="R14" i="4" s="1"/>
  <c r="I13" i="5" s="1"/>
  <c r="Q15" i="4"/>
  <c r="Q16" i="4" s="1"/>
  <c r="Q17" i="4" s="1"/>
  <c r="C22" i="5"/>
  <c r="C24" i="5" s="1"/>
  <c r="S13" i="4"/>
  <c r="G10" i="4"/>
  <c r="F10" i="4"/>
  <c r="Y8" i="9"/>
  <c r="AE8" i="9"/>
  <c r="W8" i="2"/>
  <c r="X8" i="2" s="1"/>
  <c r="H8" i="4"/>
  <c r="W9" i="2"/>
  <c r="X9" i="2" s="1"/>
  <c r="AE9" i="2" s="1"/>
  <c r="W7" i="2"/>
  <c r="X7" i="2" s="1"/>
  <c r="Y7" i="2" s="1"/>
  <c r="Y9" i="2"/>
  <c r="G11" i="4" l="1"/>
  <c r="D10" i="5"/>
  <c r="R15" i="4"/>
  <c r="R16" i="4" s="1"/>
  <c r="R17" i="4" s="1"/>
  <c r="S14" i="4"/>
  <c r="F11" i="4"/>
  <c r="H11" i="4"/>
  <c r="AE8" i="2"/>
  <c r="Y8" i="2"/>
  <c r="H10" i="4"/>
  <c r="AE7" i="2"/>
  <c r="E12" i="4"/>
  <c r="E13" i="4"/>
  <c r="E11" i="4"/>
  <c r="E10" i="4"/>
  <c r="E14" i="4"/>
  <c r="G12" i="4" l="1"/>
  <c r="G13" i="4"/>
  <c r="G14" i="4" s="1"/>
  <c r="F12" i="4"/>
  <c r="C27" i="5"/>
  <c r="C29" i="5" s="1"/>
  <c r="F13" i="4" l="1"/>
  <c r="G15" i="4"/>
  <c r="H14" i="4"/>
  <c r="H13" i="4"/>
  <c r="E13" i="5"/>
  <c r="J13" i="5" s="1"/>
  <c r="G16" i="4" l="1"/>
  <c r="F14" i="4"/>
  <c r="O32" i="1"/>
  <c r="C17" i="5" l="1"/>
  <c r="C16" i="5"/>
  <c r="F15" i="4"/>
  <c r="C31" i="5"/>
  <c r="G17" i="4"/>
  <c r="B19" i="10"/>
  <c r="C18" i="5" l="1"/>
  <c r="C30" i="5" s="1"/>
  <c r="F16" i="4"/>
  <c r="F17" i="4" l="1"/>
</calcChain>
</file>

<file path=xl/sharedStrings.xml><?xml version="1.0" encoding="utf-8"?>
<sst xmlns="http://schemas.openxmlformats.org/spreadsheetml/2006/main" count="516" uniqueCount="327">
  <si>
    <t>Paramètre</t>
  </si>
  <si>
    <t>Valeur</t>
  </si>
  <si>
    <t>Liste de choix possible</t>
  </si>
  <si>
    <t>Type d'entreprise</t>
  </si>
  <si>
    <t>SAS/SARL</t>
  </si>
  <si>
    <t>SAS/SARL,Auto-entreprise,EI</t>
  </si>
  <si>
    <t>Pays</t>
  </si>
  <si>
    <t>France</t>
  </si>
  <si>
    <t>Méthode de calcul</t>
  </si>
  <si>
    <t>FIFO</t>
  </si>
  <si>
    <t>FIFO,PMP</t>
  </si>
  <si>
    <t>Année fiscale</t>
  </si>
  <si>
    <t/>
  </si>
  <si>
    <t>Compte crypto</t>
  </si>
  <si>
    <t>522</t>
  </si>
  <si>
    <t>FIFO = plus facilement auditable, plus fréquent, plus prudent comptablement</t>
  </si>
  <si>
    <t>522 pour "jetons numériques" destinés à être dépensés à court terme (échelle d'1 an)</t>
  </si>
  <si>
    <t>From</t>
  </si>
  <si>
    <t>Description</t>
  </si>
  <si>
    <t>Currency</t>
  </si>
  <si>
    <t>Status</t>
  </si>
  <si>
    <t>Netwerk</t>
  </si>
  <si>
    <t>Type</t>
  </si>
  <si>
    <t>Created</t>
  </si>
  <si>
    <t>Amount</t>
  </si>
  <si>
    <t>Amount Received / Paid</t>
  </si>
  <si>
    <t>Fiat value</t>
  </si>
  <si>
    <t>Request send on</t>
  </si>
  <si>
    <t>Receiving address</t>
  </si>
  <si>
    <t>txhash</t>
  </si>
  <si>
    <t>Jean Martin</t>
  </si>
  <si>
    <t>3x Café Bio</t>
  </si>
  <si>
    <t>monero</t>
  </si>
  <si>
    <t>completed</t>
  </si>
  <si>
    <t>incoming</t>
  </si>
  <si>
    <t>0.05 xmr</t>
  </si>
  <si>
    <t>4AqC7mDrKHZtN8AoGnGGKQmzV24kYkAHCxHZQcPrPTSxF7UHyBSt71B3nY</t>
  </si>
  <si>
    <t>tx_123456</t>
  </si>
  <si>
    <t>Marie Dupont</t>
  </si>
  <si>
    <t>Consultation 1h</t>
  </si>
  <si>
    <t>0.15 xmr</t>
  </si>
  <si>
    <t>tx_234567</t>
  </si>
  <si>
    <t>Paul Durand</t>
  </si>
  <si>
    <t>Formation Excel</t>
  </si>
  <si>
    <t>0.25 xmr</t>
  </si>
  <si>
    <t>65.00 EUR</t>
  </si>
  <si>
    <t>tx_345678</t>
  </si>
  <si>
    <t>Swap XMR-&gt;BTC</t>
  </si>
  <si>
    <t>outgoing</t>
  </si>
  <si>
    <t>0.30 xmr</t>
  </si>
  <si>
    <t>81.00 EUR</t>
  </si>
  <si>
    <t>tx_456789</t>
  </si>
  <si>
    <t>Type_Clean</t>
  </si>
  <si>
    <t>Montant_EUR</t>
  </si>
  <si>
    <t>ID_Transaction</t>
  </si>
  <si>
    <t>Stock_Cumulé</t>
  </si>
  <si>
    <t>Prix_Acquisition_Unite</t>
  </si>
  <si>
    <t>Prix_Acquisition_Total</t>
  </si>
  <si>
    <t>Plus_Moins_Value</t>
  </si>
  <si>
    <t>Commentaire</t>
  </si>
  <si>
    <t>0</t>
  </si>
  <si>
    <t>Date_Tri</t>
  </si>
  <si>
    <t>Quantité</t>
  </si>
  <si>
    <t>Prix_Unitaire</t>
  </si>
  <si>
    <t>Stock_Restant</t>
  </si>
  <si>
    <t>=ANNEE(AUJOURDHUI())</t>
  </si>
  <si>
    <t>Prix 1 XMR à la date de tx</t>
  </si>
  <si>
    <t>Montant_XMR_clean</t>
  </si>
  <si>
    <t>Date_clean</t>
  </si>
  <si>
    <t>Commentaires</t>
  </si>
  <si>
    <t>Pour notes et justifications</t>
  </si>
  <si>
    <t>Validation montant XMR</t>
  </si>
  <si>
    <t>Validation Prix_EUR_Unité</t>
  </si>
  <si>
    <t>ÉTAT DU COMPTE 522 "JETONS NUMÉRIQUES" - EXERCICE 2024</t>
  </si>
  <si>
    <t>A) Mouvements du compte</t>
  </si>
  <si>
    <t>Débit (€)</t>
  </si>
  <si>
    <t>Crédit (€)</t>
  </si>
  <si>
    <t>Solde (€)</t>
  </si>
  <si>
    <t>Solde initial au 01/01/2024</t>
  </si>
  <si>
    <t>Solde au 31/12/2024</t>
  </si>
  <si>
    <t>B) Plus-Values de l'exercice</t>
  </si>
  <si>
    <t>Montant (€)</t>
  </si>
  <si>
    <t>Plus-values réalisées</t>
  </si>
  <si>
    <t>Sur conversions/ventes</t>
  </si>
  <si>
    <t>Moins-values réalisées</t>
  </si>
  <si>
    <t>Résultat net</t>
  </si>
  <si>
    <t>C) Position de trésorerie crypto</t>
  </si>
  <si>
    <t>Montant</t>
  </si>
  <si>
    <t>En XMR</t>
  </si>
  <si>
    <t>Cours XMR/EUR fin d'exercice</t>
  </si>
  <si>
    <t>D) Données pour liasse fiscale</t>
  </si>
  <si>
    <t>Base de calcul</t>
  </si>
  <si>
    <t>=B3</t>
  </si>
  <si>
    <t>Plus-values imposables</t>
  </si>
  <si>
    <t>Valeur du stock final</t>
  </si>
  <si>
    <t>Cours_XMR_31_12</t>
  </si>
  <si>
    <t>Cours_BTC_31_12</t>
  </si>
  <si>
    <t>Stock_BTC</t>
  </si>
  <si>
    <t>Seuil_TVA</t>
  </si>
  <si>
    <t>(si CA crypto &gt; 85800€ en 2024)</t>
  </si>
  <si>
    <t>A) Mouvements compte 522 - Monero</t>
  </si>
  <si>
    <t>Volume XMR</t>
  </si>
  <si>
    <t>Total entrées ventes</t>
  </si>
  <si>
    <t>Total sorties conversions/dépenses</t>
  </si>
  <si>
    <t>=B2+B3</t>
  </si>
  <si>
    <t>=C2+C3</t>
  </si>
  <si>
    <t>=E3-E4</t>
  </si>
  <si>
    <t>Monero vers Bitcoin</t>
  </si>
  <si>
    <t>Monero vers EUR</t>
  </si>
  <si>
    <t>Total (€)</t>
  </si>
  <si>
    <t>Base fiscale</t>
  </si>
  <si>
    <t>Plus-values réalisées Bitcoin</t>
  </si>
  <si>
    <t>Plus-values réalisées EUR</t>
  </si>
  <si>
    <t>Résultat net crypto</t>
  </si>
  <si>
    <t>=B8+B9-B10</t>
  </si>
  <si>
    <t>=SI(B11&gt;0;B11;0)</t>
  </si>
  <si>
    <t>C) Position de trésorerie fin d'exercice</t>
  </si>
  <si>
    <t>Volume</t>
  </si>
  <si>
    <t>Cours 31/12</t>
  </si>
  <si>
    <t>Valeur EUR</t>
  </si>
  <si>
    <t>% variation/coût</t>
  </si>
  <si>
    <t>Monero (XMR)</t>
  </si>
  <si>
    <t>=E5</t>
  </si>
  <si>
    <t>=RECHERCHEV("Cours_XMR_31_12";Paramètres!A:B;2;FAUX)</t>
  </si>
  <si>
    <t>=B14*C14</t>
  </si>
  <si>
    <t>Bitcoin (BTC)</t>
  </si>
  <si>
    <t>=RECHERCHEV("Stock_BTC";Paramètres!A:B;2;FAUX)</t>
  </si>
  <si>
    <t>=RECHERCHEV("Cours_BTC_31_12";Paramètres!A:B;2;FAUX)</t>
  </si>
  <si>
    <t>=B15*C15</t>
  </si>
  <si>
    <t>D) Données liasse fiscale et TVA</t>
  </si>
  <si>
    <t>Chiffre d'affaires crypto TTC</t>
  </si>
  <si>
    <t>Total ventes en XMR</t>
  </si>
  <si>
    <t>CA crypto &gt; seuil TVA ?</t>
  </si>
  <si>
    <t>=SI(B18&gt;85800;"Oui";"Non")</t>
  </si>
  <si>
    <t>Seuil 2024</t>
  </si>
  <si>
    <t>=D11</t>
  </si>
  <si>
    <t>Si résultat net positif</t>
  </si>
  <si>
    <t>Valeur stocks crypto fin exercice</t>
  </si>
  <si>
    <t>=D14+D15</t>
  </si>
  <si>
    <t>Pour bilan au 31/12</t>
  </si>
  <si>
    <t>=SOMME.SI(Bitrequest_import!B:B;"Entrée";Bitrequest_import!D:D*Bitrequest_import!C:C)</t>
  </si>
  <si>
    <t>=SOMME.SI(Bitrequest_import!B:B;"Entrée";Bitrequest_import!C:C)</t>
  </si>
  <si>
    <t>=SOMME.SI(Bitrequest_import!B:B;"Sortie";Bitrequest_import!D:D*Bitrequest_import!C:C)</t>
  </si>
  <si>
    <t>=SOMME.SI(Bitrequest_import!B:B;"Sortie";Bitrequest_import!C:C)</t>
  </si>
  <si>
    <t>=SOMME.SI.ENS(Bitrequest_import!B:B;"Sortie";Bitrequest_import!W:W;"&gt;0";Bitrequest_import!Description:Description;"*BTC*";Bitrequest_import!W:W)</t>
  </si>
  <si>
    <t>=SOMME.SI.ENS(Bitrequest_import!B:B;"Sortie";Bitrequest_import!W:W;"&gt;0";Bitrequest_import!Description:Description;"*EUR*";Bitrequest_import!W:W)</t>
  </si>
  <si>
    <t>=SOMME.SI.ENS(Bitrequest_import!B:B;"Sortie";Bitrequest_import!W:W;"&lt;0";Bitrequest_import!W:W)</t>
  </si>
  <si>
    <t>Stock_XMR</t>
  </si>
  <si>
    <t>TODO</t>
  </si>
  <si>
    <t>gérer le cas P3 = "ERREUR"</t>
  </si>
  <si>
    <t>Validation de données active</t>
  </si>
  <si>
    <t xml:space="preserve">&gt; onglet "Bitrequest_import" , colonne Z et AA  </t>
  </si>
  <si>
    <t>Données valides ?</t>
  </si>
  <si>
    <t>No_error</t>
  </si>
  <si>
    <t>Test d'erreur</t>
  </si>
  <si>
    <t>1ère ligne : E et F formule spéciale</t>
  </si>
  <si>
    <t>Lignes suivantes : E et F formules générales</t>
  </si>
  <si>
    <t>Validation date</t>
  </si>
  <si>
    <t>38.50 EUR</t>
  </si>
  <si>
    <t>22.25 EUR</t>
  </si>
  <si>
    <t>Le but est de trouver le stock XMR à la dernière date (la plus récente). 
Cette formule retournera le Stock_Restant correspondant à la dernière transaction enregistrée, ce qui représente bien le stock XMR final</t>
  </si>
  <si>
    <t>Envoyé</t>
  </si>
  <si>
    <t>Reçu</t>
  </si>
  <si>
    <t>Crypto</t>
  </si>
  <si>
    <t>XMR</t>
  </si>
  <si>
    <t>BTC</t>
  </si>
  <si>
    <t>Frais</t>
  </si>
  <si>
    <t>Client</t>
  </si>
  <si>
    <t>Mme Michu</t>
  </si>
  <si>
    <t>Crêpe nutella</t>
  </si>
  <si>
    <t>EXEMPLE TEST à partir de CakeWallet</t>
  </si>
  <si>
    <t>sinon 10xx pour long terme</t>
  </si>
  <si>
    <t>et provisions si besoin</t>
  </si>
  <si>
    <t>P et T et O</t>
  </si>
  <si>
    <t>Q</t>
  </si>
  <si>
    <t>Date_transaction</t>
  </si>
  <si>
    <t>Taux de change à date de transaction (auto-calculé)</t>
  </si>
  <si>
    <t>le cas échéant</t>
  </si>
  <si>
    <t>Gestion des frais ?</t>
  </si>
  <si>
    <t>Chiffre d'affaires crypto XMR</t>
  </si>
  <si>
    <t>(seuil TVA 2025 : 85 800€)</t>
  </si>
  <si>
    <t>€ pour 1 XMR</t>
  </si>
  <si>
    <t>€ pour 1 BTC</t>
  </si>
  <si>
    <t>Actualiser au 31/12 (onglet Paramètres)</t>
  </si>
  <si>
    <t>Au 01/01 (onglet Paramètres)</t>
  </si>
  <si>
    <t>Stock XMR initial en début d'exercice</t>
  </si>
  <si>
    <t>Stock XMR calculé sur l'exercice en cours</t>
  </si>
  <si>
    <t>actualiser auto !</t>
  </si>
  <si>
    <t>V0.2 - 27/01/2025</t>
  </si>
  <si>
    <t>Pour le bilan au 31/12</t>
  </si>
  <si>
    <t>Si résultat net positif uniquement</t>
  </si>
  <si>
    <t>Total entrées en XMR</t>
  </si>
  <si>
    <t>Paramètres</t>
  </si>
  <si>
    <t>Liste de choix possibles</t>
  </si>
  <si>
    <t>Valeurs</t>
  </si>
  <si>
    <t>SAS</t>
  </si>
  <si>
    <r>
      <t xml:space="preserve">CALCULATEUR DE COMPTABILITÉ &amp; FISCALITÉ </t>
    </r>
    <r>
      <rPr>
        <sz val="18"/>
        <color theme="7"/>
        <rFont val="Impact"/>
        <family val="2"/>
      </rPr>
      <t>CRYPTO</t>
    </r>
  </si>
  <si>
    <t>522 pour "jetons numériques"</t>
  </si>
  <si>
    <t>SARL</t>
  </si>
  <si>
    <t>Auto-entreprise</t>
  </si>
  <si>
    <t>EI</t>
  </si>
  <si>
    <t>…</t>
  </si>
  <si>
    <t>Switzerland</t>
  </si>
  <si>
    <t>England</t>
  </si>
  <si>
    <t>Deutschland</t>
  </si>
  <si>
    <t>España</t>
  </si>
  <si>
    <t>Italia</t>
  </si>
  <si>
    <t>OK</t>
  </si>
  <si>
    <t>Fonctionnel</t>
  </si>
  <si>
    <t>usage courant</t>
  </si>
  <si>
    <t>Bitrequest import</t>
  </si>
  <si>
    <t>Onglets</t>
  </si>
  <si>
    <t xml:space="preserve">Informations à destination du comptable </t>
  </si>
  <si>
    <t xml:space="preserve">Utilisez la combinaison de touches : </t>
  </si>
  <si>
    <t>pour importer le .csv</t>
  </si>
  <si>
    <t>⬆  A remplir : export depuis Bitrequest.io puis copier-coller</t>
  </si>
  <si>
    <t>Vérifier ordre chronologique dates !</t>
  </si>
  <si>
    <t>01</t>
  </si>
  <si>
    <t>02</t>
  </si>
  <si>
    <t>Alt, puis é puis F puis T</t>
  </si>
  <si>
    <r>
      <t xml:space="preserve">Sur le site </t>
    </r>
    <r>
      <rPr>
        <u/>
        <sz val="12"/>
        <color theme="1"/>
        <rFont val="Calibri"/>
        <family val="2"/>
        <scheme val="minor"/>
      </rPr>
      <t>bitrequest.github.io</t>
    </r>
    <r>
      <rPr>
        <sz val="12"/>
        <color theme="1"/>
        <rFont val="Calibri"/>
        <family val="2"/>
        <scheme val="minor"/>
      </rPr>
      <t xml:space="preserve"> ou sur l'app : Menu &gt; Administrateur &gt; Export CSV</t>
    </r>
  </si>
  <si>
    <t>Résultats comptables</t>
  </si>
  <si>
    <r>
      <t xml:space="preserve">IMPORT DES TRANSACTIONS depuis </t>
    </r>
    <r>
      <rPr>
        <sz val="14"/>
        <color theme="7"/>
        <rFont val="Impact"/>
        <family val="2"/>
      </rPr>
      <t>BITREQUEST.IO</t>
    </r>
  </si>
  <si>
    <t>CUMP, FIFO</t>
  </si>
  <si>
    <r>
      <t xml:space="preserve">Résultats - état du compte 522 </t>
    </r>
    <r>
      <rPr>
        <sz val="18"/>
        <color theme="7"/>
        <rFont val="Impact"/>
        <family val="2"/>
      </rPr>
      <t>"Jetons Numériques"</t>
    </r>
  </si>
  <si>
    <t>04</t>
  </si>
  <si>
    <t>Montant Monero (XMR)</t>
  </si>
  <si>
    <t>Montant Bitcoin (BTC)</t>
  </si>
  <si>
    <t>Valeur de la crypto estimée en EUR</t>
  </si>
  <si>
    <t>Montant € (à l'époque)</t>
  </si>
  <si>
    <t>⬆  A remplir : report à la main depuis votre portefeuille crypto dédié "pro" pour votre entreprise</t>
  </si>
  <si>
    <t>Depuis tout type de portefeuille : reporter à la main ligne par ligne</t>
  </si>
  <si>
    <t>03</t>
  </si>
  <si>
    <r>
      <t xml:space="preserve">IMPORT MANUEL DES TRANSACTIONS </t>
    </r>
    <r>
      <rPr>
        <sz val="14"/>
        <color theme="7"/>
        <rFont val="Impact"/>
        <family val="2"/>
      </rPr>
      <t>BITCOIN/MONERO</t>
    </r>
  </si>
  <si>
    <t>Chiffre d'affaires crypto XMR + BTC</t>
  </si>
  <si>
    <t>Total entrées cryptos</t>
  </si>
  <si>
    <t>Prix_Moyen_CUMP</t>
  </si>
  <si>
    <t>Prix_Moyen_FIFO…......</t>
  </si>
  <si>
    <t>FIFO trop complexe</t>
  </si>
  <si>
    <t>CUMP</t>
  </si>
  <si>
    <t>Version</t>
  </si>
  <si>
    <t>V1.0</t>
  </si>
  <si>
    <t>fév. 2025</t>
  </si>
  <si>
    <t>CUMP seul, XMR seul, SARL+SAS seules, design V1, fonctionnel, attente validation comptable</t>
  </si>
  <si>
    <t>vérifier sur Coingecko ou autre</t>
  </si>
  <si>
    <t>bank-exit.org</t>
  </si>
  <si>
    <t xml:space="preserve">Copyright (C) 2025  @SortieDeBanque  </t>
  </si>
  <si>
    <t xml:space="preserve">Ce programme est un logiciel libre : vous pouvez le redistribuer et/ou le modifier  </t>
  </si>
  <si>
    <t xml:space="preserve">selon les termes de la licence GNU General Public License publiée par  </t>
  </si>
  <si>
    <t xml:space="preserve">la Free Software Foundation, version 3 ou toute version ultérieure.  </t>
  </si>
  <si>
    <r>
      <t xml:space="preserve">🚨 </t>
    </r>
    <r>
      <rPr>
        <b/>
        <sz val="11"/>
        <color theme="1"/>
        <rFont val="Calibri"/>
        <family val="2"/>
        <scheme val="minor"/>
      </rPr>
      <t>Utilisation commerciale interdite</t>
    </r>
    <r>
      <rPr>
        <sz val="11"/>
        <color theme="1"/>
        <rFont val="Calibri"/>
        <family val="2"/>
        <charset val="204"/>
        <scheme val="minor"/>
      </rPr>
      <t xml:space="preserve"> sans accord écrit de @SortieDeBanque.  </t>
    </r>
  </si>
  <si>
    <r>
      <rPr>
        <sz val="11"/>
        <color theme="1"/>
        <rFont val="Calibri"/>
        <family val="2"/>
        <scheme val="minor"/>
      </rPr>
      <t xml:space="preserve">Licence GPLv3 - </t>
    </r>
    <r>
      <rPr>
        <b/>
        <sz val="11"/>
        <color theme="1"/>
        <rFont val="Calibri"/>
        <family val="2"/>
        <scheme val="minor"/>
      </rPr>
      <t>utilisation commerciale interdite</t>
    </r>
  </si>
  <si>
    <r>
      <t xml:space="preserve">Créé par le collectif bénévole </t>
    </r>
    <r>
      <rPr>
        <b/>
        <sz val="11"/>
        <color theme="1"/>
        <rFont val="Calibri"/>
        <family val="2"/>
        <scheme val="minor"/>
      </rPr>
      <t>@SortieDeBanque</t>
    </r>
  </si>
  <si>
    <t>Libre et open source ! Revu par un expert-comptable et CAC</t>
  </si>
  <si>
    <t>CUMP = le plus simple et prudent</t>
  </si>
  <si>
    <t>"CUMP = coût unitaire moyen pondéré"</t>
  </si>
  <si>
    <t>Total des entrées (au coût réel)</t>
  </si>
  <si>
    <t>Total des sorties (CUMP)</t>
  </si>
  <si>
    <t>Coût_CUMP</t>
  </si>
  <si>
    <t>PV / cession jetons - crédit compte 767xxx</t>
  </si>
  <si>
    <t>MV / cession jetons - débit compte 667xxx</t>
  </si>
  <si>
    <t>Vérif CUMP :</t>
  </si>
  <si>
    <t>compte 667 et pas 661</t>
  </si>
  <si>
    <t>compte 767 et pas 761</t>
  </si>
  <si>
    <t>Associations :</t>
  </si>
  <si>
    <t>SAS/SARL/Asso, Auto-entreprise, EI</t>
  </si>
  <si>
    <r>
      <t xml:space="preserve">📌 </t>
    </r>
    <r>
      <rPr>
        <b/>
        <sz val="11"/>
        <color theme="1"/>
        <rFont val="Calibri"/>
        <family val="2"/>
        <charset val="204"/>
        <scheme val="minor"/>
      </rPr>
      <t>Si l’association a une activité commerciale</t>
    </r>
    <r>
      <rPr>
        <sz val="11"/>
        <color theme="1"/>
        <rFont val="Calibri"/>
        <family val="2"/>
        <charset val="204"/>
        <scheme val="minor"/>
      </rPr>
      <t xml:space="preserve"> (vente, spéculation) 
</t>
    </r>
    <r>
      <rPr>
        <b/>
        <sz val="11"/>
        <color theme="1"/>
        <rFont val="Calibri"/>
        <family val="2"/>
        <scheme val="minor"/>
      </rPr>
      <t xml:space="preserve">→ Faire comme pour une entreprise </t>
    </r>
    <r>
      <rPr>
        <sz val="11"/>
        <color theme="1"/>
        <rFont val="Calibri"/>
        <family val="2"/>
        <scheme val="minor"/>
      </rPr>
      <t>: impôt sur les sociétés (IS) et TVA éventuelle</t>
    </r>
  </si>
  <si>
    <r>
      <t xml:space="preserve">📌 </t>
    </r>
    <r>
      <rPr>
        <b/>
        <sz val="11"/>
        <color theme="1"/>
        <rFont val="Calibri"/>
        <family val="2"/>
        <charset val="204"/>
        <scheme val="minor"/>
      </rPr>
      <t xml:space="preserve">Si l’association est non lucrative, soit 90%+ des cas </t>
    </r>
    <r>
      <rPr>
        <sz val="11"/>
        <color theme="1"/>
        <rFont val="Calibri"/>
        <family val="2"/>
        <charset val="204"/>
        <scheme val="minor"/>
      </rPr>
      <t xml:space="preserve">(but désintéressé, pas de spéculation) 
→ </t>
    </r>
    <r>
      <rPr>
        <b/>
        <sz val="11"/>
        <color theme="1"/>
        <rFont val="Calibri"/>
        <family val="2"/>
        <charset val="204"/>
        <scheme val="minor"/>
      </rPr>
      <t>Aucune imposition</t>
    </r>
    <r>
      <rPr>
        <sz val="11"/>
        <color theme="1"/>
        <rFont val="Calibri"/>
        <family val="2"/>
        <charset val="204"/>
        <scheme val="minor"/>
      </rPr>
      <t>. Remplir le fichier est néanmoins une bonne pratique</t>
    </r>
  </si>
  <si>
    <t>Compte 522 : crypto-actifs en trésorerie</t>
  </si>
  <si>
    <t>• Ligne XG (Plus-values à court terme) voire
 Ligne XR (Plus-values à long terme) en page 10</t>
  </si>
  <si>
    <t>V1.2 - 25/02/2025</t>
  </si>
  <si>
    <t>toujours en compte 522, peu importe court ou long terme !</t>
  </si>
  <si>
    <t xml:space="preserve"> (sauf pour les SAFT et les NFTs)</t>
  </si>
  <si>
    <t>diviser les comptes 522 par type de crypto. Ex : XMR = 522001, BTC = 522002</t>
  </si>
  <si>
    <t>https://www.impots.gouv.fr/sites/default/files/formulaires/2050-liasse/2025/2050-liasse_5013.pdf
https://www.impots.gouv.fr/sites/default/files/formulaires/2058-sd/2025/2058-sd_4923.pdf</t>
  </si>
  <si>
    <r>
      <t xml:space="preserve">Société assujetie à l'IS (impôt sur les sociétés) :
✅ </t>
    </r>
    <r>
      <rPr>
        <sz val="11"/>
        <color theme="1"/>
        <rFont val="Calibri"/>
        <family val="2"/>
        <scheme val="minor"/>
      </rPr>
      <t>Formulaire CERFA 2058-SD</t>
    </r>
    <r>
      <rPr>
        <sz val="11"/>
        <color theme="1"/>
        <rFont val="Calibri"/>
        <family val="2"/>
        <charset val="204"/>
        <scheme val="minor"/>
      </rPr>
      <t xml:space="preserve"> (Tableau de détermination du résultat fiscal)
✅  </t>
    </r>
    <r>
      <rPr>
        <b/>
        <sz val="11"/>
        <color theme="1"/>
        <rFont val="Calibri"/>
        <family val="2"/>
        <scheme val="minor"/>
      </rPr>
      <t>Formulaire CERFA 2050</t>
    </r>
    <r>
      <rPr>
        <sz val="11"/>
        <color theme="1"/>
        <rFont val="Calibri"/>
        <family val="2"/>
        <charset val="204"/>
        <scheme val="minor"/>
      </rPr>
      <t xml:space="preserve"> (page 1, champ CD et CE, au-dessus des disponibilités)</t>
    </r>
  </si>
  <si>
    <t>https://bank-exit.org/licence</t>
  </si>
  <si>
    <t xml:space="preserve">Total transactions : </t>
  </si>
  <si>
    <t>.</t>
  </si>
  <si>
    <t>Reçu/Envoyé</t>
  </si>
  <si>
    <r>
      <t xml:space="preserve">Calculs CUMP pour </t>
    </r>
    <r>
      <rPr>
        <sz val="14"/>
        <color theme="7"/>
        <rFont val="Impact"/>
        <family val="2"/>
      </rPr>
      <t>BITCOIN/MONERO</t>
    </r>
  </si>
  <si>
    <t>03_Tout_autre_wallet</t>
  </si>
  <si>
    <t>02_Bitrequest</t>
  </si>
  <si>
    <t>Liste choix onglet</t>
  </si>
  <si>
    <t>CUMP seul sur 2 onglets, XMR seul, SARL/SAS/asso, design V1, fonctionnel, validation comptable OK</t>
  </si>
  <si>
    <t>V1.2</t>
  </si>
  <si>
    <t>Choix : 02_Bitrequest / 03_Tout autre_wallet</t>
  </si>
  <si>
    <t xml:space="preserve"> Quel onglet avez-vous rempli ? ⮕</t>
  </si>
  <si>
    <t>M. Liberty</t>
  </si>
  <si>
    <t>Mme Duchamp</t>
  </si>
  <si>
    <t>M. Paindur</t>
  </si>
  <si>
    <t>sera disponible dans la V1.3</t>
  </si>
  <si>
    <t>(Données &gt; Import à partir d'un fichier CSV)</t>
  </si>
  <si>
    <t>MONERO - 03_Tout_autre_wallet  (import)</t>
  </si>
  <si>
    <t>MONERO - 02_Bitrequest_import</t>
  </si>
  <si>
    <t>(ligne 14, à intelliger)</t>
  </si>
  <si>
    <t>Bitcoin - 03_Tout_autre_wallet  (import)</t>
  </si>
  <si>
    <t>travail en cours</t>
  </si>
  <si>
    <t>filtrer les BTC vs XMR</t>
  </si>
  <si>
    <t>(en cours d'ajout)</t>
  </si>
  <si>
    <t>1 compte par crypto donc 2 comptes pour XMR + BTC</t>
  </si>
  <si>
    <t>Stock_XMR_01_01</t>
  </si>
  <si>
    <t>Stock_BTC_01_01</t>
  </si>
  <si>
    <t>si stock initial au 1er janvier</t>
  </si>
  <si>
    <t>Tout autre wallet</t>
  </si>
  <si>
    <t>Ex: pour le portefeuille CakeWallet</t>
  </si>
  <si>
    <t>si vous trouvez fastidieux de recopier à la main, bonne nouvelle !</t>
  </si>
  <si>
    <t>Zone de calculs, ne pas modifier, sauf étirer les lignes si besoin</t>
  </si>
  <si>
    <t>Bitcoin en cours d'ajout (V1.2+)</t>
  </si>
  <si>
    <t>étirer les lignes si besoin</t>
  </si>
  <si>
    <t>Conversion</t>
  </si>
  <si>
    <t>unique compte à utiliser</t>
  </si>
  <si>
    <t>Cours Monero au 31/12</t>
  </si>
  <si>
    <t>Cours Bitcoin au 31/12</t>
  </si>
  <si>
    <t>Tuto :  (vidéo à venir)</t>
  </si>
  <si>
    <r>
      <rPr>
        <b/>
        <sz val="10"/>
        <rFont val="Calibri Light"/>
        <family val="2"/>
        <scheme val="major"/>
      </rPr>
      <t xml:space="preserve">2- </t>
    </r>
    <r>
      <rPr>
        <sz val="10"/>
        <color theme="1"/>
        <rFont val="Calibri Light"/>
        <family val="2"/>
        <scheme val="major"/>
      </rPr>
      <t>Transmettre au comptable les 3 champs fiscaux de l'onglet "</t>
    </r>
    <r>
      <rPr>
        <b/>
        <sz val="10"/>
        <color theme="1"/>
        <rFont val="Calibri Light"/>
        <family val="2"/>
        <scheme val="major"/>
      </rPr>
      <t>04_Resultats_comptable</t>
    </r>
    <r>
      <rPr>
        <sz val="10"/>
        <color theme="1"/>
        <rFont val="Calibri Light"/>
        <family val="2"/>
        <scheme val="major"/>
      </rPr>
      <t>" auto-calculés (ligne 27, 30, 31)</t>
    </r>
  </si>
  <si>
    <r>
      <rPr>
        <b/>
        <sz val="10"/>
        <rFont val="Calibri Light"/>
        <family val="2"/>
        <scheme val="major"/>
      </rPr>
      <t>1-</t>
    </r>
    <r>
      <rPr>
        <b/>
        <sz val="10"/>
        <color theme="7"/>
        <rFont val="Calibri Light"/>
        <family val="2"/>
        <scheme val="major"/>
      </rPr>
      <t xml:space="preserve"> </t>
    </r>
    <r>
      <rPr>
        <sz val="10"/>
        <color theme="1"/>
        <rFont val="Calibri Light"/>
        <family val="2"/>
        <scheme val="major"/>
      </rPr>
      <t>Remplir les transactions dans l'onglet "</t>
    </r>
    <r>
      <rPr>
        <b/>
        <sz val="10"/>
        <color theme="1"/>
        <rFont val="Calibri Light"/>
        <family val="2"/>
        <scheme val="major"/>
      </rPr>
      <t>02_Bitrequest_import</t>
    </r>
    <r>
      <rPr>
        <sz val="10"/>
        <color theme="1"/>
        <rFont val="Calibri Light"/>
        <family val="2"/>
        <scheme val="major"/>
      </rPr>
      <t xml:space="preserve">"
à partir d'un export CSV Bitrequest (OK)
- Ou bien manuellement l'onglet </t>
    </r>
    <r>
      <rPr>
        <b/>
        <sz val="10"/>
        <color theme="1"/>
        <rFont val="Calibri Light"/>
        <family val="2"/>
        <scheme val="major"/>
      </rPr>
      <t>"03_Tout_autre_wallet</t>
    </r>
    <r>
      <rPr>
        <sz val="10"/>
        <color theme="1"/>
        <rFont val="Calibri Light"/>
        <family val="2"/>
        <scheme val="major"/>
      </rPr>
      <t>" (par exemple pour le portefeuille CakeWallet !)</t>
    </r>
  </si>
  <si>
    <t xml:space="preserve">C'est tout ! Toujours en compte 522 dans le bilan </t>
  </si>
  <si>
    <t>Fichier validé par un expert comptable</t>
  </si>
  <si>
    <t>2x Massage thaï 1h</t>
  </si>
  <si>
    <t>V1.2 - 01/03/2025</t>
  </si>
  <si>
    <r>
      <t>% variation/coût</t>
    </r>
    <r>
      <rPr>
        <sz val="11"/>
        <color theme="1"/>
        <rFont val="Calibri"/>
        <family val="2"/>
        <scheme val="minor"/>
      </rPr>
      <t xml:space="preserve"> </t>
    </r>
  </si>
  <si>
    <t>par rapport à un achat direct au 31/12</t>
  </si>
  <si>
    <t>(ce fichier ne gère pas BIC)</t>
  </si>
  <si>
    <t>Gestion de Bitcoin et swaps  dans la prochain version</t>
  </si>
  <si>
    <t>Gestion de Bitcoin et swaps dans la prochain version</t>
  </si>
  <si>
    <t>c'est que vous avez eu suffisamment de clients en crypto pour utiliser Bitrequest en plus (export comptable)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</si>
</sst>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  <numFmt numFmtId="165" formatCode="[$-F800]dddd\,\ mmmm\ dd\,\ yyyy"/>
    <numFmt numFmtId="166" formatCode="#,##0.00\ &quot;€&quot;"/>
    <numFmt numFmtId="167" formatCode="#,##0\ &quot;€&quot;"/>
    <numFmt numFmtId="168" formatCode="0.000"/>
  </numFmts>
  <fonts count="8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charset val="204"/>
      <scheme val="minor"/>
    </font>
    <font>
      <sz val="7"/>
      <color rgb="FF0D1214"/>
      <name val="Cascadia Mono"/>
      <family val="3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charset val="204"/>
      <scheme val="minor"/>
    </font>
    <font>
      <sz val="8"/>
      <color rgb="FFABB2BF"/>
      <name val="Consolas"/>
      <family val="3"/>
    </font>
    <font>
      <sz val="8"/>
      <color theme="1"/>
      <name val="Consolas"/>
      <family val="3"/>
    </font>
    <font>
      <sz val="11"/>
      <name val="Consolas"/>
      <family val="3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onsolas"/>
      <family val="3"/>
    </font>
    <font>
      <sz val="11"/>
      <name val="Calibri"/>
      <family val="2"/>
      <charset val="204"/>
      <scheme val="minor"/>
    </font>
    <font>
      <i/>
      <sz val="9"/>
      <color theme="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Bernard MT Condensed"/>
      <family val="1"/>
    </font>
    <font>
      <sz val="14"/>
      <color theme="1"/>
      <name val="Impact"/>
      <family val="2"/>
    </font>
    <font>
      <sz val="11"/>
      <color theme="1"/>
      <name val="Impact"/>
      <family val="2"/>
    </font>
    <font>
      <sz val="18"/>
      <color theme="1"/>
      <name val="Impact"/>
      <family val="2"/>
    </font>
    <font>
      <sz val="16.5"/>
      <color rgb="FFFFC000"/>
      <name val="Impact"/>
      <family val="2"/>
    </font>
    <font>
      <sz val="14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8"/>
      <color theme="7"/>
      <name val="Impact"/>
      <family val="2"/>
    </font>
    <font>
      <sz val="10"/>
      <color theme="2" tint="-0.749992370372631"/>
      <name val="Calibri"/>
      <family val="2"/>
      <scheme val="minor"/>
    </font>
    <font>
      <sz val="10"/>
      <color theme="1"/>
      <name val="Impact"/>
      <family val="2"/>
    </font>
    <font>
      <sz val="10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0"/>
      <color theme="7"/>
      <name val="Calibri Light"/>
      <family val="2"/>
      <scheme val="major"/>
    </font>
    <font>
      <sz val="10.5"/>
      <color theme="1"/>
      <name val="Impact"/>
      <family val="2"/>
    </font>
    <font>
      <sz val="9"/>
      <color theme="1"/>
      <name val="Cambria"/>
      <family val="1"/>
    </font>
    <font>
      <sz val="11"/>
      <color theme="2" tint="-0.249977111117893"/>
      <name val="Calibri"/>
      <family val="2"/>
      <scheme val="minor"/>
    </font>
    <font>
      <sz val="11"/>
      <color theme="0"/>
      <name val="Impact"/>
      <family val="2"/>
    </font>
    <font>
      <b/>
      <i/>
      <sz val="10"/>
      <color theme="1"/>
      <name val="Calibri"/>
      <family val="2"/>
      <scheme val="minor"/>
    </font>
    <font>
      <sz val="14"/>
      <color theme="7"/>
      <name val="Impact"/>
      <family val="2"/>
    </font>
    <font>
      <sz val="12"/>
      <color theme="1"/>
      <name val="Calibri"/>
      <family val="2"/>
      <scheme val="minor"/>
    </font>
    <font>
      <sz val="10"/>
      <color theme="2" tint="-0.49998474074526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1"/>
      <name val="Impact"/>
      <family val="2"/>
    </font>
    <font>
      <sz val="10"/>
      <name val="Impact"/>
      <family val="2"/>
    </font>
    <font>
      <i/>
      <sz val="11"/>
      <color rgb="FFC00000"/>
      <name val="Calibri"/>
      <family val="2"/>
      <scheme val="minor"/>
    </font>
    <font>
      <i/>
      <sz val="11"/>
      <color theme="1"/>
      <name val="Impact"/>
      <family val="2"/>
    </font>
    <font>
      <b/>
      <sz val="14"/>
      <color theme="7" tint="-0.499984740745262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0.5"/>
      <color rgb="FF30009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i/>
      <sz val="10.5"/>
      <color rgb="FF30009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3.5"/>
      <color theme="1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charset val="204"/>
      <scheme val="minor"/>
    </font>
    <font>
      <i/>
      <sz val="10.5"/>
      <color theme="1"/>
      <name val="Calibri"/>
      <family val="2"/>
      <scheme val="minor"/>
    </font>
    <font>
      <i/>
      <sz val="9"/>
      <color theme="1" tint="0.34998626667073579"/>
      <name val="Calibri"/>
      <family val="2"/>
      <scheme val="minor"/>
    </font>
    <font>
      <sz val="10.5"/>
      <color theme="2" tint="-0.249977111117893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.5"/>
      <color theme="2" tint="-0.249977111117893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10.5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i/>
      <sz val="10.5"/>
      <color theme="0" tint="-0.34998626667073579"/>
      <name val="Calibri"/>
      <family val="2"/>
      <scheme val="minor"/>
    </font>
    <font>
      <b/>
      <i/>
      <sz val="12"/>
      <color theme="7" tint="-0.249977111117893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i/>
      <sz val="11"/>
      <color theme="9" tint="-0.249977111117893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theme="9" tint="0.79998168889431442"/>
      </patternFill>
    </fill>
    <fill>
      <patternFill patternType="solid">
        <fgColor rgb="FF99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DFFCD"/>
        <bgColor indexed="64"/>
      </patternFill>
    </fill>
  </fills>
  <borders count="3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9" tint="0.39997558519241921"/>
      </left>
      <right style="thick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 style="thick">
        <color theme="0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medium">
        <color theme="2" tint="-9.9978637043366805E-2"/>
      </right>
      <top/>
      <bottom/>
      <diagonal/>
    </border>
    <border>
      <left/>
      <right style="thick">
        <color theme="0" tint="-0.14999847407452621"/>
      </right>
      <top/>
      <bottom/>
      <diagonal/>
    </border>
    <border>
      <left/>
      <right/>
      <top/>
      <bottom style="medium">
        <color theme="1" tint="0.14999847407452621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52" fillId="0" borderId="0" applyNumberFormat="0" applyFill="0" applyBorder="0" applyAlignment="0" applyProtection="0"/>
  </cellStyleXfs>
  <cellXfs count="237">
    <xf numFmtId="0" fontId="0" fillId="0" borderId="0" xfId="0"/>
    <xf numFmtId="22" fontId="0" fillId="0" borderId="0" xfId="0" applyNumberFormat="1"/>
    <xf numFmtId="0" fontId="5" fillId="0" borderId="0" xfId="0" applyFont="1"/>
    <xf numFmtId="0" fontId="0" fillId="0" borderId="3" xfId="0" applyBorder="1"/>
    <xf numFmtId="0" fontId="8" fillId="0" borderId="0" xfId="0" quotePrefix="1" applyFont="1"/>
    <xf numFmtId="0" fontId="9" fillId="0" borderId="0" xfId="0" applyFont="1"/>
    <xf numFmtId="0" fontId="0" fillId="0" borderId="0" xfId="0" quotePrefix="1"/>
    <xf numFmtId="165" fontId="0" fillId="0" borderId="0" xfId="0" quotePrefix="1" applyNumberFormat="1"/>
    <xf numFmtId="2" fontId="0" fillId="0" borderId="0" xfId="0" applyNumberFormat="1"/>
    <xf numFmtId="0" fontId="0" fillId="4" borderId="0" xfId="0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12" fillId="0" borderId="0" xfId="0" applyFont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5" fillId="0" borderId="7" xfId="0" applyFont="1" applyBorder="1"/>
    <xf numFmtId="0" fontId="0" fillId="0" borderId="8" xfId="0" applyBorder="1"/>
    <xf numFmtId="0" fontId="5" fillId="3" borderId="0" xfId="0" applyFont="1" applyFill="1"/>
    <xf numFmtId="0" fontId="6" fillId="3" borderId="0" xfId="0" applyFont="1" applyFill="1"/>
    <xf numFmtId="0" fontId="0" fillId="3" borderId="0" xfId="0" applyFill="1"/>
    <xf numFmtId="0" fontId="0" fillId="2" borderId="0" xfId="0" applyFill="1"/>
    <xf numFmtId="0" fontId="7" fillId="0" borderId="0" xfId="0" applyFont="1"/>
    <xf numFmtId="0" fontId="7" fillId="0" borderId="0" xfId="0" quotePrefix="1" applyFont="1"/>
    <xf numFmtId="0" fontId="0" fillId="7" borderId="0" xfId="0" applyFill="1"/>
    <xf numFmtId="0" fontId="0" fillId="0" borderId="0" xfId="0" applyAlignment="1">
      <alignment horizontal="center"/>
    </xf>
    <xf numFmtId="0" fontId="20" fillId="0" borderId="0" xfId="0" applyFont="1"/>
    <xf numFmtId="0" fontId="13" fillId="9" borderId="0" xfId="0" applyFont="1" applyFill="1"/>
    <xf numFmtId="0" fontId="18" fillId="8" borderId="0" xfId="0" quotePrefix="1" applyFont="1" applyFill="1"/>
    <xf numFmtId="2" fontId="0" fillId="0" borderId="0" xfId="0" applyNumberFormat="1" applyAlignment="1">
      <alignment wrapText="1"/>
    </xf>
    <xf numFmtId="0" fontId="8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5" fillId="2" borderId="0" xfId="0" applyFont="1" applyFill="1"/>
    <xf numFmtId="166" fontId="0" fillId="0" borderId="0" xfId="0" applyNumberFormat="1"/>
    <xf numFmtId="0" fontId="22" fillId="0" borderId="0" xfId="0" applyFont="1"/>
    <xf numFmtId="0" fontId="23" fillId="0" borderId="0" xfId="0" applyFont="1"/>
    <xf numFmtId="49" fontId="0" fillId="0" borderId="0" xfId="0" applyNumberFormat="1"/>
    <xf numFmtId="0" fontId="26" fillId="0" borderId="0" xfId="0" applyFont="1"/>
    <xf numFmtId="0" fontId="2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/>
    <xf numFmtId="6" fontId="8" fillId="0" borderId="0" xfId="0" applyNumberFormat="1" applyFont="1"/>
    <xf numFmtId="14" fontId="0" fillId="0" borderId="0" xfId="0" applyNumberFormat="1"/>
    <xf numFmtId="0" fontId="5" fillId="0" borderId="0" xfId="0" applyFont="1" applyAlignment="1">
      <alignment horizontal="center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10" xfId="0" applyFont="1" applyBorder="1"/>
    <xf numFmtId="0" fontId="29" fillId="0" borderId="10" xfId="0" applyFont="1" applyBorder="1"/>
    <xf numFmtId="0" fontId="0" fillId="0" borderId="14" xfId="0" applyBorder="1"/>
    <xf numFmtId="0" fontId="0" fillId="0" borderId="16" xfId="0" applyBorder="1"/>
    <xf numFmtId="0" fontId="31" fillId="12" borderId="14" xfId="0" applyFont="1" applyFill="1" applyBorder="1" applyAlignment="1">
      <alignment horizontal="center" vertical="center"/>
    </xf>
    <xf numFmtId="0" fontId="31" fillId="12" borderId="16" xfId="0" applyFont="1" applyFill="1" applyBorder="1" applyAlignment="1">
      <alignment horizontal="center" vertical="center"/>
    </xf>
    <xf numFmtId="0" fontId="35" fillId="8" borderId="19" xfId="0" applyFont="1" applyFill="1" applyBorder="1"/>
    <xf numFmtId="0" fontId="35" fillId="8" borderId="19" xfId="0" applyFont="1" applyFill="1" applyBorder="1" applyAlignment="1">
      <alignment horizontal="center"/>
    </xf>
    <xf numFmtId="0" fontId="35" fillId="8" borderId="19" xfId="0" applyFont="1" applyFill="1" applyBorder="1" applyAlignment="1">
      <alignment horizontal="left" indent="1"/>
    </xf>
    <xf numFmtId="0" fontId="37" fillId="8" borderId="19" xfId="0" applyFont="1" applyFill="1" applyBorder="1" applyAlignment="1">
      <alignment horizontal="center"/>
    </xf>
    <xf numFmtId="0" fontId="37" fillId="8" borderId="19" xfId="0" quotePrefix="1" applyFont="1" applyFill="1" applyBorder="1" applyAlignment="1">
      <alignment horizontal="center"/>
    </xf>
    <xf numFmtId="0" fontId="35" fillId="13" borderId="19" xfId="0" applyFont="1" applyFill="1" applyBorder="1" applyAlignment="1">
      <alignment horizontal="left" indent="1"/>
    </xf>
    <xf numFmtId="0" fontId="35" fillId="13" borderId="19" xfId="0" applyFont="1" applyFill="1" applyBorder="1" applyAlignment="1">
      <alignment horizontal="center"/>
    </xf>
    <xf numFmtId="0" fontId="37" fillId="13" borderId="19" xfId="0" applyFont="1" applyFill="1" applyBorder="1" applyAlignment="1">
      <alignment horizontal="center"/>
    </xf>
    <xf numFmtId="0" fontId="35" fillId="13" borderId="19" xfId="0" applyFont="1" applyFill="1" applyBorder="1"/>
    <xf numFmtId="0" fontId="0" fillId="13" borderId="0" xfId="0" applyFill="1"/>
    <xf numFmtId="0" fontId="38" fillId="12" borderId="15" xfId="0" applyFont="1" applyFill="1" applyBorder="1" applyAlignment="1">
      <alignment horizontal="center"/>
    </xf>
    <xf numFmtId="0" fontId="0" fillId="8" borderId="0" xfId="0" quotePrefix="1" applyFill="1"/>
    <xf numFmtId="0" fontId="0" fillId="8" borderId="0" xfId="0" applyFill="1"/>
    <xf numFmtId="0" fontId="41" fillId="0" borderId="0" xfId="0" applyFont="1" applyAlignment="1">
      <alignment horizontal="left" wrapText="1" indent="1"/>
    </xf>
    <xf numFmtId="0" fontId="5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8" fillId="8" borderId="0" xfId="0" applyFont="1" applyFill="1"/>
    <xf numFmtId="0" fontId="22" fillId="8" borderId="0" xfId="0" applyFont="1" applyFill="1" applyAlignment="1">
      <alignment horizontal="center" vertical="center"/>
    </xf>
    <xf numFmtId="0" fontId="5" fillId="14" borderId="12" xfId="0" applyFont="1" applyFill="1" applyBorder="1"/>
    <xf numFmtId="0" fontId="5" fillId="14" borderId="0" xfId="0" applyFont="1" applyFill="1"/>
    <xf numFmtId="0" fontId="9" fillId="0" borderId="12" xfId="0" applyFont="1" applyBorder="1"/>
    <xf numFmtId="0" fontId="45" fillId="0" borderId="0" xfId="0" applyFont="1"/>
    <xf numFmtId="0" fontId="23" fillId="0" borderId="16" xfId="0" applyFont="1" applyBorder="1"/>
    <xf numFmtId="0" fontId="46" fillId="0" borderId="16" xfId="0" applyFont="1" applyBorder="1"/>
    <xf numFmtId="0" fontId="3" fillId="0" borderId="16" xfId="0" applyFont="1" applyBorder="1"/>
    <xf numFmtId="22" fontId="0" fillId="0" borderId="16" xfId="0" applyNumberFormat="1" applyBorder="1"/>
    <xf numFmtId="0" fontId="23" fillId="0" borderId="14" xfId="0" applyFont="1" applyBorder="1"/>
    <xf numFmtId="0" fontId="25" fillId="0" borderId="16" xfId="0" applyFont="1" applyBorder="1"/>
    <xf numFmtId="22" fontId="23" fillId="0" borderId="16" xfId="0" applyNumberFormat="1" applyFont="1" applyBorder="1"/>
    <xf numFmtId="0" fontId="0" fillId="12" borderId="0" xfId="0" applyFill="1"/>
    <xf numFmtId="0" fontId="47" fillId="12" borderId="10" xfId="0" quotePrefix="1" applyFont="1" applyFill="1" applyBorder="1" applyAlignment="1">
      <alignment horizontal="center"/>
    </xf>
    <xf numFmtId="0" fontId="48" fillId="8" borderId="0" xfId="0" applyFont="1" applyFill="1" applyAlignment="1">
      <alignment horizontal="center" vertical="center"/>
    </xf>
    <xf numFmtId="0" fontId="31" fillId="12" borderId="14" xfId="0" applyFont="1" applyFill="1" applyBorder="1" applyAlignment="1">
      <alignment horizontal="left"/>
    </xf>
    <xf numFmtId="0" fontId="31" fillId="12" borderId="16" xfId="0" applyFont="1" applyFill="1" applyBorder="1" applyAlignment="1">
      <alignment horizontal="left"/>
    </xf>
    <xf numFmtId="0" fontId="5" fillId="0" borderId="26" xfId="0" applyFont="1" applyBorder="1"/>
    <xf numFmtId="0" fontId="0" fillId="0" borderId="26" xfId="0" applyBorder="1"/>
    <xf numFmtId="0" fontId="31" fillId="12" borderId="26" xfId="0" applyFont="1" applyFill="1" applyBorder="1" applyAlignment="1">
      <alignment horizontal="left"/>
    </xf>
    <xf numFmtId="0" fontId="23" fillId="0" borderId="26" xfId="0" applyFont="1" applyBorder="1"/>
    <xf numFmtId="0" fontId="50" fillId="0" borderId="10" xfId="0" applyFont="1" applyBorder="1"/>
    <xf numFmtId="0" fontId="51" fillId="0" borderId="0" xfId="0" applyFont="1"/>
    <xf numFmtId="0" fontId="44" fillId="16" borderId="0" xfId="0" applyFont="1" applyFill="1"/>
    <xf numFmtId="166" fontId="5" fillId="0" borderId="0" xfId="0" applyNumberFormat="1" applyFont="1"/>
    <xf numFmtId="0" fontId="5" fillId="6" borderId="0" xfId="0" applyFont="1" applyFill="1"/>
    <xf numFmtId="44" fontId="35" fillId="13" borderId="19" xfId="0" applyNumberFormat="1" applyFont="1" applyFill="1" applyBorder="1"/>
    <xf numFmtId="44" fontId="0" fillId="0" borderId="0" xfId="0" applyNumberFormat="1"/>
    <xf numFmtId="44" fontId="54" fillId="13" borderId="19" xfId="0" applyNumberFormat="1" applyFont="1" applyFill="1" applyBorder="1"/>
    <xf numFmtId="0" fontId="54" fillId="13" borderId="19" xfId="0" applyFont="1" applyFill="1" applyBorder="1"/>
    <xf numFmtId="0" fontId="56" fillId="15" borderId="15" xfId="3" applyFont="1" applyFill="1" applyBorder="1" applyAlignment="1">
      <alignment horizontal="center"/>
    </xf>
    <xf numFmtId="0" fontId="56" fillId="12" borderId="18" xfId="3" applyFont="1" applyFill="1" applyBorder="1" applyAlignment="1">
      <alignment horizontal="center"/>
    </xf>
    <xf numFmtId="0" fontId="56" fillId="15" borderId="0" xfId="3" applyFont="1" applyFill="1" applyBorder="1" applyAlignment="1">
      <alignment horizontal="center"/>
    </xf>
    <xf numFmtId="0" fontId="28" fillId="0" borderId="10" xfId="0" applyFont="1" applyBorder="1"/>
    <xf numFmtId="0" fontId="21" fillId="12" borderId="0" xfId="0" applyFont="1" applyFill="1"/>
    <xf numFmtId="0" fontId="44" fillId="16" borderId="23" xfId="0" applyFont="1" applyFill="1" applyBorder="1"/>
    <xf numFmtId="0" fontId="44" fillId="16" borderId="25" xfId="0" applyFont="1" applyFill="1" applyBorder="1"/>
    <xf numFmtId="0" fontId="5" fillId="6" borderId="14" xfId="0" applyFont="1" applyFill="1" applyBorder="1"/>
    <xf numFmtId="0" fontId="5" fillId="6" borderId="16" xfId="0" applyFont="1" applyFill="1" applyBorder="1"/>
    <xf numFmtId="0" fontId="5" fillId="6" borderId="23" xfId="0" applyFont="1" applyFill="1" applyBorder="1"/>
    <xf numFmtId="0" fontId="0" fillId="0" borderId="0" xfId="0" applyAlignment="1">
      <alignment horizontal="right"/>
    </xf>
    <xf numFmtId="166" fontId="57" fillId="0" borderId="0" xfId="0" applyNumberFormat="1" applyFont="1" applyAlignment="1">
      <alignment horizontal="right"/>
    </xf>
    <xf numFmtId="0" fontId="5" fillId="13" borderId="19" xfId="0" applyFont="1" applyFill="1" applyBorder="1"/>
    <xf numFmtId="0" fontId="44" fillId="12" borderId="14" xfId="0" applyFont="1" applyFill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44" fillId="12" borderId="16" xfId="0" applyFont="1" applyFill="1" applyBorder="1" applyAlignment="1">
      <alignment horizontal="left"/>
    </xf>
    <xf numFmtId="0" fontId="44" fillId="12" borderId="16" xfId="0" applyFont="1" applyFill="1" applyBorder="1"/>
    <xf numFmtId="0" fontId="58" fillId="11" borderId="16" xfId="0" applyFont="1" applyFill="1" applyBorder="1" applyAlignment="1">
      <alignment horizontal="center"/>
    </xf>
    <xf numFmtId="0" fontId="58" fillId="2" borderId="16" xfId="0" applyFont="1" applyFill="1" applyBorder="1" applyAlignment="1">
      <alignment horizontal="center"/>
    </xf>
    <xf numFmtId="0" fontId="0" fillId="0" borderId="27" xfId="0" applyBorder="1"/>
    <xf numFmtId="0" fontId="31" fillId="10" borderId="27" xfId="0" applyFont="1" applyFill="1" applyBorder="1"/>
    <xf numFmtId="0" fontId="0" fillId="0" borderId="27" xfId="0" quotePrefix="1" applyBorder="1"/>
    <xf numFmtId="0" fontId="0" fillId="0" borderId="28" xfId="0" applyBorder="1"/>
    <xf numFmtId="0" fontId="5" fillId="12" borderId="24" xfId="0" applyFont="1" applyFill="1" applyBorder="1"/>
    <xf numFmtId="166" fontId="5" fillId="8" borderId="29" xfId="1" applyNumberFormat="1" applyFont="1" applyFill="1" applyBorder="1"/>
    <xf numFmtId="166" fontId="21" fillId="8" borderId="30" xfId="1" applyNumberFormat="1" applyFont="1" applyFill="1" applyBorder="1" applyAlignment="1">
      <alignment horizontal="right"/>
    </xf>
    <xf numFmtId="0" fontId="55" fillId="10" borderId="0" xfId="0" applyFont="1" applyFill="1"/>
    <xf numFmtId="0" fontId="60" fillId="0" borderId="0" xfId="0" applyFont="1"/>
    <xf numFmtId="0" fontId="38" fillId="12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167" fontId="61" fillId="8" borderId="19" xfId="0" applyNumberFormat="1" applyFont="1" applyFill="1" applyBorder="1" applyAlignment="1">
      <alignment horizontal="center"/>
    </xf>
    <xf numFmtId="0" fontId="62" fillId="13" borderId="19" xfId="0" applyFont="1" applyFill="1" applyBorder="1"/>
    <xf numFmtId="0" fontId="5" fillId="0" borderId="10" xfId="0" applyFont="1" applyBorder="1"/>
    <xf numFmtId="0" fontId="63" fillId="0" borderId="10" xfId="3" applyFont="1" applyBorder="1"/>
    <xf numFmtId="0" fontId="64" fillId="0" borderId="0" xfId="0" applyFont="1" applyAlignment="1">
      <alignment horizontal="center"/>
    </xf>
    <xf numFmtId="0" fontId="65" fillId="8" borderId="19" xfId="0" applyFont="1" applyFill="1" applyBorder="1"/>
    <xf numFmtId="0" fontId="52" fillId="0" borderId="0" xfId="3" applyAlignment="1">
      <alignment horizontal="left" indent="2"/>
    </xf>
    <xf numFmtId="0" fontId="35" fillId="13" borderId="0" xfId="0" applyFont="1" applyFill="1"/>
    <xf numFmtId="44" fontId="35" fillId="13" borderId="0" xfId="0" applyNumberFormat="1" applyFont="1" applyFill="1"/>
    <xf numFmtId="44" fontId="2" fillId="0" borderId="0" xfId="0" applyNumberFormat="1" applyFont="1"/>
    <xf numFmtId="0" fontId="68" fillId="0" borderId="0" xfId="0" applyFont="1" applyAlignment="1">
      <alignment vertical="center"/>
    </xf>
    <xf numFmtId="0" fontId="69" fillId="0" borderId="26" xfId="0" applyFont="1" applyBorder="1"/>
    <xf numFmtId="0" fontId="39" fillId="0" borderId="0" xfId="0" applyFont="1"/>
    <xf numFmtId="0" fontId="0" fillId="0" borderId="0" xfId="0" applyAlignment="1">
      <alignment horizontal="left"/>
    </xf>
    <xf numFmtId="14" fontId="4" fillId="8" borderId="0" xfId="0" applyNumberFormat="1" applyFont="1" applyFill="1"/>
    <xf numFmtId="0" fontId="70" fillId="0" borderId="0" xfId="0" applyFont="1"/>
    <xf numFmtId="0" fontId="28" fillId="0" borderId="0" xfId="0" applyFont="1"/>
    <xf numFmtId="0" fontId="59" fillId="8" borderId="0" xfId="0" applyFont="1" applyFill="1" applyAlignment="1">
      <alignment horizontal="center"/>
    </xf>
    <xf numFmtId="0" fontId="0" fillId="17" borderId="0" xfId="0" applyFill="1"/>
    <xf numFmtId="0" fontId="13" fillId="8" borderId="0" xfId="0" applyFont="1" applyFill="1" applyAlignment="1">
      <alignment horizontal="left"/>
    </xf>
    <xf numFmtId="0" fontId="28" fillId="0" borderId="0" xfId="0" applyFont="1" applyAlignment="1">
      <alignment horizontal="center"/>
    </xf>
    <xf numFmtId="1" fontId="0" fillId="0" borderId="0" xfId="0" applyNumberFormat="1"/>
    <xf numFmtId="168" fontId="0" fillId="0" borderId="0" xfId="0" applyNumberFormat="1"/>
    <xf numFmtId="2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8" fontId="0" fillId="0" borderId="16" xfId="0" applyNumberFormat="1" applyBorder="1"/>
    <xf numFmtId="14" fontId="0" fillId="0" borderId="16" xfId="0" applyNumberFormat="1" applyBorder="1"/>
    <xf numFmtId="0" fontId="71" fillId="0" borderId="0" xfId="0" applyFont="1" applyAlignment="1">
      <alignment horizontal="center"/>
    </xf>
    <xf numFmtId="0" fontId="8" fillId="5" borderId="0" xfId="0" applyFont="1" applyFill="1" applyAlignment="1">
      <alignment horizontal="center" vertical="top"/>
    </xf>
    <xf numFmtId="166" fontId="0" fillId="0" borderId="0" xfId="0" applyNumberFormat="1" applyAlignment="1">
      <alignment vertical="center"/>
    </xf>
    <xf numFmtId="14" fontId="0" fillId="8" borderId="0" xfId="0" applyNumberFormat="1" applyFill="1"/>
    <xf numFmtId="0" fontId="73" fillId="0" borderId="0" xfId="0" applyFont="1"/>
    <xf numFmtId="0" fontId="38" fillId="18" borderId="0" xfId="0" applyFont="1" applyFill="1" applyAlignment="1">
      <alignment horizontal="center"/>
    </xf>
    <xf numFmtId="2" fontId="13" fillId="19" borderId="0" xfId="0" applyNumberFormat="1" applyFont="1" applyFill="1"/>
    <xf numFmtId="2" fontId="13" fillId="2" borderId="0" xfId="0" applyNumberFormat="1" applyFont="1" applyFill="1"/>
    <xf numFmtId="2" fontId="13" fillId="20" borderId="0" xfId="0" applyNumberFormat="1" applyFont="1" applyFill="1"/>
    <xf numFmtId="0" fontId="24" fillId="4" borderId="0" xfId="0" applyFont="1" applyFill="1"/>
    <xf numFmtId="2" fontId="12" fillId="4" borderId="0" xfId="0" applyNumberFormat="1" applyFont="1" applyFill="1"/>
    <xf numFmtId="0" fontId="74" fillId="13" borderId="19" xfId="0" applyFont="1" applyFill="1" applyBorder="1" applyAlignment="1">
      <alignment horizontal="left" indent="1"/>
    </xf>
    <xf numFmtId="0" fontId="74" fillId="13" borderId="19" xfId="0" applyFont="1" applyFill="1" applyBorder="1" applyAlignment="1">
      <alignment horizontal="center"/>
    </xf>
    <xf numFmtId="0" fontId="75" fillId="13" borderId="19" xfId="0" applyFont="1" applyFill="1" applyBorder="1" applyAlignment="1">
      <alignment horizontal="center"/>
    </xf>
    <xf numFmtId="0" fontId="76" fillId="13" borderId="14" xfId="0" applyFont="1" applyFill="1" applyBorder="1"/>
    <xf numFmtId="166" fontId="8" fillId="13" borderId="0" xfId="0" applyNumberFormat="1" applyFont="1" applyFill="1"/>
    <xf numFmtId="0" fontId="8" fillId="13" borderId="0" xfId="0" applyFont="1" applyFill="1" applyAlignment="1">
      <alignment horizontal="right"/>
    </xf>
    <xf numFmtId="0" fontId="77" fillId="0" borderId="0" xfId="0" applyFont="1"/>
    <xf numFmtId="166" fontId="8" fillId="9" borderId="0" xfId="0" applyNumberFormat="1" applyFont="1" applyFill="1" applyAlignment="1">
      <alignment horizontal="right"/>
    </xf>
    <xf numFmtId="166" fontId="72" fillId="13" borderId="19" xfId="0" applyNumberFormat="1" applyFont="1" applyFill="1" applyBorder="1"/>
    <xf numFmtId="0" fontId="0" fillId="0" borderId="12" xfId="0" applyBorder="1"/>
    <xf numFmtId="164" fontId="0" fillId="8" borderId="0" xfId="0" applyNumberFormat="1" applyFill="1"/>
    <xf numFmtId="2" fontId="0" fillId="8" borderId="0" xfId="0" applyNumberFormat="1" applyFill="1"/>
    <xf numFmtId="0" fontId="11" fillId="8" borderId="0" xfId="0" quotePrefix="1" applyFont="1" applyFill="1"/>
    <xf numFmtId="14" fontId="0" fillId="2" borderId="0" xfId="0" applyNumberFormat="1" applyFill="1"/>
    <xf numFmtId="14" fontId="10" fillId="0" borderId="0" xfId="0" applyNumberFormat="1" applyFont="1"/>
    <xf numFmtId="0" fontId="0" fillId="0" borderId="32" xfId="0" applyBorder="1"/>
    <xf numFmtId="0" fontId="0" fillId="0" borderId="33" xfId="0" applyBorder="1"/>
    <xf numFmtId="0" fontId="78" fillId="13" borderId="0" xfId="0" applyFont="1" applyFill="1" applyAlignment="1">
      <alignment horizontal="center"/>
    </xf>
    <xf numFmtId="9" fontId="5" fillId="0" borderId="0" xfId="2" applyFont="1" applyFill="1"/>
    <xf numFmtId="0" fontId="79" fillId="8" borderId="0" xfId="0" applyFont="1" applyFill="1" applyAlignment="1">
      <alignment horizontal="right" vertical="center"/>
    </xf>
    <xf numFmtId="166" fontId="5" fillId="21" borderId="30" xfId="1" applyNumberFormat="1" applyFont="1" applyFill="1" applyBorder="1"/>
    <xf numFmtId="166" fontId="5" fillId="21" borderId="31" xfId="0" applyNumberFormat="1" applyFont="1" applyFill="1" applyBorder="1"/>
    <xf numFmtId="0" fontId="79" fillId="0" borderId="0" xfId="0" applyFont="1" applyAlignment="1">
      <alignment vertical="center"/>
    </xf>
    <xf numFmtId="0" fontId="0" fillId="0" borderId="34" xfId="0" applyBorder="1"/>
    <xf numFmtId="0" fontId="0" fillId="0" borderId="35" xfId="0" applyBorder="1"/>
    <xf numFmtId="0" fontId="44" fillId="12" borderId="13" xfId="0" applyFont="1" applyFill="1" applyBorder="1" applyAlignment="1">
      <alignment horizontal="center" vertical="center"/>
    </xf>
    <xf numFmtId="0" fontId="44" fillId="12" borderId="0" xfId="0" applyFont="1" applyFill="1" applyAlignment="1">
      <alignment horizontal="center" vertical="center"/>
    </xf>
    <xf numFmtId="0" fontId="6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1" fillId="0" borderId="0" xfId="0" applyFont="1" applyAlignment="1">
      <alignment horizontal="left" wrapText="1" indent="1"/>
    </xf>
    <xf numFmtId="0" fontId="0" fillId="0" borderId="0" xfId="0" applyAlignment="1">
      <alignment horizontal="left" wrapText="1"/>
    </xf>
    <xf numFmtId="0" fontId="52" fillId="0" borderId="0" xfId="3" applyAlignment="1">
      <alignment horizontal="left" wrapText="1"/>
    </xf>
    <xf numFmtId="0" fontId="5" fillId="5" borderId="0" xfId="0" applyFont="1" applyFill="1" applyAlignment="1">
      <alignment horizontal="center"/>
    </xf>
    <xf numFmtId="0" fontId="5" fillId="5" borderId="26" xfId="0" applyFont="1" applyFill="1" applyBorder="1" applyAlignment="1">
      <alignment horizontal="center"/>
    </xf>
    <xf numFmtId="0" fontId="56" fillId="15" borderId="0" xfId="3" applyFont="1" applyFill="1" applyBorder="1" applyAlignment="1">
      <alignment horizontal="center"/>
    </xf>
    <xf numFmtId="0" fontId="56" fillId="12" borderId="18" xfId="3" applyFont="1" applyFill="1" applyBorder="1" applyAlignment="1">
      <alignment horizontal="center"/>
    </xf>
    <xf numFmtId="0" fontId="56" fillId="12" borderId="17" xfId="3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/>
    </xf>
    <xf numFmtId="0" fontId="7" fillId="0" borderId="16" xfId="0" applyNumberFormat="1" applyFont="1" applyBorder="1"/>
    <xf numFmtId="0" fontId="80" fillId="13" borderId="19" xfId="0" applyFont="1" applyFill="1" applyBorder="1" applyAlignment="1">
      <alignment horizontal="left" indent="1"/>
    </xf>
    <xf numFmtId="0" fontId="80" fillId="13" borderId="19" xfId="0" applyFont="1" applyFill="1" applyBorder="1" applyAlignment="1">
      <alignment horizontal="center"/>
    </xf>
    <xf numFmtId="0" fontId="81" fillId="13" borderId="19" xfId="0" applyFont="1" applyFill="1" applyBorder="1" applyAlignment="1">
      <alignment horizontal="center"/>
    </xf>
    <xf numFmtId="0" fontId="82" fillId="13" borderId="19" xfId="0" applyFont="1" applyFill="1" applyBorder="1"/>
    <xf numFmtId="2" fontId="5" fillId="0" borderId="0" xfId="0" applyNumberFormat="1" applyFont="1"/>
    <xf numFmtId="0" fontId="83" fillId="8" borderId="10" xfId="0" applyFont="1" applyFill="1" applyBorder="1" applyAlignment="1">
      <alignment horizontal="center"/>
    </xf>
    <xf numFmtId="0" fontId="40" fillId="0" borderId="0" xfId="0" applyFont="1" applyAlignment="1">
      <alignment horizontal="center" vertical="top" wrapText="1"/>
    </xf>
    <xf numFmtId="0" fontId="38" fillId="12" borderId="13" xfId="0" applyFont="1" applyFill="1" applyBorder="1" applyAlignment="1">
      <alignment horizontal="center" vertical="center"/>
    </xf>
    <xf numFmtId="0" fontId="38" fillId="12" borderId="0" xfId="0" applyFont="1" applyFill="1" applyBorder="1" applyAlignment="1">
      <alignment horizontal="center" vertical="center"/>
    </xf>
    <xf numFmtId="0" fontId="85" fillId="0" borderId="0" xfId="0" applyFont="1"/>
    <xf numFmtId="0" fontId="86" fillId="13" borderId="19" xfId="0" applyFont="1" applyFill="1" applyBorder="1"/>
  </cellXfs>
  <cellStyles count="4">
    <cellStyle name="Lien hypertexte" xfId="3" builtinId="8"/>
    <cellStyle name="Monétaire" xfId="1" builtinId="4"/>
    <cellStyle name="Normal" xfId="0" builtinId="0"/>
    <cellStyle name="Pourcentage" xfId="2" builtinId="5"/>
  </cellStyles>
  <dxfs count="49"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7" tint="0.79998168889431442"/>
        </patternFill>
      </fill>
    </dxf>
    <dxf>
      <font>
        <color theme="5" tint="-0.499984740745262"/>
      </font>
    </dxf>
    <dxf>
      <font>
        <color theme="9" tint="-0.499984740745262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2" tint="-0.24994659260841701"/>
      </font>
    </dxf>
    <dxf>
      <font>
        <b val="0"/>
        <i/>
        <color theme="2" tint="-0.499984740745262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7" tint="0.79998168889431442"/>
        </patternFill>
      </fill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>
        <left/>
        <right style="thick">
          <color theme="0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numFmt numFmtId="0" formatCode="General"/>
      <border diagonalUp="0" diagonalDown="0">
        <left style="thick">
          <color theme="0"/>
        </left>
        <right style="thick">
          <color theme="0"/>
        </right>
        <top/>
        <bottom/>
        <vertical/>
        <horizontal/>
      </border>
    </dxf>
    <dxf>
      <numFmt numFmtId="0" formatCode="General"/>
      <border diagonalUp="0" diagonalDown="0">
        <left style="thick">
          <color theme="0"/>
        </left>
        <right style="thick">
          <color theme="0"/>
        </right>
        <top/>
        <bottom/>
        <vertical/>
        <horizontal/>
      </border>
    </dxf>
    <dxf>
      <numFmt numFmtId="0" formatCode="General"/>
      <border diagonalUp="0" diagonalDown="0">
        <left/>
        <right style="thick">
          <color theme="0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CDFFCD"/>
      <color rgb="FF99FF99"/>
      <color rgb="FF300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Prix Monero Moyen FIFO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CUMP_Calculs!$B$6:$B$14</c:f>
              <c:strCache>
                <c:ptCount val="4"/>
                <c:pt idx="0">
                  <c:v>01/01/2024</c:v>
                </c:pt>
                <c:pt idx="1">
                  <c:v>15/01/2024</c:v>
                </c:pt>
                <c:pt idx="2">
                  <c:v>01/02/2024</c:v>
                </c:pt>
                <c:pt idx="3">
                  <c:v>15/02/2024</c:v>
                </c:pt>
              </c:strCache>
            </c:strRef>
          </c:cat>
          <c:val>
            <c:numRef>
              <c:f>CUMP_Calculs!$G$6:$G$14</c:f>
              <c:numCache>
                <c:formatCode>0.00</c:formatCode>
                <c:ptCount val="9"/>
                <c:pt idx="0">
                  <c:v>154</c:v>
                </c:pt>
                <c:pt idx="1">
                  <c:v>151.875</c:v>
                </c:pt>
                <c:pt idx="2">
                  <c:v>151.875</c:v>
                </c:pt>
                <c:pt idx="3">
                  <c:v>230.625</c:v>
                </c:pt>
                <c:pt idx="4">
                  <c:v>230.625</c:v>
                </c:pt>
                <c:pt idx="5">
                  <c:v>230.625</c:v>
                </c:pt>
                <c:pt idx="6">
                  <c:v>230.625</c:v>
                </c:pt>
                <c:pt idx="7">
                  <c:v>230.625</c:v>
                </c:pt>
                <c:pt idx="8">
                  <c:v>230.625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B-4998-A313-127E1D70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615296"/>
        <c:axId val="1882612416"/>
      </c:lineChart>
      <c:dateAx>
        <c:axId val="1882615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2612416"/>
        <c:crosses val="autoZero"/>
        <c:auto val="1"/>
        <c:lblOffset val="100"/>
        <c:baseTimeUnit val="days"/>
      </c:dateAx>
      <c:valAx>
        <c:axId val="18826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261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Prix Monero Moyen FIFO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CUMP_Calculs!$M$6:$M$22</c:f>
              <c:strCache>
                <c:ptCount val="17"/>
                <c:pt idx="0">
                  <c:v>01/01/2024</c:v>
                </c:pt>
                <c:pt idx="1">
                  <c:v>15/01/2024</c:v>
                </c:pt>
                <c:pt idx="2">
                  <c:v>01/02/2024</c:v>
                </c:pt>
                <c:pt idx="3">
                  <c:v>15/02/2024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CUMP_Calculs!$R$6:$R$22</c:f>
              <c:numCache>
                <c:formatCode>0.00</c:formatCode>
                <c:ptCount val="17"/>
                <c:pt idx="0">
                  <c:v>154</c:v>
                </c:pt>
                <c:pt idx="1">
                  <c:v>151.875</c:v>
                </c:pt>
                <c:pt idx="2">
                  <c:v>151.875</c:v>
                </c:pt>
                <c:pt idx="3">
                  <c:v>230.625</c:v>
                </c:pt>
                <c:pt idx="4">
                  <c:v>230.625</c:v>
                </c:pt>
                <c:pt idx="5">
                  <c:v>230.625</c:v>
                </c:pt>
                <c:pt idx="6">
                  <c:v>230.625</c:v>
                </c:pt>
                <c:pt idx="7">
                  <c:v>230.625</c:v>
                </c:pt>
                <c:pt idx="8">
                  <c:v>230.625</c:v>
                </c:pt>
                <c:pt idx="9">
                  <c:v>230.625</c:v>
                </c:pt>
                <c:pt idx="10">
                  <c:v>230.625</c:v>
                </c:pt>
                <c:pt idx="11">
                  <c:v>230.625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B-4686-B66D-EC988458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615296"/>
        <c:axId val="1882612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CUMP_Calculs!$B$6:$B$14</c15:sqref>
                        </c15:formulaRef>
                      </c:ext>
                    </c:extLst>
                    <c:strCache>
                      <c:ptCount val="4"/>
                      <c:pt idx="0">
                        <c:v>01/01/2024</c:v>
                      </c:pt>
                      <c:pt idx="1">
                        <c:v>15/01/2024</c:v>
                      </c:pt>
                      <c:pt idx="2">
                        <c:v>01/02/2024</c:v>
                      </c:pt>
                      <c:pt idx="3">
                        <c:v>15/02/2024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CUMP_Calculs!$G$6:$G$14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154</c:v>
                      </c:pt>
                      <c:pt idx="1">
                        <c:v>151.875</c:v>
                      </c:pt>
                      <c:pt idx="2">
                        <c:v>151.875</c:v>
                      </c:pt>
                      <c:pt idx="3">
                        <c:v>230.625</c:v>
                      </c:pt>
                      <c:pt idx="4">
                        <c:v>230.625</c:v>
                      </c:pt>
                      <c:pt idx="5">
                        <c:v>230.625</c:v>
                      </c:pt>
                      <c:pt idx="6">
                        <c:v>230.625</c:v>
                      </c:pt>
                      <c:pt idx="7">
                        <c:v>230.625</c:v>
                      </c:pt>
                      <c:pt idx="8">
                        <c:v>230.625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01B-4686-B66D-EC988458F4D4}"/>
                  </c:ext>
                </c:extLst>
              </c15:ser>
            </c15:filteredLineSeries>
          </c:ext>
        </c:extLst>
      </c:lineChart>
      <c:catAx>
        <c:axId val="1882615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2612416"/>
        <c:crosses val="autoZero"/>
        <c:auto val="1"/>
        <c:lblAlgn val="ctr"/>
        <c:lblOffset val="100"/>
        <c:noMultiLvlLbl val="0"/>
      </c:catAx>
      <c:valAx>
        <c:axId val="18826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261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9753</xdr:colOff>
      <xdr:row>18</xdr:row>
      <xdr:rowOff>24383</xdr:rowOff>
    </xdr:from>
    <xdr:ext cx="4808525" cy="2464906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DCB55E2D-1535-D599-046E-3F9F44AA6D9E}"/>
            </a:ext>
          </a:extLst>
        </xdr:cNvPr>
        <xdr:cNvSpPr txBox="1"/>
      </xdr:nvSpPr>
      <xdr:spPr>
        <a:xfrm>
          <a:off x="6242304" y="3818534"/>
          <a:ext cx="4808525" cy="246490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050" b="1"/>
            <a:t>Dans le cas de 10 ventes (entrées) sans aucune sortie :</a:t>
          </a:r>
        </a:p>
        <a:p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•  </a:t>
          </a:r>
          <a:r>
            <a:rPr lang="fr-FR" sz="1050"/>
            <a:t>Le compte 522 sera débité du montant total des XMR reçus (valorisés en EUR au cours du jour de réception)</a:t>
          </a:r>
        </a:p>
        <a:p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•  </a:t>
          </a:r>
          <a:r>
            <a:rPr lang="fr-FR" sz="1050"/>
            <a:t>Il n'y aura aucune plus-value réalisée car pas de conversion/vente</a:t>
          </a:r>
        </a:p>
        <a:p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•  </a:t>
          </a:r>
          <a:r>
            <a:rPr lang="fr-FR" sz="1050"/>
            <a:t>Le stock final en XMR sera la somme de toutes les entrées</a:t>
          </a:r>
        </a:p>
        <a:p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•  </a:t>
          </a:r>
          <a:r>
            <a:rPr lang="fr-FR" sz="1050"/>
            <a:t>La valeur du stock devra être réévaluée au 31/12 pour le bilan</a:t>
          </a:r>
        </a:p>
        <a:p>
          <a:r>
            <a:rPr lang="fr-F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⮕ </a:t>
          </a:r>
          <a:r>
            <a:rPr lang="fr-FR" sz="1050" u="none"/>
            <a:t>Le chiffre d'affaires sera simplement le total des entrées en EUR</a:t>
          </a:r>
        </a:p>
        <a:p>
          <a:endParaRPr lang="fr-FR" sz="1050"/>
        </a:p>
        <a:p>
          <a:r>
            <a:rPr lang="fr-FR" sz="1050" b="1"/>
            <a:t>Points importants :</a:t>
          </a:r>
        </a:p>
        <a:p>
          <a:r>
            <a:rPr lang="fr-FR" sz="1050"/>
            <a:t>Les plus-values latentes (non réalisées) n'impactent pas le résultat fiscal</a:t>
          </a:r>
        </a:p>
        <a:p>
          <a:endParaRPr lang="fr-FR" sz="1050"/>
        </a:p>
        <a:p>
          <a:r>
            <a:rPr lang="fr-FR" sz="1050" b="1">
              <a:solidFill>
                <a:schemeClr val="tx1"/>
              </a:solidFill>
            </a:rPr>
            <a:t>Le stock doit être </a:t>
          </a:r>
          <a:r>
            <a:rPr lang="fr-FR" sz="1050" b="1" u="sng">
              <a:solidFill>
                <a:schemeClr val="tx1"/>
              </a:solidFill>
            </a:rPr>
            <a:t>valorisé au plus bas </a:t>
          </a:r>
          <a:r>
            <a:rPr lang="fr-FR" sz="1050" b="1">
              <a:solidFill>
                <a:schemeClr val="tx1"/>
              </a:solidFill>
            </a:rPr>
            <a:t>entre : </a:t>
          </a:r>
        </a:p>
        <a:p>
          <a:r>
            <a:rPr lang="fr-FR" sz="1100" b="0" i="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fr-F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FR" sz="1050"/>
            <a:t>Le coût d'acquisition</a:t>
          </a:r>
        </a:p>
        <a:p>
          <a:r>
            <a:rPr lang="fr-FR" sz="1100" b="0" i="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•  </a:t>
          </a:r>
          <a:r>
            <a:rPr lang="fr-FR" sz="1050"/>
            <a:t>La valeur de marché au 31/12 (principe de prudence comptable)</a:t>
          </a:r>
        </a:p>
      </xdr:txBody>
    </xdr:sp>
    <xdr:clientData/>
  </xdr:oneCellAnchor>
  <xdr:twoCellAnchor editAs="oneCell">
    <xdr:from>
      <xdr:col>3</xdr:col>
      <xdr:colOff>101776</xdr:colOff>
      <xdr:row>18</xdr:row>
      <xdr:rowOff>203099</xdr:rowOff>
    </xdr:from>
    <xdr:to>
      <xdr:col>4</xdr:col>
      <xdr:colOff>1166690</xdr:colOff>
      <xdr:row>22</xdr:row>
      <xdr:rowOff>6932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31C3E6E-8C73-AEB9-7B95-EFED63FEA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6149" y="4038353"/>
          <a:ext cx="3019117" cy="1816078"/>
        </a:xfrm>
        <a:prstGeom prst="rect">
          <a:avLst/>
        </a:prstGeom>
      </xdr:spPr>
    </xdr:pic>
    <xdr:clientData/>
  </xdr:twoCellAnchor>
  <xdr:twoCellAnchor editAs="oneCell">
    <xdr:from>
      <xdr:col>5</xdr:col>
      <xdr:colOff>636422</xdr:colOff>
      <xdr:row>4</xdr:row>
      <xdr:rowOff>73152</xdr:rowOff>
    </xdr:from>
    <xdr:to>
      <xdr:col>9</xdr:col>
      <xdr:colOff>534009</xdr:colOff>
      <xdr:row>16</xdr:row>
      <xdr:rowOff>5037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CE18CDF-F7B6-19E7-ADE9-5B84B52CC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494" y="1031443"/>
          <a:ext cx="2472538" cy="2411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212140</xdr:colOff>
      <xdr:row>11</xdr:row>
      <xdr:rowOff>36575</xdr:rowOff>
    </xdr:from>
    <xdr:ext cx="6371231" cy="2894895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3818CB8-6436-4D3E-B4FD-DE33D8624001}"/>
            </a:ext>
          </a:extLst>
        </xdr:cNvPr>
        <xdr:cNvSpPr txBox="1"/>
      </xdr:nvSpPr>
      <xdr:spPr>
        <a:xfrm>
          <a:off x="9209836" y="2048255"/>
          <a:ext cx="6371231" cy="289489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 kern="1200"/>
            <a:t>Informations</a:t>
          </a:r>
          <a:r>
            <a:rPr lang="fr-FR" sz="1400" b="1" kern="1200" baseline="0"/>
            <a:t> à destination du comptable </a:t>
          </a:r>
        </a:p>
        <a:p>
          <a:endParaRPr lang="fr-FR" sz="1100" kern="1200" baseline="0"/>
        </a:p>
        <a:p>
          <a:r>
            <a:rPr lang="fr-FR" b="1"/>
            <a:t>Dans le cas de 10 ventes (entrées) sans aucune sortie :</a:t>
          </a:r>
        </a:p>
        <a:p>
          <a:r>
            <a:rPr lang="fr-FR"/>
            <a:t>Le compte 522 sera débité du montant total des XMR reçus (valorisés en EUR au cours du jour de réception)</a:t>
          </a:r>
        </a:p>
        <a:p>
          <a:r>
            <a:rPr lang="fr-FR"/>
            <a:t>Il n'y aura aucune plus-value réalisée car pas de conversion/vente</a:t>
          </a:r>
        </a:p>
        <a:p>
          <a:r>
            <a:rPr lang="fr-FR"/>
            <a:t>Le stock final en XMR sera la somme de toutes les entrées</a:t>
          </a:r>
        </a:p>
        <a:p>
          <a:r>
            <a:rPr lang="fr-FR"/>
            <a:t>La valeur du stock devra être réévaluée au 31/12 pour le bilan</a:t>
          </a:r>
        </a:p>
        <a:p>
          <a:r>
            <a:rPr lang="fr-FR" u="sng"/>
            <a:t>Le chiffre d'affaires sera simplement le total des entrées en EUR</a:t>
          </a:r>
        </a:p>
        <a:p>
          <a:endParaRPr lang="fr-FR"/>
        </a:p>
        <a:p>
          <a:r>
            <a:rPr lang="fr-FR" b="1"/>
            <a:t>Points importants :</a:t>
          </a:r>
        </a:p>
        <a:p>
          <a:r>
            <a:rPr lang="fr-FR"/>
            <a:t>Les plus-values latentes (non réalisées) n'impactent pas le résultat fiscal</a:t>
          </a:r>
        </a:p>
        <a:p>
          <a:endParaRPr lang="fr-FR"/>
        </a:p>
        <a:p>
          <a:r>
            <a:rPr lang="fr-FR">
              <a:solidFill>
                <a:schemeClr val="accent5">
                  <a:lumMod val="75000"/>
                </a:schemeClr>
              </a:solidFill>
            </a:rPr>
            <a:t>Le stock doit être </a:t>
          </a:r>
          <a:r>
            <a:rPr lang="fr-FR" u="sng">
              <a:solidFill>
                <a:schemeClr val="accent5">
                  <a:lumMod val="75000"/>
                </a:schemeClr>
              </a:solidFill>
            </a:rPr>
            <a:t>valorisé au plus bas </a:t>
          </a:r>
          <a:r>
            <a:rPr lang="fr-FR">
              <a:solidFill>
                <a:schemeClr val="accent5">
                  <a:lumMod val="75000"/>
                </a:schemeClr>
              </a:solidFill>
            </a:rPr>
            <a:t>entre : </a:t>
          </a:r>
        </a:p>
        <a:p>
          <a:pPr lvl="1"/>
          <a:r>
            <a:rPr lang="fr-FR"/>
            <a:t>Le coût d'acquisition</a:t>
          </a:r>
        </a:p>
        <a:p>
          <a:pPr lvl="1"/>
          <a:r>
            <a:rPr lang="fr-FR"/>
            <a:t>La valeur de marché au 31/12 (principe de prudence comptable)</a:t>
          </a:r>
        </a:p>
        <a:p>
          <a:endParaRPr lang="fr-FR" sz="1100" kern="1200"/>
        </a:p>
      </xdr:txBody>
    </xdr:sp>
    <xdr:clientData/>
  </xdr:oneCellAnchor>
  <xdr:oneCellAnchor>
    <xdr:from>
      <xdr:col>4</xdr:col>
      <xdr:colOff>203606</xdr:colOff>
      <xdr:row>11</xdr:row>
      <xdr:rowOff>93880</xdr:rowOff>
    </xdr:from>
    <xdr:ext cx="4953609" cy="2429864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F6E05F4D-61A6-4A19-A7DA-9BB6F8297D15}"/>
            </a:ext>
          </a:extLst>
        </xdr:cNvPr>
        <xdr:cNvSpPr txBox="1"/>
      </xdr:nvSpPr>
      <xdr:spPr>
        <a:xfrm>
          <a:off x="3407664" y="2105560"/>
          <a:ext cx="4953609" cy="2429864"/>
        </a:xfrm>
        <a:prstGeom prst="roundRect">
          <a:avLst>
            <a:gd name="adj" fmla="val 1124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800" b="1" kern="1200"/>
            <a:t>Tuto</a:t>
          </a:r>
          <a:r>
            <a:rPr lang="fr-FR" sz="1800" b="1" kern="1200" baseline="0"/>
            <a:t> : </a:t>
          </a:r>
          <a:r>
            <a:rPr lang="fr-FR" sz="1800" b="1" i="1" u="sng" kern="1200" baseline="0"/>
            <a:t>vidéo à venir</a:t>
          </a:r>
          <a:endParaRPr lang="fr-FR" sz="1800" b="0" i="1" u="sng" kern="1200"/>
        </a:p>
        <a:p>
          <a:r>
            <a:rPr lang="fr-FR" sz="1400" b="1" kern="1200"/>
            <a:t>1- </a:t>
          </a:r>
          <a:r>
            <a:rPr lang="fr-FR" sz="1400" b="0" kern="1200"/>
            <a:t>Remplir les transactions dans l'onglet "Bitrequest_import"</a:t>
          </a:r>
        </a:p>
        <a:p>
          <a:r>
            <a:rPr lang="fr-FR" sz="1400" b="0" kern="1200"/>
            <a:t>à</a:t>
          </a:r>
          <a:r>
            <a:rPr lang="fr-FR" sz="1400" b="0" kern="1200" baseline="0"/>
            <a:t> partir d'un export CSV Bitrequest (OK)</a:t>
          </a:r>
        </a:p>
        <a:p>
          <a:r>
            <a:rPr lang="fr-FR" sz="1400" b="0" kern="1200" baseline="0"/>
            <a:t>ou bien manuellement l'onglet CakeWallet</a:t>
          </a:r>
          <a:r>
            <a:rPr lang="fr-FR" sz="1400" b="0" kern="1200" baseline="0">
              <a:solidFill>
                <a:schemeClr val="accent4">
                  <a:lumMod val="50000"/>
                </a:schemeClr>
              </a:solidFill>
            </a:rPr>
            <a:t> (Non terminé !)</a:t>
          </a:r>
        </a:p>
        <a:p>
          <a:endParaRPr lang="fr-FR" sz="1400" b="0" kern="12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fr-FR" sz="1400" b="1" kern="1200">
              <a:solidFill>
                <a:schemeClr val="dk1"/>
              </a:solidFill>
              <a:latin typeface="+mn-lt"/>
              <a:ea typeface="+mn-ea"/>
              <a:cs typeface="+mn-cs"/>
            </a:rPr>
            <a:t>2-</a:t>
          </a:r>
          <a:r>
            <a:rPr lang="fr-FR" sz="1400" b="0" kern="1200">
              <a:solidFill>
                <a:schemeClr val="dk1"/>
              </a:solidFill>
              <a:latin typeface="+mn-lt"/>
              <a:ea typeface="+mn-ea"/>
              <a:cs typeface="+mn-cs"/>
            </a:rPr>
            <a:t> Transmettre au comptable les 3 champs fiscaux de l'onglet "Reporting_comptable" auto-calculés</a:t>
          </a:r>
          <a:r>
            <a:rPr lang="fr-FR" sz="1400" b="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fr-FR" sz="1400" b="0" kern="1200">
              <a:solidFill>
                <a:schemeClr val="dk1"/>
              </a:solidFill>
              <a:latin typeface="+mn-lt"/>
              <a:ea typeface="+mn-ea"/>
              <a:cs typeface="+mn-cs"/>
            </a:rPr>
            <a:t>(ligne 22, 24, 25)</a:t>
          </a:r>
        </a:p>
        <a:p>
          <a:endParaRPr lang="fr-FR" sz="1400" b="0" kern="12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fr-FR" sz="1400" b="0" kern="1200">
              <a:solidFill>
                <a:schemeClr val="dk1"/>
              </a:solidFill>
              <a:latin typeface="+mn-lt"/>
              <a:ea typeface="+mn-ea"/>
              <a:cs typeface="+mn-cs"/>
            </a:rPr>
            <a:t>C'est tout ! En</a:t>
          </a:r>
          <a:r>
            <a:rPr lang="fr-FR" sz="1400" b="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c</a:t>
          </a:r>
          <a:r>
            <a:rPr lang="fr-FR" sz="1400" b="0" kern="1200">
              <a:solidFill>
                <a:schemeClr val="dk1"/>
              </a:solidFill>
              <a:latin typeface="+mn-lt"/>
              <a:ea typeface="+mn-ea"/>
              <a:cs typeface="+mn-cs"/>
            </a:rPr>
            <a:t>ompte 522.</a:t>
          </a:r>
        </a:p>
      </xdr:txBody>
    </xdr:sp>
    <xdr:clientData/>
  </xdr:oneCellAnchor>
  <xdr:oneCellAnchor>
    <xdr:from>
      <xdr:col>7</xdr:col>
      <xdr:colOff>296343</xdr:colOff>
      <xdr:row>2</xdr:row>
      <xdr:rowOff>101194</xdr:rowOff>
    </xdr:from>
    <xdr:ext cx="5075117" cy="794969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B568D315-2049-41E8-B521-ED5B9834F204}"/>
            </a:ext>
          </a:extLst>
        </xdr:cNvPr>
        <xdr:cNvSpPr txBox="1"/>
      </xdr:nvSpPr>
      <xdr:spPr>
        <a:xfrm>
          <a:off x="5431613" y="466954"/>
          <a:ext cx="5075117" cy="794969"/>
        </a:xfrm>
        <a:prstGeom prst="round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fr-FR" sz="2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Calculateur</a:t>
          </a:r>
          <a:r>
            <a:rPr lang="fr-FR" sz="2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 comptabilité et fiscalité crypto</a:t>
          </a:r>
          <a:endParaRPr lang="fr-FR" sz="2800">
            <a:effectLst/>
          </a:endParaRPr>
        </a:p>
        <a:p>
          <a:pPr algn="ctr"/>
          <a:r>
            <a:rPr lang="fr-FR" sz="20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Libre et open source !</a:t>
          </a:r>
          <a:endParaRPr lang="fr-FR" sz="2800">
            <a:effectLst/>
          </a:endParaRPr>
        </a:p>
      </xdr:txBody>
    </xdr:sp>
    <xdr:clientData/>
  </xdr:oneCellAnchor>
  <xdr:twoCellAnchor editAs="oneCell">
    <xdr:from>
      <xdr:col>8</xdr:col>
      <xdr:colOff>336499</xdr:colOff>
      <xdr:row>9</xdr:row>
      <xdr:rowOff>7315</xdr:rowOff>
    </xdr:from>
    <xdr:to>
      <xdr:col>20</xdr:col>
      <xdr:colOff>384048</xdr:colOff>
      <xdr:row>39</xdr:row>
      <xdr:rowOff>1026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998EB27F-01B0-5327-92AF-EB8EE55BC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507" y="1653235"/>
          <a:ext cx="7772400" cy="5494741"/>
        </a:xfrm>
        <a:prstGeom prst="rect">
          <a:avLst/>
        </a:prstGeom>
      </xdr:spPr>
    </xdr:pic>
    <xdr:clientData/>
  </xdr:twoCellAnchor>
  <xdr:twoCellAnchor editAs="oneCell">
    <xdr:from>
      <xdr:col>18</xdr:col>
      <xdr:colOff>486498</xdr:colOff>
      <xdr:row>6</xdr:row>
      <xdr:rowOff>11012</xdr:rowOff>
    </xdr:from>
    <xdr:to>
      <xdr:col>30</xdr:col>
      <xdr:colOff>534047</xdr:colOff>
      <xdr:row>36</xdr:row>
      <xdr:rowOff>4723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14302D33-B77F-EC28-F14B-D134DD447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2882" y="1108292"/>
          <a:ext cx="7772400" cy="54947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77091</xdr:colOff>
      <xdr:row>20</xdr:row>
      <xdr:rowOff>63024</xdr:rowOff>
    </xdr:from>
    <xdr:to>
      <xdr:col>23</xdr:col>
      <xdr:colOff>164873</xdr:colOff>
      <xdr:row>30</xdr:row>
      <xdr:rowOff>16883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F74235D-C0A2-5A2A-FA18-CF62C5F41348}"/>
            </a:ext>
          </a:extLst>
        </xdr:cNvPr>
        <xdr:cNvSpPr txBox="1"/>
      </xdr:nvSpPr>
      <xdr:spPr>
        <a:xfrm>
          <a:off x="16615070" y="2668361"/>
          <a:ext cx="1730888" cy="18107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000" b="1"/>
            <a:t>Prix d'acquisition unitaire </a:t>
          </a:r>
          <a:r>
            <a:rPr lang="fr-FR" sz="1000"/>
            <a:t>selon méthode FIFO </a:t>
          </a:r>
        </a:p>
        <a:p>
          <a:r>
            <a:rPr lang="fr-FR" sz="1000"/>
            <a:t>- Pour une </a:t>
          </a:r>
          <a:r>
            <a:rPr lang="fr-FR" sz="1000" b="1"/>
            <a:t>entrée</a:t>
          </a:r>
          <a:r>
            <a:rPr lang="fr-FR" sz="1000"/>
            <a:t> : c'est le même que Q (prix du marché)</a:t>
          </a:r>
        </a:p>
        <a:p>
          <a:r>
            <a:rPr lang="fr-FR" sz="1000"/>
            <a:t>- Pour une </a:t>
          </a:r>
          <a:r>
            <a:rPr lang="fr-FR" sz="1000" b="1"/>
            <a:t>sortie</a:t>
          </a:r>
          <a:r>
            <a:rPr lang="fr-FR" sz="1000"/>
            <a:t> : c'est le prix historique d'acquisition des XMR qu'on utilise</a:t>
          </a:r>
        </a:p>
        <a:p>
          <a:endParaRPr lang="fr-FR" sz="1000" kern="1200"/>
        </a:p>
        <a:p>
          <a:r>
            <a:rPr lang="fr-FR" sz="1000" kern="1200"/>
            <a:t>- Utilise RECHERCHEV</a:t>
          </a:r>
          <a:r>
            <a:rPr lang="fr-FR" sz="1000" kern="1200" baseline="0"/>
            <a:t> dans l'onglet FIFO_Calculs.</a:t>
          </a:r>
        </a:p>
      </xdr:txBody>
    </xdr:sp>
    <xdr:clientData/>
  </xdr:twoCellAnchor>
  <xdr:twoCellAnchor>
    <xdr:from>
      <xdr:col>23</xdr:col>
      <xdr:colOff>203606</xdr:colOff>
      <xdr:row>18</xdr:row>
      <xdr:rowOff>119764</xdr:rowOff>
    </xdr:from>
    <xdr:to>
      <xdr:col>25</xdr:col>
      <xdr:colOff>291388</xdr:colOff>
      <xdr:row>26</xdr:row>
      <xdr:rowOff>17352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F6F06F02-2A78-425E-9F1D-57D15570E934}"/>
            </a:ext>
          </a:extLst>
        </xdr:cNvPr>
        <xdr:cNvSpPr txBox="1"/>
      </xdr:nvSpPr>
      <xdr:spPr>
        <a:xfrm>
          <a:off x="18384691" y="2353713"/>
          <a:ext cx="1730889" cy="1383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050"/>
            <a:t>Prix total d'acquisition d</a:t>
          </a:r>
          <a:r>
            <a:rPr lang="fr-FR" sz="1050" b="1"/>
            <a:t>e la quantité sortie</a:t>
          </a:r>
        </a:p>
        <a:p>
          <a:pPr algn="l"/>
          <a:r>
            <a:rPr lang="fr-FR" sz="1050"/>
            <a:t>= Quantité × Prix d'acquisition unitaire</a:t>
          </a:r>
        </a:p>
        <a:p>
          <a:pPr algn="l"/>
          <a:r>
            <a:rPr lang="fr-FR" sz="1050" b="1"/>
            <a:t>- Seulement rempli pour les sorties</a:t>
          </a:r>
          <a:endParaRPr lang="fr-FR" sz="1000" b="1" kern="1200"/>
        </a:p>
      </xdr:txBody>
    </xdr:sp>
    <xdr:clientData/>
  </xdr:twoCellAnchor>
  <xdr:twoCellAnchor>
    <xdr:from>
      <xdr:col>20</xdr:col>
      <xdr:colOff>725893</xdr:colOff>
      <xdr:row>32</xdr:row>
      <xdr:rowOff>73151</xdr:rowOff>
    </xdr:from>
    <xdr:to>
      <xdr:col>23</xdr:col>
      <xdr:colOff>157559</xdr:colOff>
      <xdr:row>39</xdr:row>
      <xdr:rowOff>95659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5CC660E4-E92E-8FC8-22BE-77E71061BE49}"/>
            </a:ext>
          </a:extLst>
        </xdr:cNvPr>
        <xdr:cNvSpPr txBox="1"/>
      </xdr:nvSpPr>
      <xdr:spPr>
        <a:xfrm>
          <a:off x="16442319" y="4906810"/>
          <a:ext cx="1896325" cy="1322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RECHERCHEV d’Excel est une fonction qui permet de rechercher une valeur dans la première colonne d’un tableau (ici</a:t>
          </a:r>
          <a:r>
            <a:rPr lang="fr-F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A)</a:t>
          </a:r>
          <a:r>
            <a:rPr lang="fr-FR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et de renvoyer la valeur correspondante dans une autre colonne (ici la 6e soit F = "Prix_Moyen_FIFO")</a:t>
          </a:r>
        </a:p>
        <a:p>
          <a:endParaRPr lang="fr-FR" sz="1000" b="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479451</xdr:colOff>
      <xdr:row>21</xdr:row>
      <xdr:rowOff>171747</xdr:rowOff>
    </xdr:from>
    <xdr:to>
      <xdr:col>6</xdr:col>
      <xdr:colOff>343496</xdr:colOff>
      <xdr:row>38</xdr:row>
      <xdr:rowOff>153781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6C02D28-E58E-7014-4121-1C1860946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332271</xdr:colOff>
      <xdr:row>32</xdr:row>
      <xdr:rowOff>131336</xdr:rowOff>
    </xdr:from>
    <xdr:to>
      <xdr:col>13</xdr:col>
      <xdr:colOff>446769</xdr:colOff>
      <xdr:row>44</xdr:row>
      <xdr:rowOff>99530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2F3C4B21-5AA3-DC3F-2497-21F7F6CE93E1}"/>
            </a:ext>
          </a:extLst>
        </xdr:cNvPr>
        <xdr:cNvSpPr txBox="1"/>
      </xdr:nvSpPr>
      <xdr:spPr>
        <a:xfrm>
          <a:off x="5083970" y="6142522"/>
          <a:ext cx="5864882" cy="21818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/>
            <a:t>CUMP vs</a:t>
          </a:r>
          <a:r>
            <a:rPr lang="fr-FR" b="1" baseline="0"/>
            <a:t> FIFO :</a:t>
          </a:r>
          <a:br>
            <a:rPr lang="fr-FR"/>
          </a:br>
          <a:r>
            <a:rPr lang="fr-FR"/>
            <a:t>La principale différence avec le FIFO se trouve dans le calcul du prix moyen. </a:t>
          </a:r>
          <a:br>
            <a:rPr lang="fr-FR"/>
          </a:br>
          <a:br>
            <a:rPr lang="fr-FR"/>
          </a:br>
          <a:r>
            <a:rPr lang="fr-FR" b="1"/>
            <a:t>En CUMP :</a:t>
          </a:r>
        </a:p>
        <a:p>
          <a:r>
            <a:rPr lang="fr-FR"/>
            <a:t>Pour une entrée : on calcule la moyenne pondérée ((ancien stock × ancien prix) + (nouvelle quantité × nouveau prix)) / (ancien stock + nouvelle quantité)</a:t>
          </a:r>
        </a:p>
        <a:p>
          <a:r>
            <a:rPr lang="fr-FR"/>
            <a:t>Pour une sortie : on garde le même prix moyen</a:t>
          </a:r>
          <a:br>
            <a:rPr lang="fr-FR"/>
          </a:br>
          <a:endParaRPr lang="fr-FR"/>
        </a:p>
        <a:p>
          <a:r>
            <a:rPr lang="fr-FR"/>
            <a:t>Cette méthode CUMP est effectivement plus appropriée pour la comptabilité crypto car :</a:t>
          </a:r>
        </a:p>
        <a:p>
          <a:r>
            <a:rPr lang="fr-FR"/>
            <a:t>-</a:t>
          </a:r>
          <a:r>
            <a:rPr lang="fr-FR" baseline="0"/>
            <a:t> </a:t>
          </a:r>
          <a:r>
            <a:rPr lang="fr-FR"/>
            <a:t>Elle reflète mieux la valeur moyenne réelle de votre portefeuille</a:t>
          </a:r>
        </a:p>
        <a:p>
          <a:r>
            <a:rPr lang="fr-FR"/>
            <a:t>- </a:t>
          </a:r>
          <a:r>
            <a:rPr lang="fr-FR" b="1"/>
            <a:t>Elle est plus simple à maintenir et à auditer</a:t>
          </a:r>
        </a:p>
        <a:p>
          <a:r>
            <a:rPr lang="fr-FR"/>
            <a:t>- Elle évite les problèmes de traçabilité des lots spécifiques du FIFO</a:t>
          </a:r>
        </a:p>
        <a:p>
          <a:endParaRPr lang="fr-FR" sz="1100"/>
        </a:p>
      </xdr:txBody>
    </xdr:sp>
    <xdr:clientData/>
  </xdr:twoCellAnchor>
  <xdr:twoCellAnchor>
    <xdr:from>
      <xdr:col>6</xdr:col>
      <xdr:colOff>388024</xdr:colOff>
      <xdr:row>45</xdr:row>
      <xdr:rowOff>159027</xdr:rowOff>
    </xdr:from>
    <xdr:to>
      <xdr:col>13</xdr:col>
      <xdr:colOff>205143</xdr:colOff>
      <xdr:row>55</xdr:row>
      <xdr:rowOff>6361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FCECC3A9-2DFA-2224-820B-41BEC9C3C718}"/>
            </a:ext>
          </a:extLst>
        </xdr:cNvPr>
        <xdr:cNvSpPr txBox="1"/>
      </xdr:nvSpPr>
      <xdr:spPr>
        <a:xfrm>
          <a:off x="5139723" y="8568326"/>
          <a:ext cx="5567503" cy="1692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FIFO : </a:t>
          </a:r>
          <a:r>
            <a:rPr lang="fr-FR" sz="1100"/>
            <a:t>beaucoup plus complexe, avec des "lots"</a:t>
          </a:r>
          <a:r>
            <a:rPr lang="fr-FR" sz="1100" baseline="0"/>
            <a:t> séparés à gérer</a:t>
          </a:r>
        </a:p>
        <a:p>
          <a:r>
            <a:rPr lang="fr-FR"/>
            <a:t># Colonnes nécessaires pour FIFO</a:t>
          </a:r>
        </a:p>
        <a:p>
          <a:r>
            <a:rPr lang="fr-FR"/>
            <a:t>- Date </a:t>
          </a:r>
        </a:p>
        <a:p>
          <a:r>
            <a:rPr lang="fr-FR"/>
            <a:t>- Type (Entrée/Sortie) </a:t>
          </a:r>
        </a:p>
        <a:p>
          <a:r>
            <a:rPr lang="fr-FR"/>
            <a:t>- Quantité -</a:t>
          </a:r>
        </a:p>
        <a:p>
          <a:r>
            <a:rPr lang="fr-FR"/>
            <a:t> Prix unitaire </a:t>
          </a:r>
        </a:p>
        <a:p>
          <a:r>
            <a:rPr lang="fr-FR"/>
            <a:t>- Lots disponibles (plusieurs colonnes ou une feuille séparée) </a:t>
          </a:r>
        </a:p>
        <a:p>
          <a:r>
            <a:rPr lang="fr-FR"/>
            <a:t>	Lot1_Quantité | Lot1_Prix Lot2_Quantité | Lot2_Prix etc.</a:t>
          </a:r>
        </a:p>
        <a:p>
          <a:r>
            <a:rPr lang="fr-FR" sz="1100"/>
            <a:t>....</a:t>
          </a:r>
        </a:p>
      </xdr:txBody>
    </xdr:sp>
    <xdr:clientData/>
  </xdr:twoCellAnchor>
  <xdr:twoCellAnchor>
    <xdr:from>
      <xdr:col>6</xdr:col>
      <xdr:colOff>432287</xdr:colOff>
      <xdr:row>54</xdr:row>
      <xdr:rowOff>76066</xdr:rowOff>
    </xdr:from>
    <xdr:to>
      <xdr:col>12</xdr:col>
      <xdr:colOff>12723</xdr:colOff>
      <xdr:row>69</xdr:row>
      <xdr:rowOff>133582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D79D591F-45D4-4808-8458-F4FD7A4D4BA9}"/>
            </a:ext>
          </a:extLst>
        </xdr:cNvPr>
        <xdr:cNvSpPr txBox="1"/>
      </xdr:nvSpPr>
      <xdr:spPr>
        <a:xfrm>
          <a:off x="5183986" y="10145598"/>
          <a:ext cx="4510245" cy="28245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/>
            <a:t>SARL</a:t>
          </a:r>
          <a:r>
            <a:rPr lang="fr-FR" b="1" baseline="0"/>
            <a:t> et SAS : même calculs </a:t>
          </a:r>
          <a:r>
            <a:rPr lang="fr-FR" b="1"/>
            <a:t>pour ces deux structures car soumises à l'IS</a:t>
          </a:r>
          <a:br>
            <a:rPr lang="fr-FR"/>
          </a:br>
          <a:br>
            <a:rPr lang="fr-FR"/>
          </a:br>
          <a:r>
            <a:rPr lang="fr-FR"/>
            <a:t>- À la clôture : les plus-values latentes ne sont pas imposées mais les moins-values latentes doivent être provisionnées </a:t>
          </a:r>
        </a:p>
        <a:p>
          <a:r>
            <a:rPr lang="fr-FR"/>
            <a:t>- Les plus-values réalisées sont imposées au taux de l'IS : </a:t>
          </a:r>
        </a:p>
        <a:p>
          <a:r>
            <a:rPr lang="fr-FR"/>
            <a:t>	15% jusqu'à 42 500€ de bénéfices (si CA &lt; 10M€)</a:t>
          </a:r>
        </a:p>
        <a:p>
          <a:r>
            <a:rPr lang="fr-FR"/>
            <a:t>	25% au-delà</a:t>
          </a:r>
        </a:p>
        <a:p>
          <a:endParaRPr lang="fr-FR" sz="1100"/>
        </a:p>
        <a:p>
          <a:r>
            <a:rPr lang="fr-FR" b="1"/>
            <a:t>Auto-entreprise :</a:t>
          </a:r>
          <a:endParaRPr lang="fr-FR"/>
        </a:p>
        <a:p>
          <a:r>
            <a:rPr lang="fr-FR"/>
            <a:t>- Les crypto-actifs sont considérés comme des immobilisations si leur détention est durable (&gt; 1 an)</a:t>
          </a:r>
        </a:p>
        <a:p>
          <a:r>
            <a:rPr lang="fr-FR"/>
            <a:t>- La plus-value se calcule à la revente : "Prix de vente - Prix d'achat (CUMP)"</a:t>
          </a:r>
        </a:p>
        <a:p>
          <a:endParaRPr lang="fr-FR"/>
        </a:p>
        <a:p>
          <a:r>
            <a:rPr lang="fr-FR"/>
            <a:t>- Imposition : régime micro-BIC si CA &lt; 176,2k€ (2024) avec abattement de 71%</a:t>
          </a:r>
        </a:p>
        <a:p>
          <a:r>
            <a:rPr lang="fr-FR"/>
            <a:t>-TVA : franchise en base si CA &lt; 36,8k€</a:t>
          </a:r>
        </a:p>
        <a:p>
          <a:endParaRPr lang="fr-FR" sz="1100"/>
        </a:p>
      </xdr:txBody>
    </xdr:sp>
    <xdr:clientData/>
  </xdr:twoCellAnchor>
  <xdr:twoCellAnchor>
    <xdr:from>
      <xdr:col>13</xdr:col>
      <xdr:colOff>0</xdr:colOff>
      <xdr:row>22</xdr:row>
      <xdr:rowOff>3742</xdr:rowOff>
    </xdr:from>
    <xdr:to>
      <xdr:col>18</xdr:col>
      <xdr:colOff>213902</xdr:colOff>
      <xdr:row>37</xdr:row>
      <xdr:rowOff>17212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6AA043D-890B-4F53-B0BE-AB0099D3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4187</xdr:colOff>
      <xdr:row>18</xdr:row>
      <xdr:rowOff>76282</xdr:rowOff>
    </xdr:from>
    <xdr:to>
      <xdr:col>16</xdr:col>
      <xdr:colOff>26941</xdr:colOff>
      <xdr:row>35</xdr:row>
      <xdr:rowOff>156781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B072664B-306F-9CAC-274B-8DA406B76EB5}"/>
            </a:ext>
          </a:extLst>
        </xdr:cNvPr>
        <xdr:cNvSpPr txBox="1"/>
      </xdr:nvSpPr>
      <xdr:spPr>
        <a:xfrm>
          <a:off x="11940872" y="3604790"/>
          <a:ext cx="4928241" cy="3686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Justificatif</a:t>
          </a:r>
          <a:r>
            <a:rPr lang="fr-FR" sz="1100" b="1" baseline="0"/>
            <a:t> comptable </a:t>
          </a:r>
        </a:p>
        <a:p>
          <a:endParaRPr lang="fr-FR" sz="900" b="1"/>
        </a:p>
        <a:p>
          <a:r>
            <a:rPr lang="fr-FR" sz="900" b="1"/>
            <a:t>Relevé de transaction de la plateforme PSAN</a:t>
          </a:r>
        </a:p>
        <a:p>
          <a:r>
            <a:rPr lang="fr-FR" sz="900"/>
            <a:t>Ce relevé doit indiquer les détails de la vente :</a:t>
          </a:r>
        </a:p>
        <a:p>
          <a:pPr lvl="1"/>
          <a:r>
            <a:rPr lang="fr-FR" sz="900"/>
            <a:t>Date de la transaction.</a:t>
          </a:r>
        </a:p>
        <a:p>
          <a:pPr lvl="1"/>
          <a:r>
            <a:rPr lang="fr-FR" sz="900"/>
            <a:t>Montant en euros récupéré (ex : 2500</a:t>
          </a:r>
          <a:r>
            <a:rPr lang="fr-FR" sz="900" baseline="0"/>
            <a:t> </a:t>
          </a:r>
          <a:r>
            <a:rPr lang="fr-FR" sz="900"/>
            <a:t>€).</a:t>
          </a:r>
        </a:p>
        <a:p>
          <a:pPr lvl="1"/>
          <a:r>
            <a:rPr lang="fr-FR" sz="900"/>
            <a:t>Nature des cryptomonnaies vendues (Bitcoin et/ou Monero).</a:t>
          </a:r>
        </a:p>
        <a:p>
          <a:pPr lvl="1"/>
          <a:r>
            <a:rPr lang="fr-FR" sz="900"/>
            <a:t>Quantité de crypto échangée.</a:t>
          </a:r>
        </a:p>
        <a:p>
          <a:pPr lvl="1"/>
          <a:r>
            <a:rPr lang="fr-FR" sz="900"/>
            <a:t>Taux de change utilisé.</a:t>
          </a:r>
        </a:p>
        <a:p>
          <a:pPr lvl="1"/>
          <a:r>
            <a:rPr lang="fr-FR" sz="900"/>
            <a:t>Frais prélevés par la plateforme (le cas échéant).</a:t>
          </a:r>
        </a:p>
        <a:p>
          <a:r>
            <a:rPr lang="fr-FR" sz="900" b="1"/>
            <a:t>2. Facture ou justificatif émis par la plateforme PSAN</a:t>
          </a:r>
        </a:p>
        <a:p>
          <a:r>
            <a:rPr lang="fr-FR" sz="900"/>
            <a:t>Certaines plateformes fournissent une facture ou un relevé officiel pour chaque transaction. Ce document doit être récupéré et conservé.</a:t>
          </a:r>
        </a:p>
        <a:p>
          <a:r>
            <a:rPr lang="fr-FR" sz="1000" b="1" kern="1200"/>
            <a:t>3. Relevé bancaire de la SAS</a:t>
          </a:r>
        </a:p>
        <a:p>
          <a:r>
            <a:rPr lang="fr-FR" sz="1000"/>
            <a:t>4. </a:t>
          </a:r>
          <a:r>
            <a:rPr lang="fr-FR" sz="1000" b="1"/>
            <a:t>Preuve d'achat des cryptomonnaies (si demandé lors d’un contrôle)</a:t>
          </a:r>
        </a:p>
        <a:p>
          <a:endParaRPr lang="fr-FR" sz="1000" b="1" kern="1200"/>
        </a:p>
        <a:p>
          <a:r>
            <a:rPr lang="fr-FR" sz="1000"/>
            <a:t>5. </a:t>
          </a:r>
          <a:r>
            <a:rPr lang="fr-FR" sz="1000" b="1"/>
            <a:t>Ecritures comptables</a:t>
          </a:r>
        </a:p>
        <a:p>
          <a:r>
            <a:rPr lang="fr-FR" sz="1000"/>
            <a:t>La transaction devra être enregistrée dans le journal de banque de la SAS comme suit :</a:t>
          </a:r>
        </a:p>
        <a:p>
          <a:r>
            <a:rPr lang="fr-FR" sz="1000" b="1"/>
            <a:t>Débit</a:t>
          </a:r>
          <a:r>
            <a:rPr lang="fr-FR" sz="1000"/>
            <a:t> : Compte 512 (Banque) pour 2 500 €.</a:t>
          </a:r>
        </a:p>
        <a:p>
          <a:r>
            <a:rPr lang="fr-FR" sz="1000" b="1"/>
            <a:t>Crédit</a:t>
          </a:r>
          <a:r>
            <a:rPr lang="fr-FR" sz="1000"/>
            <a:t> : Compte 767 (Produits des opérations financières) ou compte 761 (Produits de cession de valeurs mobilières), selon la manière dont la comptabilité est structurée.</a:t>
          </a:r>
        </a:p>
        <a:p>
          <a:endParaRPr lang="fr-FR" sz="1000" b="1" kern="1200"/>
        </a:p>
        <a:p>
          <a:r>
            <a:rPr lang="fr-FR" sz="1000"/>
            <a:t>6. </a:t>
          </a:r>
          <a:r>
            <a:rPr lang="fr-FR" sz="1000" b="1"/>
            <a:t>Justificatifs des éventuels gains ou pertes en capital</a:t>
          </a:r>
        </a:p>
        <a:p>
          <a:r>
            <a:rPr lang="fr-FR" sz="1000"/>
            <a:t>Calcul</a:t>
          </a:r>
          <a:r>
            <a:rPr lang="fr-FR" sz="1000" baseline="0"/>
            <a:t> de la plu-value grâce à ce tableau Excel, qui doit être conservé.</a:t>
          </a:r>
          <a:endParaRPr lang="fr-FR" sz="1000" b="1" kern="1200"/>
        </a:p>
      </xdr:txBody>
    </xdr:sp>
    <xdr:clientData/>
  </xdr:twoCellAnchor>
  <xdr:twoCellAnchor>
    <xdr:from>
      <xdr:col>9</xdr:col>
      <xdr:colOff>799253</xdr:colOff>
      <xdr:row>4</xdr:row>
      <xdr:rowOff>76692</xdr:rowOff>
    </xdr:from>
    <xdr:to>
      <xdr:col>16</xdr:col>
      <xdr:colOff>450783</xdr:colOff>
      <xdr:row>15</xdr:row>
      <xdr:rowOff>86061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4C674C55-86C4-B8F5-FE38-59A37BB5DF42}"/>
            </a:ext>
          </a:extLst>
        </xdr:cNvPr>
        <xdr:cNvSpPr txBox="1"/>
      </xdr:nvSpPr>
      <xdr:spPr>
        <a:xfrm>
          <a:off x="11918357" y="920092"/>
          <a:ext cx="5374598" cy="2100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/>
            <a:t>A l'attention du comptable</a:t>
          </a:r>
          <a:br>
            <a:rPr lang="fr-FR" b="1"/>
          </a:br>
          <a:r>
            <a:rPr lang="fr-FR" b="1"/>
            <a:t>------------------------------------</a:t>
          </a:r>
        </a:p>
        <a:p>
          <a:r>
            <a:rPr lang="fr-FR" b="0">
              <a:solidFill>
                <a:schemeClr val="accent6">
                  <a:lumMod val="75000"/>
                </a:schemeClr>
              </a:solidFill>
            </a:rPr>
            <a:t>Ce tableau</a:t>
          </a:r>
          <a:r>
            <a:rPr lang="fr-FR" b="0" baseline="0">
              <a:solidFill>
                <a:schemeClr val="accent6">
                  <a:lumMod val="75000"/>
                </a:schemeClr>
              </a:solidFill>
            </a:rPr>
            <a:t> </a:t>
          </a:r>
        </a:p>
        <a:p>
          <a:r>
            <a:rPr lang="fr-FR" b="0" baseline="0">
              <a:solidFill>
                <a:schemeClr val="accent6">
                  <a:lumMod val="75000"/>
                </a:schemeClr>
              </a:solidFill>
            </a:rPr>
            <a:t>+ justificatif d'achats de crypto éventuels</a:t>
          </a:r>
        </a:p>
        <a:p>
          <a:r>
            <a:rPr lang="fr-FR" b="0" baseline="0">
              <a:solidFill>
                <a:schemeClr val="accent6">
                  <a:lumMod val="75000"/>
                </a:schemeClr>
              </a:solidFill>
            </a:rPr>
            <a:t>+ facture ou reçus de vente de produits en crypto éventuels</a:t>
          </a:r>
        </a:p>
        <a:p>
          <a:r>
            <a:rPr lang="fr-FR" b="1" baseline="0">
              <a:solidFill>
                <a:schemeClr val="accent6">
                  <a:lumMod val="75000"/>
                </a:schemeClr>
              </a:solidFill>
            </a:rPr>
            <a:t>Suffisent pour une comptabilité crypto valide et fiable.</a:t>
          </a:r>
        </a:p>
        <a:p>
          <a:endParaRPr lang="fr-FR" b="1"/>
        </a:p>
        <a:p>
          <a:endParaRPr lang="fr-FR" b="1"/>
        </a:p>
        <a:p>
          <a:r>
            <a:rPr lang="fr-FR" b="1"/>
            <a:t>Les cases pertinentes dans la liasse fiscale, voir onglet</a:t>
          </a:r>
          <a:r>
            <a:rPr lang="fr-FR" b="1" baseline="0"/>
            <a:t> 1</a:t>
          </a:r>
          <a:endParaRPr lang="fr-FR" b="1"/>
        </a:p>
        <a:p>
          <a:endParaRPr lang="fr-FR"/>
        </a:p>
        <a:p>
          <a:r>
            <a:rPr lang="fr-FR"/>
            <a:t>Les informations à déclarer et leurs emplacements dans la liasse fiscale dépendent du régime fiscal de la SAS (impôt sur les sociétés - IS). Voici les principales cases :</a:t>
          </a:r>
        </a:p>
        <a:p>
          <a:r>
            <a:rPr lang="fr-FR" b="1"/>
            <a:t>Chiffre d'affaires crypto</a:t>
          </a:r>
          <a:r>
            <a:rPr lang="fr-FR"/>
            <a:t> :</a:t>
          </a:r>
        </a:p>
        <a:p>
          <a:pPr lvl="1"/>
          <a:r>
            <a:rPr lang="fr-FR"/>
            <a:t>À inclure dans les </a:t>
          </a:r>
          <a:r>
            <a:rPr lang="fr-FR" b="1"/>
            <a:t>produits d'exploitation</a:t>
          </a:r>
          <a:r>
            <a:rPr lang="fr-FR"/>
            <a:t> de la SAS.</a:t>
          </a:r>
        </a:p>
        <a:p>
          <a:pPr lvl="1"/>
          <a:r>
            <a:rPr lang="fr-FR" b="1"/>
            <a:t>Case 2051 - Produits d'exploitation divers ou CA total</a:t>
          </a:r>
          <a:r>
            <a:rPr lang="fr-FR"/>
            <a:t> (selon le montant global et la ventilation).</a:t>
          </a:r>
        </a:p>
        <a:p>
          <a:r>
            <a:rPr lang="fr-FR" b="1"/>
            <a:t>Plus-values imposables</a:t>
          </a:r>
          <a:r>
            <a:rPr lang="fr-FR"/>
            <a:t> :</a:t>
          </a:r>
        </a:p>
        <a:p>
          <a:pPr lvl="1"/>
          <a:r>
            <a:rPr lang="fr-FR"/>
            <a:t>À inclure dans les </a:t>
          </a:r>
          <a:r>
            <a:rPr lang="fr-FR" b="1"/>
            <a:t>plus-values financières</a:t>
          </a:r>
          <a:r>
            <a:rPr lang="fr-FR"/>
            <a:t>.</a:t>
          </a:r>
        </a:p>
        <a:p>
          <a:pPr lvl="1"/>
          <a:r>
            <a:rPr lang="fr-FR" b="1"/>
            <a:t>Case 2058-A - Ligne "Produits financiers"</a:t>
          </a:r>
          <a:r>
            <a:rPr lang="fr-FR"/>
            <a:t> pour une SAS.</a:t>
          </a:r>
        </a:p>
        <a:p>
          <a:r>
            <a:rPr lang="fr-FR" b="1"/>
            <a:t>Valorisation du stock final crypto</a:t>
          </a:r>
          <a:r>
            <a:rPr lang="fr-FR"/>
            <a:t> :</a:t>
          </a:r>
        </a:p>
        <a:p>
          <a:pPr lvl="1"/>
          <a:r>
            <a:rPr lang="fr-FR"/>
            <a:t>La valeur estimée du stock au 31/12 doit être ajoutée au bilan :</a:t>
          </a:r>
        </a:p>
        <a:p>
          <a:pPr lvl="2"/>
          <a:r>
            <a:rPr lang="fr-FR" b="1"/>
            <a:t>Case 2053 - Actifs circulants : Stock et en-cours</a:t>
          </a:r>
          <a:r>
            <a:rPr lang="fr-FR"/>
            <a:t> (colonne correspondant aux stocks de matières premières, marchandises, etc.).</a:t>
          </a:r>
        </a:p>
        <a:p>
          <a:endParaRPr lang="fr-FR" sz="1100" kern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4F89F2-8AD8-42BB-8E23-3092FC3F17DD}" name="parametres_csv3" displayName="parametres_csv3" ref="B5:E15" headerRowCount="0" totalsRowShown="0">
  <tableColumns count="4">
    <tableColumn id="1" xr3:uid="{920940A5-63BC-4509-BF19-F1A3694B6C9B}" name="Column1" dataDxfId="48"/>
    <tableColumn id="2" xr3:uid="{E5FB2E4F-63FF-4082-B57E-18A6D14939FC}" name="Column2" dataDxfId="47"/>
    <tableColumn id="3" xr3:uid="{9C7810AE-530A-4929-92DB-7B5BD6D5F2D1}" name="Column3" dataDxfId="46"/>
    <tableColumn id="4" xr3:uid="{41BFDFC4-FCFE-49AA-A478-4498D2DF4D8E}" name="Colonne1" dataDxfId="45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6E551D-FFE7-4080-BF49-D1EF62C59719}" name="parametres_csv32" displayName="parametres_csv32" ref="A1:D11" headerRowCount="0" totalsRowShown="0" tableBorderDxfId="44">
  <tableColumns count="4">
    <tableColumn id="1" xr3:uid="{87130CAB-4814-42CB-8F9F-7196AE76EED9}" name="Column1" dataDxfId="43"/>
    <tableColumn id="2" xr3:uid="{B7339772-BE4F-4A0F-A11E-6185BC8E9B6C}" name="Column2" dataDxfId="42"/>
    <tableColumn id="3" xr3:uid="{C910386D-C5EC-42D7-87E2-8C17A21D257A}" name="Column3" dataDxfId="41"/>
    <tableColumn id="4" xr3:uid="{2B01DEEB-51B4-4740-8BCC-0403BE042959}" name="Colonne1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pots.gouv.fr/sites/default/files/formulaires/2058-sd/2025/2058-sd_4923.pdf" TargetMode="External"/><Relationship Id="rId2" Type="http://schemas.openxmlformats.org/officeDocument/2006/relationships/hyperlink" Target="https://bank-exit.org/licence" TargetMode="External"/><Relationship Id="rId1" Type="http://schemas.openxmlformats.org/officeDocument/2006/relationships/hyperlink" Target="https://bank-exit.org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33"/>
  <sheetViews>
    <sheetView showGridLines="0" tabSelected="1" zoomScaleNormal="100" workbookViewId="0">
      <selection activeCell="N9" sqref="N9"/>
    </sheetView>
  </sheetViews>
  <sheetFormatPr baseColWidth="10" defaultColWidth="8.796875" defaultRowHeight="14.4" x14ac:dyDescent="0.3"/>
  <cols>
    <col min="1" max="1" width="5.09765625" customWidth="1"/>
    <col min="2" max="2" width="19.3984375" customWidth="1"/>
    <col min="3" max="3" width="13.69921875" customWidth="1"/>
    <col min="4" max="4" width="26.69921875" customWidth="1"/>
    <col min="5" max="5" width="24.19921875" customWidth="1"/>
    <col min="12" max="12" width="4.09765625" customWidth="1"/>
    <col min="13" max="13" width="4.5" customWidth="1"/>
  </cols>
  <sheetData>
    <row r="2" spans="2:19" ht="21.35" customHeight="1" x14ac:dyDescent="0.45">
      <c r="B2" s="61" t="s">
        <v>196</v>
      </c>
      <c r="E2" s="62"/>
      <c r="F2" t="s">
        <v>252</v>
      </c>
      <c r="H2" s="59"/>
      <c r="K2" s="153" t="s">
        <v>320</v>
      </c>
      <c r="M2" s="100"/>
    </row>
    <row r="3" spans="2:19" ht="14.4" customHeight="1" thickBot="1" x14ac:dyDescent="0.4">
      <c r="B3" s="63" t="s">
        <v>253</v>
      </c>
      <c r="C3" s="24"/>
      <c r="D3" s="24"/>
      <c r="E3" s="24"/>
      <c r="F3" s="151" t="s">
        <v>251</v>
      </c>
      <c r="G3" s="24"/>
      <c r="H3" s="151"/>
      <c r="I3" s="24"/>
      <c r="J3" s="24"/>
      <c r="K3" s="152" t="s">
        <v>245</v>
      </c>
      <c r="L3" s="24"/>
      <c r="M3" s="101" t="s">
        <v>217</v>
      </c>
      <c r="N3" s="24"/>
      <c r="O3" s="24"/>
      <c r="P3" s="24"/>
    </row>
    <row r="5" spans="2:19" ht="24.8" customHeight="1" thickBot="1" x14ac:dyDescent="0.35">
      <c r="B5" s="67" t="s">
        <v>192</v>
      </c>
      <c r="C5" s="68" t="s">
        <v>194</v>
      </c>
      <c r="D5" s="68" t="s">
        <v>193</v>
      </c>
      <c r="E5" s="67"/>
      <c r="O5" t="s">
        <v>246</v>
      </c>
      <c r="S5" s="153" t="s">
        <v>270</v>
      </c>
    </row>
    <row r="6" spans="2:19" ht="15.55" thickTop="1" thickBot="1" x14ac:dyDescent="0.35">
      <c r="B6" s="74" t="s">
        <v>3</v>
      </c>
      <c r="C6" s="75" t="s">
        <v>4</v>
      </c>
      <c r="D6" s="76" t="s">
        <v>265</v>
      </c>
      <c r="E6" s="236" t="s">
        <v>323</v>
      </c>
    </row>
    <row r="7" spans="2:19" ht="15.55" thickTop="1" thickBot="1" x14ac:dyDescent="0.35">
      <c r="B7" s="71" t="s">
        <v>6</v>
      </c>
      <c r="C7" s="70" t="s">
        <v>7</v>
      </c>
      <c r="D7" s="72" t="s">
        <v>7</v>
      </c>
      <c r="E7" s="69"/>
      <c r="O7" t="s">
        <v>247</v>
      </c>
    </row>
    <row r="8" spans="2:19" ht="15.55" thickTop="1" thickBot="1" x14ac:dyDescent="0.35">
      <c r="B8" s="74" t="s">
        <v>8</v>
      </c>
      <c r="C8" s="75" t="s">
        <v>239</v>
      </c>
      <c r="D8" s="76" t="s">
        <v>223</v>
      </c>
      <c r="E8" s="150" t="s">
        <v>254</v>
      </c>
      <c r="O8" t="s">
        <v>248</v>
      </c>
    </row>
    <row r="9" spans="2:19" ht="15.55" thickTop="1" thickBot="1" x14ac:dyDescent="0.35">
      <c r="B9" s="71" t="s">
        <v>11</v>
      </c>
      <c r="C9" s="73">
        <f ca="1">YEAR(TODAY())</f>
        <v>2025</v>
      </c>
      <c r="D9" s="225"/>
      <c r="E9" s="69"/>
      <c r="O9" t="s">
        <v>249</v>
      </c>
    </row>
    <row r="10" spans="2:19" ht="15.55" thickTop="1" thickBot="1" x14ac:dyDescent="0.35">
      <c r="B10" s="74" t="s">
        <v>13</v>
      </c>
      <c r="C10" s="75" t="s">
        <v>14</v>
      </c>
      <c r="D10" s="76"/>
      <c r="E10" s="77" t="s">
        <v>197</v>
      </c>
    </row>
    <row r="11" spans="2:19" ht="15.55" thickTop="1" thickBot="1" x14ac:dyDescent="0.35">
      <c r="B11" s="71" t="s">
        <v>312</v>
      </c>
      <c r="C11" s="149">
        <v>170</v>
      </c>
      <c r="D11" s="72" t="s">
        <v>181</v>
      </c>
      <c r="E11" s="154" t="s">
        <v>244</v>
      </c>
      <c r="G11" s="87"/>
      <c r="O11" t="s">
        <v>250</v>
      </c>
    </row>
    <row r="12" spans="2:19" ht="15.55" thickTop="1" thickBot="1" x14ac:dyDescent="0.35">
      <c r="B12" s="187" t="s">
        <v>301</v>
      </c>
      <c r="C12" s="188">
        <v>0</v>
      </c>
      <c r="D12" s="189" t="s">
        <v>164</v>
      </c>
      <c r="E12" s="190" t="s">
        <v>303</v>
      </c>
      <c r="H12" s="9" t="s">
        <v>172</v>
      </c>
      <c r="O12" s="155" t="s">
        <v>276</v>
      </c>
    </row>
    <row r="13" spans="2:19" ht="15.55" thickTop="1" thickBot="1" x14ac:dyDescent="0.35">
      <c r="B13" s="71" t="s">
        <v>313</v>
      </c>
      <c r="C13" s="149">
        <v>89000</v>
      </c>
      <c r="D13" s="72" t="s">
        <v>182</v>
      </c>
      <c r="E13" s="154" t="s">
        <v>244</v>
      </c>
      <c r="H13" s="55"/>
    </row>
    <row r="14" spans="2:19" ht="15.55" thickTop="1" thickBot="1" x14ac:dyDescent="0.35">
      <c r="B14" s="226" t="s">
        <v>302</v>
      </c>
      <c r="C14" s="227">
        <v>0</v>
      </c>
      <c r="D14" s="228" t="s">
        <v>165</v>
      </c>
      <c r="E14" s="229" t="s">
        <v>291</v>
      </c>
      <c r="O14" t="s">
        <v>255</v>
      </c>
    </row>
    <row r="15" spans="2:19" ht="15.55" thickTop="1" thickBot="1" x14ac:dyDescent="0.35">
      <c r="B15" s="71" t="s">
        <v>98</v>
      </c>
      <c r="C15" s="70">
        <v>85800</v>
      </c>
      <c r="D15" s="72" t="s">
        <v>99</v>
      </c>
      <c r="E15" s="69"/>
      <c r="O15" s="49" t="s">
        <v>268</v>
      </c>
    </row>
    <row r="16" spans="2:19" ht="15" thickTop="1" x14ac:dyDescent="0.3">
      <c r="O16" s="44" t="s">
        <v>271</v>
      </c>
    </row>
    <row r="17" spans="2:23" x14ac:dyDescent="0.3">
      <c r="O17" s="44" t="s">
        <v>272</v>
      </c>
    </row>
    <row r="18" spans="2:23" x14ac:dyDescent="0.3">
      <c r="B18" s="233" t="s">
        <v>314</v>
      </c>
      <c r="C18" s="234"/>
      <c r="D18" s="5"/>
      <c r="F18" s="212" t="s">
        <v>212</v>
      </c>
      <c r="G18" s="213"/>
      <c r="H18" s="213"/>
      <c r="I18" s="213"/>
      <c r="O18" s="49" t="s">
        <v>273</v>
      </c>
    </row>
    <row r="19" spans="2:23" ht="81.8" customHeight="1" x14ac:dyDescent="0.3">
      <c r="B19" s="216" t="s">
        <v>316</v>
      </c>
      <c r="C19" s="216"/>
      <c r="O19" s="217" t="s">
        <v>275</v>
      </c>
      <c r="P19" s="217"/>
      <c r="Q19" s="217"/>
      <c r="R19" s="217"/>
      <c r="S19" s="217"/>
      <c r="T19" s="217"/>
      <c r="U19" s="217"/>
      <c r="V19" s="217"/>
    </row>
    <row r="20" spans="2:23" ht="11.55" customHeight="1" x14ac:dyDescent="0.3">
      <c r="B20" s="82"/>
      <c r="C20" s="82"/>
      <c r="O20" s="218" t="s">
        <v>274</v>
      </c>
      <c r="P20" s="218"/>
      <c r="Q20" s="218"/>
      <c r="R20" s="218"/>
      <c r="S20" s="218"/>
      <c r="T20" s="218"/>
      <c r="U20" s="218"/>
    </row>
    <row r="21" spans="2:23" ht="55.9" customHeight="1" x14ac:dyDescent="0.3">
      <c r="B21" s="216" t="s">
        <v>315</v>
      </c>
      <c r="C21" s="216"/>
      <c r="O21" s="214" t="s">
        <v>269</v>
      </c>
      <c r="P21" s="214"/>
      <c r="Q21" s="214"/>
      <c r="R21" s="214"/>
      <c r="S21" s="214"/>
      <c r="T21" s="214"/>
    </row>
    <row r="22" spans="2:23" ht="9.4" customHeight="1" x14ac:dyDescent="0.3">
      <c r="H22" s="2"/>
    </row>
    <row r="23" spans="2:23" ht="14.4" customHeight="1" x14ac:dyDescent="0.3">
      <c r="B23" s="232" t="s">
        <v>317</v>
      </c>
      <c r="C23" s="232"/>
      <c r="O23" s="159" t="s">
        <v>264</v>
      </c>
    </row>
    <row r="24" spans="2:23" x14ac:dyDescent="0.3">
      <c r="B24" s="232"/>
      <c r="C24" s="232"/>
      <c r="D24" s="235" t="s">
        <v>318</v>
      </c>
      <c r="O24" s="215" t="s">
        <v>267</v>
      </c>
      <c r="P24" s="215"/>
      <c r="Q24" s="215"/>
      <c r="R24" s="215"/>
      <c r="S24" s="215"/>
      <c r="T24" s="215"/>
      <c r="U24" s="215"/>
      <c r="V24" s="215"/>
      <c r="W24" s="215"/>
    </row>
    <row r="25" spans="2:23" x14ac:dyDescent="0.3">
      <c r="B25" s="232"/>
      <c r="C25" s="232"/>
      <c r="O25" s="215"/>
      <c r="P25" s="215"/>
      <c r="Q25" s="215"/>
      <c r="R25" s="215"/>
      <c r="S25" s="215"/>
      <c r="T25" s="215"/>
      <c r="U25" s="215"/>
      <c r="V25" s="215"/>
      <c r="W25" s="215"/>
    </row>
    <row r="26" spans="2:23" ht="15.55" customHeight="1" x14ac:dyDescent="0.3">
      <c r="O26" s="215" t="s">
        <v>266</v>
      </c>
      <c r="P26" s="215"/>
      <c r="Q26" s="215"/>
      <c r="R26" s="215"/>
      <c r="S26" s="215"/>
      <c r="T26" s="215"/>
      <c r="U26" s="215"/>
      <c r="V26" s="215"/>
      <c r="W26" s="215"/>
    </row>
    <row r="27" spans="2:23" ht="15.55" customHeight="1" x14ac:dyDescent="0.3">
      <c r="B27" s="88" t="s">
        <v>211</v>
      </c>
      <c r="C27" s="80"/>
      <c r="D27" s="81"/>
      <c r="E27" s="81"/>
      <c r="O27" s="215"/>
      <c r="P27" s="215"/>
      <c r="Q27" s="215"/>
      <c r="R27" s="215"/>
      <c r="S27" s="215"/>
      <c r="T27" s="215"/>
      <c r="U27" s="215"/>
      <c r="V27" s="215"/>
      <c r="W27" s="215"/>
    </row>
    <row r="28" spans="2:23" x14ac:dyDescent="0.3">
      <c r="B28" s="79" t="s">
        <v>192</v>
      </c>
      <c r="C28" s="118" t="s">
        <v>210</v>
      </c>
      <c r="D28" s="118" t="s">
        <v>304</v>
      </c>
      <c r="E28" s="120" t="s">
        <v>221</v>
      </c>
    </row>
    <row r="29" spans="2:23" x14ac:dyDescent="0.3">
      <c r="O29" s="2" t="s">
        <v>150</v>
      </c>
    </row>
    <row r="30" spans="2:23" ht="14.4" customHeight="1" thickBot="1" x14ac:dyDescent="0.35">
      <c r="O30" t="s">
        <v>151</v>
      </c>
    </row>
    <row r="31" spans="2:23" ht="31.7" customHeight="1" thickTop="1" x14ac:dyDescent="0.3">
      <c r="O31" s="83" t="s">
        <v>152</v>
      </c>
      <c r="P31" s="84"/>
    </row>
    <row r="32" spans="2:23" ht="15" thickBot="1" x14ac:dyDescent="0.35">
      <c r="O32" s="85" t="str">
        <f>IF(AND(AND('02_Bitrequest_import'!AB6:AE14)=TRUE,AND('03_Tout_autre_wallet'!AB6:AE14)=TRUE),"OK","Erreur")</f>
        <v>OK</v>
      </c>
      <c r="P32" s="86"/>
    </row>
    <row r="33" ht="15" thickTop="1" x14ac:dyDescent="0.3"/>
  </sheetData>
  <mergeCells count="10">
    <mergeCell ref="F18:I18"/>
    <mergeCell ref="B23:C25"/>
    <mergeCell ref="O21:T21"/>
    <mergeCell ref="O24:W25"/>
    <mergeCell ref="O26:W27"/>
    <mergeCell ref="B19:C19"/>
    <mergeCell ref="B21:C21"/>
    <mergeCell ref="O19:V19"/>
    <mergeCell ref="O20:U20"/>
    <mergeCell ref="B18:C18"/>
  </mergeCells>
  <conditionalFormatting sqref="E25 O32">
    <cfRule type="cellIs" dxfId="40" priority="1" operator="equal">
      <formula>"Erreur"</formula>
    </cfRule>
    <cfRule type="cellIs" dxfId="39" priority="2" operator="equal">
      <formula>"OK"</formula>
    </cfRule>
  </conditionalFormatting>
  <hyperlinks>
    <hyperlink ref="C28" location="'02_Bitrequest_import'!A1" display="Bitrequest import" xr:uid="{2F56F84B-DDCC-451E-9EEB-895162B5B243}"/>
    <hyperlink ref="E28" location="'04_Resultats_Comptables'!A1" display="Résultats comptables" xr:uid="{97B97A9B-208C-4662-9625-D225C3C5349E}"/>
    <hyperlink ref="K3" r:id="rId1" xr:uid="{307B2E09-20B1-4549-A3FC-62609BBC770E}"/>
    <hyperlink ref="O12" r:id="rId2" xr:uid="{A6E6C1CA-6C73-44A0-9B0F-325C90C054B5}"/>
    <hyperlink ref="O20" r:id="rId3" display="https://www.impots.gouv.fr/sites/default/files/formulaires/2058-sd/2025/2058-sd_4923.pdf" xr:uid="{319945B0-9E7F-4617-BE42-599F21203255}"/>
    <hyperlink ref="D28" location="'03_Tout_autre_wallet'!A1" display="Tout autre wallet" xr:uid="{1F2C86BD-DF57-40FD-A5EC-9ED4896A6073}"/>
  </hyperlinks>
  <pageMargins left="0.7" right="0.7" top="0.75" bottom="0.75" header="0.3" footer="0.3"/>
  <pageSetup paperSize="9" scale="58" orientation="portrait" r:id="rId4"/>
  <colBreaks count="1" manualBreakCount="1">
    <brk id="13" max="32" man="1"/>
  </colBreaks>
  <ignoredErrors>
    <ignoredError sqref="C10 M3" numberStoredAsText="1"/>
  </ignoredErrors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BFA0-532D-4AD0-BA05-606A9AE955B6}">
  <dimension ref="A1:L23"/>
  <sheetViews>
    <sheetView zoomScaleNormal="100" workbookViewId="0">
      <selection activeCell="E31" sqref="E31"/>
    </sheetView>
  </sheetViews>
  <sheetFormatPr baseColWidth="10" defaultColWidth="8.796875" defaultRowHeight="14.4" x14ac:dyDescent="0.3"/>
  <cols>
    <col min="1" max="1" width="17.3984375" customWidth="1"/>
  </cols>
  <sheetData>
    <row r="1" spans="1:12" x14ac:dyDescent="0.3">
      <c r="A1" s="32" t="s">
        <v>0</v>
      </c>
      <c r="B1" s="32" t="s">
        <v>1</v>
      </c>
      <c r="C1" s="33" t="s">
        <v>2</v>
      </c>
      <c r="D1" s="34"/>
    </row>
    <row r="2" spans="1:12" x14ac:dyDescent="0.3">
      <c r="A2" t="s">
        <v>3</v>
      </c>
      <c r="B2" s="35" t="s">
        <v>4</v>
      </c>
      <c r="C2" s="36" t="s">
        <v>5</v>
      </c>
    </row>
    <row r="3" spans="1:12" x14ac:dyDescent="0.3">
      <c r="A3" t="s">
        <v>6</v>
      </c>
      <c r="B3" s="35" t="s">
        <v>7</v>
      </c>
      <c r="C3" s="36" t="s">
        <v>7</v>
      </c>
    </row>
    <row r="4" spans="1:12" x14ac:dyDescent="0.3">
      <c r="A4" t="s">
        <v>8</v>
      </c>
      <c r="B4" s="35" t="s">
        <v>9</v>
      </c>
      <c r="C4" s="36" t="s">
        <v>10</v>
      </c>
      <c r="D4" t="s">
        <v>15</v>
      </c>
    </row>
    <row r="5" spans="1:12" x14ac:dyDescent="0.3">
      <c r="A5" t="s">
        <v>11</v>
      </c>
      <c r="B5" s="35">
        <v>2024</v>
      </c>
      <c r="C5" s="37" t="s">
        <v>65</v>
      </c>
    </row>
    <row r="6" spans="1:12" x14ac:dyDescent="0.3">
      <c r="A6" t="s">
        <v>13</v>
      </c>
      <c r="B6" s="35" t="s">
        <v>14</v>
      </c>
      <c r="C6" s="36" t="s">
        <v>12</v>
      </c>
      <c r="D6" t="s">
        <v>16</v>
      </c>
      <c r="L6" s="3"/>
    </row>
    <row r="7" spans="1:12" x14ac:dyDescent="0.3">
      <c r="A7" t="s">
        <v>95</v>
      </c>
      <c r="B7" s="9">
        <v>190</v>
      </c>
      <c r="C7" s="36" t="s">
        <v>181</v>
      </c>
      <c r="D7" s="9" t="s">
        <v>187</v>
      </c>
      <c r="F7" s="9" t="s">
        <v>171</v>
      </c>
    </row>
    <row r="8" spans="1:12" x14ac:dyDescent="0.3">
      <c r="A8" t="s">
        <v>96</v>
      </c>
      <c r="B8" s="9"/>
      <c r="C8" s="36" t="s">
        <v>182</v>
      </c>
      <c r="G8" s="9" t="s">
        <v>172</v>
      </c>
    </row>
    <row r="9" spans="1:12" x14ac:dyDescent="0.3">
      <c r="A9" t="s">
        <v>147</v>
      </c>
      <c r="B9" s="38">
        <v>5</v>
      </c>
      <c r="C9" s="36" t="s">
        <v>164</v>
      </c>
      <c r="G9" s="55" t="s">
        <v>178</v>
      </c>
    </row>
    <row r="10" spans="1:12" x14ac:dyDescent="0.3">
      <c r="A10" t="s">
        <v>97</v>
      </c>
      <c r="B10" s="38">
        <v>0</v>
      </c>
      <c r="C10" s="36" t="s">
        <v>165</v>
      </c>
    </row>
    <row r="11" spans="1:12" x14ac:dyDescent="0.3">
      <c r="A11" t="s">
        <v>98</v>
      </c>
      <c r="B11">
        <v>85800</v>
      </c>
      <c r="C11" s="36" t="s">
        <v>99</v>
      </c>
    </row>
    <row r="14" spans="1:12" x14ac:dyDescent="0.3">
      <c r="B14" s="19"/>
      <c r="C14" s="5"/>
    </row>
    <row r="15" spans="1:12" x14ac:dyDescent="0.3">
      <c r="B15" s="2" t="s">
        <v>150</v>
      </c>
    </row>
    <row r="16" spans="1:12" x14ac:dyDescent="0.3">
      <c r="B16" t="s">
        <v>151</v>
      </c>
    </row>
    <row r="17" spans="1:3" ht="15" thickBot="1" x14ac:dyDescent="0.35"/>
    <row r="18" spans="1:3" x14ac:dyDescent="0.3">
      <c r="B18" s="30" t="s">
        <v>152</v>
      </c>
      <c r="C18" s="31"/>
    </row>
    <row r="19" spans="1:3" ht="15" thickBot="1" x14ac:dyDescent="0.35">
      <c r="B19" s="23" t="str">
        <f>IF(AND('02_Bitrequest_import'!AB6:AE14)=TRUE,"OK","Erreur")</f>
        <v>OK</v>
      </c>
      <c r="C19" s="25"/>
    </row>
    <row r="20" spans="1:3" x14ac:dyDescent="0.3">
      <c r="B20" s="6"/>
    </row>
    <row r="23" spans="1:3" x14ac:dyDescent="0.3">
      <c r="A23" s="53" t="s">
        <v>188</v>
      </c>
    </row>
  </sheetData>
  <conditionalFormatting sqref="B19">
    <cfRule type="cellIs" dxfId="38" priority="1" operator="equal">
      <formula>"Erreur"</formula>
    </cfRule>
    <cfRule type="cellIs" dxfId="37" priority="2" operator="equal">
      <formula>"OK"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7E5E-FCB7-448D-AC8D-BA47A8917B46}">
  <dimension ref="A1:AE32"/>
  <sheetViews>
    <sheetView showGridLines="0" zoomScale="115" zoomScaleNormal="115" workbookViewId="0">
      <selection activeCell="G2" sqref="G2"/>
    </sheetView>
  </sheetViews>
  <sheetFormatPr baseColWidth="10" defaultRowHeight="14.4" x14ac:dyDescent="0.3"/>
  <cols>
    <col min="1" max="1" width="4.19921875" customWidth="1"/>
    <col min="2" max="2" width="14.5" customWidth="1"/>
    <col min="3" max="3" width="17.796875" customWidth="1"/>
    <col min="8" max="8" width="15.8984375" customWidth="1"/>
    <col min="12" max="12" width="15.19921875" customWidth="1"/>
    <col min="15" max="15" width="5.296875" customWidth="1"/>
    <col min="16" max="16" width="15.19921875" bestFit="1" customWidth="1"/>
    <col min="26" max="26" width="9.19921875" customWidth="1"/>
  </cols>
  <sheetData>
    <row r="1" spans="1:31" ht="5.8" customHeight="1" x14ac:dyDescent="0.3">
      <c r="N1" s="100"/>
      <c r="O1" s="202"/>
    </row>
    <row r="2" spans="1:31" ht="17.3" x14ac:dyDescent="0.3">
      <c r="B2" s="60" t="s">
        <v>222</v>
      </c>
      <c r="N2" s="100"/>
      <c r="O2" s="202"/>
      <c r="P2" s="203"/>
    </row>
    <row r="3" spans="1:31" ht="18.45" thickBot="1" x14ac:dyDescent="0.4">
      <c r="B3" s="109" t="s">
        <v>220</v>
      </c>
      <c r="C3" s="24"/>
      <c r="D3" s="24"/>
      <c r="E3" s="24"/>
      <c r="F3" s="24"/>
      <c r="G3" s="24"/>
      <c r="H3" s="64"/>
      <c r="I3" s="24"/>
      <c r="J3" s="24"/>
      <c r="K3" s="24"/>
      <c r="L3" s="24"/>
      <c r="M3" s="24"/>
      <c r="N3" s="101" t="s">
        <v>218</v>
      </c>
      <c r="O3" s="202"/>
      <c r="T3" s="165" t="s">
        <v>307</v>
      </c>
    </row>
    <row r="4" spans="1:31" x14ac:dyDescent="0.3">
      <c r="O4" s="202"/>
    </row>
    <row r="5" spans="1:31" s="2" customFormat="1" ht="17.850000000000001" customHeight="1" x14ac:dyDescent="0.3">
      <c r="A5" s="105"/>
      <c r="B5" s="103" t="s">
        <v>17</v>
      </c>
      <c r="C5" s="104" t="s">
        <v>18</v>
      </c>
      <c r="D5" s="104" t="s">
        <v>19</v>
      </c>
      <c r="E5" s="104" t="s">
        <v>20</v>
      </c>
      <c r="F5" s="104" t="s">
        <v>21</v>
      </c>
      <c r="G5" s="104" t="s">
        <v>22</v>
      </c>
      <c r="H5" s="104" t="s">
        <v>23</v>
      </c>
      <c r="I5" s="103" t="s">
        <v>24</v>
      </c>
      <c r="J5" s="103" t="s">
        <v>25</v>
      </c>
      <c r="K5" s="104" t="s">
        <v>26</v>
      </c>
      <c r="L5" s="104" t="s">
        <v>27</v>
      </c>
      <c r="M5" s="104" t="s">
        <v>28</v>
      </c>
      <c r="N5" s="107" t="s">
        <v>29</v>
      </c>
      <c r="O5" s="202"/>
      <c r="P5" s="2" t="s">
        <v>68</v>
      </c>
      <c r="Q5" s="2" t="s">
        <v>67</v>
      </c>
      <c r="R5" s="2" t="s">
        <v>52</v>
      </c>
      <c r="S5" s="2" t="s">
        <v>66</v>
      </c>
      <c r="T5" s="2" t="s">
        <v>53</v>
      </c>
      <c r="U5" s="26" t="s">
        <v>54</v>
      </c>
      <c r="V5" s="2" t="s">
        <v>55</v>
      </c>
      <c r="W5" s="2" t="s">
        <v>56</v>
      </c>
      <c r="X5" s="2" t="s">
        <v>57</v>
      </c>
      <c r="Y5" s="47" t="s">
        <v>58</v>
      </c>
      <c r="Z5" s="49" t="s">
        <v>69</v>
      </c>
      <c r="AB5" s="89" t="s">
        <v>71</v>
      </c>
      <c r="AC5" s="90" t="s">
        <v>72</v>
      </c>
      <c r="AD5" s="90" t="s">
        <v>157</v>
      </c>
      <c r="AE5" s="90" t="s">
        <v>153</v>
      </c>
    </row>
    <row r="6" spans="1:31" x14ac:dyDescent="0.3">
      <c r="A6" s="108">
        <v>1</v>
      </c>
      <c r="B6" s="65" t="s">
        <v>30</v>
      </c>
      <c r="C6" s="66" t="s">
        <v>31</v>
      </c>
      <c r="D6" s="66" t="s">
        <v>32</v>
      </c>
      <c r="E6" s="93" t="s">
        <v>33</v>
      </c>
      <c r="F6" s="66" t="s">
        <v>12</v>
      </c>
      <c r="G6" s="66" t="s">
        <v>34</v>
      </c>
      <c r="H6" s="96">
        <v>45292.385416666664</v>
      </c>
      <c r="I6" s="65" t="s">
        <v>44</v>
      </c>
      <c r="J6" s="97" t="s">
        <v>35</v>
      </c>
      <c r="K6" s="66" t="s">
        <v>158</v>
      </c>
      <c r="L6" s="99">
        <v>45292.385416666664</v>
      </c>
      <c r="M6" s="93" t="s">
        <v>36</v>
      </c>
      <c r="N6" s="108" t="s">
        <v>37</v>
      </c>
      <c r="O6" s="202"/>
      <c r="P6" s="200">
        <f t="shared" ref="P6:P14" si="0">DATE( YEAR(H6), MONTH(H6),DAY(H6))</f>
        <v>45292</v>
      </c>
      <c r="Q6" s="8">
        <f>_xlfn.NUMBERVALUE(SUBSTITUTE(SUBSTITUTE(I6," xmr",""),".",","))</f>
        <v>0.25</v>
      </c>
      <c r="R6" t="str">
        <f>IF(G6="incoming","Entrée",IF(G6="outgoing","Sortie","ERREUR"))</f>
        <v>Entrée</v>
      </c>
      <c r="S6" s="197">
        <f>T6/Q6</f>
        <v>154</v>
      </c>
      <c r="T6" s="8">
        <f>_xlfn.NUMBERVALUE(SUBSTITUTE(SUBSTITUTE(K6," EUR",""),".",","))</f>
        <v>38.5</v>
      </c>
      <c r="U6" s="27" t="str">
        <f>CONCATENATE(YEAR(P6),"-",ROW(P6)-5)</f>
        <v>2024-1</v>
      </c>
      <c r="V6" s="9">
        <f>IF(R6="Entrée",Q6,0)</f>
        <v>0.25</v>
      </c>
      <c r="W6" s="43">
        <f>IF(R6="Sortie",VLOOKUP(P6,CUMP_Calculs!B:G,6,TRUE), S6)</f>
        <v>154</v>
      </c>
      <c r="X6" s="8">
        <f>IF(R6="Sortie",Q6*W6,IF(R6="Entrée",0,"ERREUR"))</f>
        <v>0</v>
      </c>
      <c r="Y6" s="48">
        <f t="shared" ref="Y6:Y9" si="1">IF(R6="Sortie",T6-X6,IF(R6="Entrée",0,"ERREUR"))</f>
        <v>0</v>
      </c>
      <c r="Z6" s="44" t="s">
        <v>70</v>
      </c>
      <c r="AB6" s="91" t="b">
        <f>AND(ISNUMBER(Q6),Q6&gt;0)</f>
        <v>1</v>
      </c>
      <c r="AC6" s="5" t="b">
        <f>AND(ISNUMBER(S6),S6&gt;0)</f>
        <v>1</v>
      </c>
      <c r="AD6" s="5" t="b">
        <f>IF(AND(P6&gt;P5,ROW()&gt;5),TRUE,IF(ROW()=6,TRUE,FALSE))</f>
        <v>1</v>
      </c>
      <c r="AE6" s="5" t="b">
        <f t="shared" ref="AE6:AE14" si="2">IF(X6="ERREUR",FALSE,TRUE)</f>
        <v>1</v>
      </c>
    </row>
    <row r="7" spans="1:31" x14ac:dyDescent="0.3">
      <c r="A7" s="108">
        <f>IF(B7&lt;&gt;"",A6+1,"")</f>
        <v>2</v>
      </c>
      <c r="B7" s="65" t="s">
        <v>38</v>
      </c>
      <c r="C7" s="66" t="s">
        <v>39</v>
      </c>
      <c r="D7" s="66" t="s">
        <v>32</v>
      </c>
      <c r="E7" s="93" t="s">
        <v>33</v>
      </c>
      <c r="F7" s="66" t="s">
        <v>12</v>
      </c>
      <c r="G7" s="66" t="s">
        <v>34</v>
      </c>
      <c r="H7" s="96">
        <v>45306.604166666664</v>
      </c>
      <c r="I7" s="65" t="s">
        <v>40</v>
      </c>
      <c r="J7" s="97" t="s">
        <v>40</v>
      </c>
      <c r="K7" s="66" t="s">
        <v>159</v>
      </c>
      <c r="L7" s="99">
        <v>45306.604166666664</v>
      </c>
      <c r="M7" s="93" t="s">
        <v>36</v>
      </c>
      <c r="N7" s="108" t="s">
        <v>41</v>
      </c>
      <c r="O7" s="202"/>
      <c r="P7" s="200">
        <f t="shared" si="0"/>
        <v>45306</v>
      </c>
      <c r="Q7" s="8">
        <f t="shared" ref="Q7:Q14" si="3">_xlfn.NUMBERVALUE(SUBSTITUTE(SUBSTITUTE(I7," xmr",""),".",","))</f>
        <v>0.15</v>
      </c>
      <c r="R7" t="str">
        <f t="shared" ref="R7:R14" si="4">IF(G7="incoming","Entrée",IF(G7="outgoing","Sortie","ERREUR"))</f>
        <v>Entrée</v>
      </c>
      <c r="S7" s="197">
        <f t="shared" ref="S7:S14" si="5">T7/Q7</f>
        <v>148.33333333333334</v>
      </c>
      <c r="T7" s="8">
        <f t="shared" ref="T7:T14" si="6">_xlfn.NUMBERVALUE(SUBSTITUTE(SUBSTITUTE(K7," EUR",""),".",","))</f>
        <v>22.25</v>
      </c>
      <c r="U7" s="27" t="str">
        <f t="shared" ref="U7:U14" si="7">CONCATENATE(YEAR(P7),"-",ROW(P7)-5)</f>
        <v>2024-2</v>
      </c>
      <c r="V7">
        <f>IF(R7="Entrée",V6+Q7,V6-Q7)</f>
        <v>0.4</v>
      </c>
      <c r="W7" s="43">
        <f>IF(R7="Sortie",VLOOKUP(P7,CUMP_Calculs!B:G,6,TRUE), S7)</f>
        <v>148.33333333333334</v>
      </c>
      <c r="X7" s="8">
        <f t="shared" ref="X7:X14" si="8">IF(R7="Sortie",Q7*W7,IF(R7="Entrée",0,"ERREUR"))</f>
        <v>0</v>
      </c>
      <c r="Y7" s="48">
        <f t="shared" si="1"/>
        <v>0</v>
      </c>
      <c r="Z7" s="44"/>
      <c r="AB7" s="91" t="b">
        <f t="shared" ref="AB7:AB14" si="9">AND(ISNUMBER(Q7),Q7&gt;0)</f>
        <v>1</v>
      </c>
      <c r="AC7" s="5" t="b">
        <f t="shared" ref="AC7:AC14" si="10">AND(ISNUMBER(S7),S7&gt;0)</f>
        <v>1</v>
      </c>
      <c r="AD7" s="5" t="b">
        <f t="shared" ref="AD7:AD14" si="11">IF(AND(P7&gt;P6,ROW()&gt;5),TRUE,IF(ROW()=6,TRUE,FALSE))</f>
        <v>1</v>
      </c>
      <c r="AE7" s="5" t="b">
        <f t="shared" si="2"/>
        <v>1</v>
      </c>
    </row>
    <row r="8" spans="1:31" x14ac:dyDescent="0.3">
      <c r="A8" s="108">
        <f t="shared" ref="A8:A16" si="12">IF(B8&lt;&gt;"",A7+1,"")</f>
        <v>3</v>
      </c>
      <c r="B8" s="65" t="s">
        <v>42</v>
      </c>
      <c r="C8" s="66" t="s">
        <v>43</v>
      </c>
      <c r="D8" s="66" t="s">
        <v>32</v>
      </c>
      <c r="E8" s="93" t="s">
        <v>33</v>
      </c>
      <c r="F8" s="66" t="s">
        <v>12</v>
      </c>
      <c r="G8" s="66" t="s">
        <v>48</v>
      </c>
      <c r="H8" s="96">
        <v>45323.416666666664</v>
      </c>
      <c r="I8" s="65" t="s">
        <v>44</v>
      </c>
      <c r="J8" s="97" t="s">
        <v>44</v>
      </c>
      <c r="K8" s="66" t="s">
        <v>45</v>
      </c>
      <c r="L8" s="99">
        <v>45323.416666666664</v>
      </c>
      <c r="M8" s="93" t="s">
        <v>36</v>
      </c>
      <c r="N8" s="108" t="s">
        <v>46</v>
      </c>
      <c r="O8" s="202"/>
      <c r="P8" s="200">
        <f t="shared" si="0"/>
        <v>45323</v>
      </c>
      <c r="Q8" s="8">
        <f t="shared" si="3"/>
        <v>0.25</v>
      </c>
      <c r="R8" t="str">
        <f t="shared" si="4"/>
        <v>Sortie</v>
      </c>
      <c r="S8" s="197">
        <f t="shared" si="5"/>
        <v>260</v>
      </c>
      <c r="T8" s="8">
        <f t="shared" si="6"/>
        <v>65</v>
      </c>
      <c r="U8" s="27" t="str">
        <f t="shared" si="7"/>
        <v>2024-3</v>
      </c>
      <c r="V8">
        <f t="shared" ref="V8:V14" si="13">IF(R8="Entrée",V7+Q8,V7-Q8)</f>
        <v>0.15000000000000002</v>
      </c>
      <c r="W8" s="43">
        <f>IF(R8="Sortie",VLOOKUP(P8,CUMP_Calculs!B:G,6,TRUE), S8)</f>
        <v>151.875</v>
      </c>
      <c r="X8" s="8">
        <f>IF(R8="Sortie",Q8*W8,IF(R8="Entrée",0,"ERREUR"))</f>
        <v>37.96875</v>
      </c>
      <c r="Y8" s="48">
        <f t="shared" si="1"/>
        <v>27.03125</v>
      </c>
      <c r="Z8" s="44"/>
      <c r="AB8" s="91" t="b">
        <f t="shared" si="9"/>
        <v>1</v>
      </c>
      <c r="AC8" s="5" t="b">
        <f t="shared" si="10"/>
        <v>1</v>
      </c>
      <c r="AD8" s="5" t="b">
        <f t="shared" si="11"/>
        <v>1</v>
      </c>
      <c r="AE8" s="5" t="b">
        <f t="shared" si="2"/>
        <v>1</v>
      </c>
    </row>
    <row r="9" spans="1:31" x14ac:dyDescent="0.3">
      <c r="A9" s="108">
        <f t="shared" si="12"/>
        <v>4</v>
      </c>
      <c r="B9" s="65" t="s">
        <v>310</v>
      </c>
      <c r="C9" s="66" t="s">
        <v>47</v>
      </c>
      <c r="D9" s="66" t="s">
        <v>32</v>
      </c>
      <c r="E9" s="93" t="s">
        <v>33</v>
      </c>
      <c r="F9" s="66" t="s">
        <v>12</v>
      </c>
      <c r="G9" s="66" t="s">
        <v>34</v>
      </c>
      <c r="H9" s="96">
        <v>45337.697916666664</v>
      </c>
      <c r="I9" s="65" t="s">
        <v>49</v>
      </c>
      <c r="J9" s="97" t="s">
        <v>49</v>
      </c>
      <c r="K9" s="66" t="s">
        <v>50</v>
      </c>
      <c r="L9" s="99">
        <v>45337.697916666664</v>
      </c>
      <c r="M9" s="93" t="s">
        <v>36</v>
      </c>
      <c r="N9" s="108" t="s">
        <v>51</v>
      </c>
      <c r="O9" s="202"/>
      <c r="P9" s="200">
        <f t="shared" si="0"/>
        <v>45337</v>
      </c>
      <c r="Q9" s="8">
        <f t="shared" si="3"/>
        <v>0.3</v>
      </c>
      <c r="R9" t="str">
        <f t="shared" si="4"/>
        <v>Entrée</v>
      </c>
      <c r="S9" s="197">
        <f t="shared" si="5"/>
        <v>270</v>
      </c>
      <c r="T9" s="8">
        <f t="shared" si="6"/>
        <v>81</v>
      </c>
      <c r="U9" s="27" t="str">
        <f t="shared" si="7"/>
        <v>2024-4</v>
      </c>
      <c r="V9">
        <f t="shared" si="13"/>
        <v>0.45</v>
      </c>
      <c r="W9" s="43">
        <f>IF(R9="Sortie",VLOOKUP(P9,CUMP_Calculs!B:G,6,TRUE), S9)</f>
        <v>270</v>
      </c>
      <c r="X9" s="8">
        <f t="shared" si="8"/>
        <v>0</v>
      </c>
      <c r="Y9" s="48">
        <f t="shared" si="1"/>
        <v>0</v>
      </c>
      <c r="Z9" s="44"/>
      <c r="AB9" s="91" t="b">
        <f t="shared" si="9"/>
        <v>1</v>
      </c>
      <c r="AC9" s="5" t="b">
        <f t="shared" si="10"/>
        <v>1</v>
      </c>
      <c r="AD9" s="5" t="b">
        <f t="shared" si="11"/>
        <v>1</v>
      </c>
      <c r="AE9" s="5" t="b">
        <f t="shared" si="2"/>
        <v>1</v>
      </c>
    </row>
    <row r="10" spans="1:31" x14ac:dyDescent="0.3">
      <c r="A10" s="108" t="str">
        <f t="shared" si="12"/>
        <v/>
      </c>
      <c r="B10" s="65"/>
      <c r="C10" s="66"/>
      <c r="D10" s="95"/>
      <c r="E10" s="94"/>
      <c r="F10" s="66"/>
      <c r="G10" s="95"/>
      <c r="H10" s="96"/>
      <c r="I10" s="65"/>
      <c r="J10" s="97"/>
      <c r="K10" s="66"/>
      <c r="L10" s="99"/>
      <c r="M10" s="93"/>
      <c r="N10" s="108"/>
      <c r="O10" s="202"/>
      <c r="P10" s="200"/>
      <c r="Q10" s="8"/>
      <c r="S10" s="197"/>
      <c r="T10" s="8"/>
      <c r="U10" s="27"/>
      <c r="W10" s="43"/>
      <c r="X10" s="8"/>
      <c r="Y10" s="48"/>
      <c r="Z10" s="44" t="s">
        <v>154</v>
      </c>
      <c r="AB10" s="91"/>
      <c r="AC10" s="5"/>
      <c r="AD10" s="5"/>
      <c r="AE10" s="5"/>
    </row>
    <row r="11" spans="1:31" x14ac:dyDescent="0.3">
      <c r="A11" s="108" t="str">
        <f t="shared" si="12"/>
        <v/>
      </c>
      <c r="B11" s="65"/>
      <c r="C11" s="66"/>
      <c r="D11" s="66"/>
      <c r="E11" s="93"/>
      <c r="F11" s="66"/>
      <c r="G11" s="66"/>
      <c r="H11" s="96"/>
      <c r="I11" s="65"/>
      <c r="J11" s="97"/>
      <c r="K11" s="66"/>
      <c r="L11" s="99"/>
      <c r="M11" s="93"/>
      <c r="N11" s="108"/>
      <c r="O11" s="202"/>
      <c r="P11" s="200"/>
      <c r="Q11" s="8"/>
      <c r="S11" s="197"/>
      <c r="T11" s="8"/>
      <c r="U11" s="27"/>
      <c r="W11" s="43"/>
      <c r="X11" s="8"/>
      <c r="Y11" s="48"/>
      <c r="Z11" s="44"/>
      <c r="AB11" s="91"/>
      <c r="AC11" s="5"/>
      <c r="AD11" s="5"/>
      <c r="AE11" s="5"/>
    </row>
    <row r="12" spans="1:31" x14ac:dyDescent="0.3">
      <c r="A12" s="108" t="str">
        <f t="shared" si="12"/>
        <v/>
      </c>
      <c r="B12" s="65"/>
      <c r="C12" s="66"/>
      <c r="D12" s="66"/>
      <c r="E12" s="93"/>
      <c r="F12" s="66"/>
      <c r="G12" s="66"/>
      <c r="H12" s="96"/>
      <c r="I12" s="65"/>
      <c r="J12" s="97"/>
      <c r="K12" s="66"/>
      <c r="L12" s="99"/>
      <c r="M12" s="93"/>
      <c r="N12" s="108"/>
      <c r="O12" s="202"/>
      <c r="P12" s="200"/>
      <c r="Q12" s="8"/>
      <c r="S12" s="197"/>
      <c r="T12" s="8"/>
      <c r="U12" s="27"/>
      <c r="W12" s="43"/>
      <c r="X12" s="8"/>
      <c r="Y12" s="48"/>
      <c r="Z12" s="44"/>
      <c r="AB12" s="91"/>
      <c r="AC12" s="5"/>
      <c r="AD12" s="5"/>
      <c r="AE12" s="5"/>
    </row>
    <row r="13" spans="1:31" x14ac:dyDescent="0.3">
      <c r="A13" s="108" t="str">
        <f t="shared" si="12"/>
        <v/>
      </c>
      <c r="B13" s="65"/>
      <c r="C13" s="66"/>
      <c r="D13" s="66"/>
      <c r="E13" s="93"/>
      <c r="F13" s="66"/>
      <c r="G13" s="66"/>
      <c r="H13" s="96"/>
      <c r="I13" s="65"/>
      <c r="J13" s="97"/>
      <c r="K13" s="66"/>
      <c r="L13" s="99"/>
      <c r="M13" s="93"/>
      <c r="N13" s="108"/>
      <c r="O13" s="202"/>
      <c r="P13" s="200"/>
      <c r="Q13" s="8"/>
      <c r="S13" s="197"/>
      <c r="T13" s="8"/>
      <c r="U13" s="27"/>
      <c r="W13" s="43"/>
      <c r="X13" s="8"/>
      <c r="Y13" s="48"/>
      <c r="Z13" s="44"/>
      <c r="AB13" s="91"/>
      <c r="AC13" s="5"/>
      <c r="AD13" s="5"/>
      <c r="AE13" s="5"/>
    </row>
    <row r="14" spans="1:31" x14ac:dyDescent="0.3">
      <c r="A14" s="108" t="str">
        <f t="shared" si="12"/>
        <v/>
      </c>
      <c r="B14" s="65"/>
      <c r="C14" s="66"/>
      <c r="D14" s="66"/>
      <c r="E14" s="93"/>
      <c r="F14" s="66"/>
      <c r="G14" s="66"/>
      <c r="H14" s="96"/>
      <c r="I14" s="65"/>
      <c r="J14" s="97"/>
      <c r="K14" s="98"/>
      <c r="L14" s="99"/>
      <c r="M14" s="93"/>
      <c r="N14" s="108"/>
      <c r="O14" s="202"/>
      <c r="P14" s="200"/>
      <c r="Q14" s="8"/>
      <c r="S14" s="197"/>
      <c r="T14" s="8"/>
      <c r="U14" s="27"/>
      <c r="W14" s="43"/>
      <c r="X14" s="8"/>
      <c r="Y14" s="48"/>
      <c r="Z14" s="44"/>
      <c r="AB14" s="91"/>
      <c r="AC14" s="5"/>
      <c r="AD14" s="5"/>
      <c r="AE14" s="5"/>
    </row>
    <row r="15" spans="1:31" x14ac:dyDescent="0.3">
      <c r="A15" s="160" t="str">
        <f t="shared" si="12"/>
        <v/>
      </c>
      <c r="B15" s="65"/>
      <c r="C15" s="66"/>
      <c r="D15" s="66"/>
      <c r="E15" s="93"/>
      <c r="F15" s="66"/>
      <c r="G15" s="66"/>
      <c r="H15" s="1"/>
      <c r="I15" s="65"/>
      <c r="J15" s="97"/>
      <c r="K15" s="98"/>
      <c r="L15" s="99"/>
      <c r="M15" s="93"/>
      <c r="N15" s="108"/>
      <c r="O15" s="202"/>
      <c r="P15" s="200"/>
      <c r="Q15" s="8"/>
      <c r="S15" s="198"/>
      <c r="T15" s="8"/>
      <c r="U15" s="27"/>
      <c r="W15" s="43"/>
      <c r="X15" s="8"/>
      <c r="Y15" s="48"/>
      <c r="Z15" s="44"/>
    </row>
    <row r="16" spans="1:31" x14ac:dyDescent="0.3">
      <c r="A16" s="160" t="str">
        <f t="shared" si="12"/>
        <v/>
      </c>
      <c r="B16" s="65"/>
      <c r="C16" s="66"/>
      <c r="E16" s="50"/>
      <c r="H16" s="1"/>
      <c r="J16" s="97"/>
      <c r="K16" s="98"/>
      <c r="L16" s="99"/>
      <c r="M16" s="50"/>
      <c r="N16" s="108"/>
      <c r="O16" s="202"/>
      <c r="P16" s="200"/>
      <c r="Q16" s="8"/>
      <c r="S16" s="81"/>
      <c r="T16" s="230" t="s">
        <v>309</v>
      </c>
      <c r="U16" s="27"/>
      <c r="W16" s="43"/>
      <c r="X16" s="8"/>
      <c r="Y16" s="48"/>
      <c r="Z16" s="44"/>
    </row>
    <row r="17" spans="1:25" ht="19.600000000000001" customHeight="1" x14ac:dyDescent="0.3">
      <c r="A17" s="106"/>
      <c r="B17" s="219" t="s">
        <v>215</v>
      </c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19"/>
      <c r="N17" s="220"/>
      <c r="O17" s="202"/>
      <c r="S17" s="81"/>
      <c r="T17" s="4"/>
      <c r="Y17" s="46"/>
    </row>
    <row r="18" spans="1:25" x14ac:dyDescent="0.3">
      <c r="B18" s="161" t="s">
        <v>277</v>
      </c>
      <c r="C18" s="162">
        <f>COUNTA(B6:B16)</f>
        <v>4</v>
      </c>
      <c r="G18" s="145" t="s">
        <v>213</v>
      </c>
      <c r="I18" s="92" t="s">
        <v>219</v>
      </c>
      <c r="K18" s="110" t="s">
        <v>214</v>
      </c>
      <c r="O18" s="202"/>
      <c r="P18" s="4"/>
      <c r="Q18" s="4"/>
      <c r="R18" s="2"/>
      <c r="S18" s="199"/>
      <c r="V18" s="6"/>
      <c r="W18" s="42"/>
      <c r="Y18" s="45"/>
    </row>
    <row r="19" spans="1:25" x14ac:dyDescent="0.3">
      <c r="K19" s="180" t="s">
        <v>292</v>
      </c>
      <c r="O19" s="202"/>
      <c r="W19" s="42"/>
      <c r="X19" s="42"/>
    </row>
    <row r="20" spans="1:25" x14ac:dyDescent="0.3">
      <c r="B20" s="44" t="s">
        <v>325</v>
      </c>
      <c r="H20" s="44" t="s">
        <v>216</v>
      </c>
      <c r="K20" s="51"/>
      <c r="O20" s="202"/>
      <c r="P20" s="1"/>
    </row>
    <row r="21" spans="1:25" x14ac:dyDescent="0.3">
      <c r="B21" s="44"/>
      <c r="H21" s="44"/>
      <c r="I21" s="50"/>
      <c r="K21" s="51"/>
      <c r="O21" s="202"/>
      <c r="P21" s="58"/>
      <c r="Q21" s="58"/>
      <c r="R21" s="58"/>
      <c r="S21" s="39"/>
      <c r="T21" s="58"/>
      <c r="U21" s="39"/>
      <c r="V21" s="39" t="s">
        <v>173</v>
      </c>
      <c r="W21" s="39" t="s">
        <v>174</v>
      </c>
    </row>
    <row r="22" spans="1:25" x14ac:dyDescent="0.3">
      <c r="H22" s="50"/>
      <c r="I22" s="50"/>
      <c r="K22" s="51"/>
      <c r="O22" s="202"/>
    </row>
    <row r="23" spans="1:25" x14ac:dyDescent="0.3">
      <c r="H23" s="50"/>
      <c r="I23" s="50"/>
      <c r="K23" s="51"/>
      <c r="O23" s="202"/>
    </row>
    <row r="24" spans="1:25" x14ac:dyDescent="0.3">
      <c r="B24" s="102" t="s">
        <v>211</v>
      </c>
      <c r="C24" s="80"/>
      <c r="D24" s="81"/>
      <c r="E24" s="81"/>
      <c r="H24" s="50"/>
      <c r="I24" s="50"/>
      <c r="O24" s="202"/>
      <c r="P24" s="201"/>
    </row>
    <row r="25" spans="1:25" ht="16.7" customHeight="1" x14ac:dyDescent="0.3">
      <c r="B25" s="118" t="s">
        <v>192</v>
      </c>
      <c r="C25" s="79" t="s">
        <v>210</v>
      </c>
      <c r="D25" s="221" t="s">
        <v>304</v>
      </c>
      <c r="E25" s="221"/>
      <c r="F25" s="221" t="s">
        <v>221</v>
      </c>
      <c r="G25" s="221"/>
      <c r="H25" s="50"/>
      <c r="I25" s="50"/>
      <c r="O25" s="202"/>
    </row>
    <row r="26" spans="1:25" x14ac:dyDescent="0.3">
      <c r="H26" s="50"/>
      <c r="I26" s="50"/>
      <c r="O26" s="202"/>
      <c r="Q26" s="2"/>
    </row>
    <row r="27" spans="1:25" ht="19.05" customHeight="1" x14ac:dyDescent="0.3">
      <c r="H27" s="50"/>
      <c r="I27" s="50"/>
      <c r="O27" s="202"/>
      <c r="R27" s="6"/>
    </row>
    <row r="28" spans="1:25" x14ac:dyDescent="0.3">
      <c r="H28" s="50"/>
      <c r="I28" s="50"/>
      <c r="O28" s="202"/>
      <c r="Q28" s="29"/>
      <c r="R28" s="28"/>
    </row>
    <row r="29" spans="1:25" x14ac:dyDescent="0.3">
      <c r="O29" s="202"/>
    </row>
    <row r="30" spans="1:25" x14ac:dyDescent="0.3">
      <c r="O30" s="202"/>
    </row>
    <row r="31" spans="1:25" x14ac:dyDescent="0.3">
      <c r="V31" s="2" t="s">
        <v>148</v>
      </c>
    </row>
    <row r="32" spans="1:25" x14ac:dyDescent="0.3">
      <c r="V32" s="9" t="s">
        <v>149</v>
      </c>
    </row>
  </sheetData>
  <sheetProtection selectLockedCells="1"/>
  <mergeCells count="3">
    <mergeCell ref="B17:N17"/>
    <mergeCell ref="D25:E25"/>
    <mergeCell ref="F25:G25"/>
  </mergeCells>
  <phoneticPr fontId="17" type="noConversion"/>
  <conditionalFormatting sqref="G5:G16 G18:G24 G29:G1048576">
    <cfRule type="cellIs" dxfId="36" priority="16" operator="equal">
      <formula>"outgoing"</formula>
    </cfRule>
    <cfRule type="cellIs" dxfId="35" priority="17" operator="equal">
      <formula>"incoming"</formula>
    </cfRule>
  </conditionalFormatting>
  <conditionalFormatting sqref="K19">
    <cfRule type="cellIs" dxfId="34" priority="1" operator="equal">
      <formula>"outgoing"</formula>
    </cfRule>
    <cfRule type="cellIs" dxfId="33" priority="2" operator="equal">
      <formula>"incoming"</formula>
    </cfRule>
  </conditionalFormatting>
  <conditionalFormatting sqref="R5:R22 S21:W21 R24:R27 R29:R1048576">
    <cfRule type="cellIs" dxfId="32" priority="13" operator="equal">
      <formula>"ERREUR"</formula>
    </cfRule>
    <cfRule type="containsText" dxfId="31" priority="14" operator="containsText" text="Entrée">
      <formula>NOT(ISERROR(SEARCH("Entrée",R5)))</formula>
    </cfRule>
    <cfRule type="cellIs" dxfId="30" priority="15" operator="equal">
      <formula>"Sortie"</formula>
    </cfRule>
  </conditionalFormatting>
  <conditionalFormatting sqref="S16">
    <cfRule type="cellIs" dxfId="29" priority="3" operator="equal">
      <formula>"ERREUR"</formula>
    </cfRule>
    <cfRule type="containsText" dxfId="28" priority="4" operator="containsText" text="Entrée">
      <formula>NOT(ISERROR(SEARCH("Entrée",S16)))</formula>
    </cfRule>
    <cfRule type="cellIs" dxfId="27" priority="5" operator="equal">
      <formula>"Sortie"</formula>
    </cfRule>
  </conditionalFormatting>
  <conditionalFormatting sqref="V7:V16">
    <cfRule type="cellIs" dxfId="26" priority="10" operator="lessThan">
      <formula>0</formula>
    </cfRule>
    <cfRule type="cellIs" dxfId="25" priority="11" operator="greaterThan">
      <formula>0</formula>
    </cfRule>
  </conditionalFormatting>
  <conditionalFormatting sqref="X5:Y16">
    <cfRule type="cellIs" dxfId="24" priority="8" operator="equal">
      <formula>0</formula>
    </cfRule>
  </conditionalFormatting>
  <conditionalFormatting sqref="AB6:AC14 AE6:AE14">
    <cfRule type="cellIs" dxfId="23" priority="9" operator="equal">
      <formula>FALSE</formula>
    </cfRule>
  </conditionalFormatting>
  <hyperlinks>
    <hyperlink ref="B25" location="'01_Parametres'!A1" display="Paramètres" xr:uid="{6DDC4D82-7BEE-49C1-B5BF-6021F887BA81}"/>
    <hyperlink ref="F25:G25" location="'04_Resultats_Comptables'!A1" display="Résultats comptables" xr:uid="{1774D051-4C1F-47FF-B6F6-AEE2E74E22F1}"/>
    <hyperlink ref="D25:E25" location="'03_Tout_autre_wallet'!A1" display="Tout autre wallet" xr:uid="{67E62EBC-722C-43BC-8A89-071057146665}"/>
  </hyperlinks>
  <pageMargins left="0.7" right="0.7" top="0.75" bottom="0.75" header="0.3" footer="0.3"/>
  <ignoredErrors>
    <ignoredError sqref="N3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0185-9392-4B41-9B79-1104B64F612D}">
  <dimension ref="A1:AE34"/>
  <sheetViews>
    <sheetView showGridLines="0" zoomScale="115" zoomScaleNormal="115" zoomScaleSheetLayoutView="55" workbookViewId="0">
      <selection activeCell="C23" sqref="C23"/>
    </sheetView>
  </sheetViews>
  <sheetFormatPr baseColWidth="10" defaultRowHeight="14.4" x14ac:dyDescent="0.3"/>
  <cols>
    <col min="1" max="1" width="5.5" customWidth="1"/>
    <col min="3" max="3" width="14.8984375" customWidth="1"/>
    <col min="5" max="5" width="17.5" customWidth="1"/>
    <col min="6" max="6" width="17.69921875" customWidth="1"/>
    <col min="8" max="8" width="13" customWidth="1"/>
    <col min="9" max="9" width="16.59765625" customWidth="1"/>
    <col min="10" max="10" width="16.09765625" customWidth="1"/>
    <col min="11" max="11" width="5.19921875" customWidth="1"/>
    <col min="12" max="12" width="2.69921875" customWidth="1"/>
    <col min="13" max="13" width="2" customWidth="1"/>
    <col min="14" max="14" width="2.19921875" customWidth="1"/>
    <col min="15" max="15" width="1.8984375" customWidth="1"/>
    <col min="24" max="24" width="17.59765625" customWidth="1"/>
  </cols>
  <sheetData>
    <row r="1" spans="1:31" ht="7.5" customHeight="1" x14ac:dyDescent="0.3">
      <c r="K1" s="100"/>
    </row>
    <row r="2" spans="1:31" ht="17.850000000000001" x14ac:dyDescent="0.35">
      <c r="B2" s="60" t="s">
        <v>233</v>
      </c>
      <c r="F2" s="164" t="s">
        <v>305</v>
      </c>
      <c r="K2" s="100"/>
      <c r="P2" s="203"/>
    </row>
    <row r="3" spans="1:31" ht="17.3" customHeight="1" thickBot="1" x14ac:dyDescent="0.4">
      <c r="B3" s="140" t="s">
        <v>231</v>
      </c>
      <c r="C3" s="140"/>
      <c r="D3" s="140"/>
      <c r="E3" s="140"/>
      <c r="F3" s="140"/>
      <c r="G3" s="140"/>
      <c r="H3" s="140"/>
      <c r="I3" s="140"/>
      <c r="J3" s="140"/>
      <c r="K3" s="101" t="s">
        <v>232</v>
      </c>
      <c r="O3" s="202"/>
      <c r="T3" s="165" t="s">
        <v>307</v>
      </c>
    </row>
    <row r="4" spans="1:31" ht="19.05" customHeight="1" x14ac:dyDescent="0.3">
      <c r="G4" s="44" t="s">
        <v>177</v>
      </c>
      <c r="O4" s="202"/>
    </row>
    <row r="5" spans="1:31" ht="18.45" customHeight="1" x14ac:dyDescent="0.3">
      <c r="A5" s="137"/>
      <c r="B5" s="131" t="s">
        <v>22</v>
      </c>
      <c r="C5" s="133" t="s">
        <v>87</v>
      </c>
      <c r="D5" s="133" t="s">
        <v>163</v>
      </c>
      <c r="E5" s="134" t="s">
        <v>229</v>
      </c>
      <c r="F5" s="133" t="s">
        <v>175</v>
      </c>
      <c r="G5" s="135" t="s">
        <v>166</v>
      </c>
      <c r="H5" s="136" t="s">
        <v>167</v>
      </c>
      <c r="I5" s="136" t="s">
        <v>18</v>
      </c>
      <c r="J5" s="144" t="s">
        <v>176</v>
      </c>
      <c r="K5" s="138"/>
      <c r="L5" t="s">
        <v>278</v>
      </c>
      <c r="O5" s="202"/>
      <c r="P5" s="2" t="s">
        <v>68</v>
      </c>
      <c r="Q5" s="2" t="s">
        <v>67</v>
      </c>
      <c r="R5" s="2" t="s">
        <v>52</v>
      </c>
      <c r="S5" s="2" t="s">
        <v>66</v>
      </c>
      <c r="T5" s="2" t="s">
        <v>53</v>
      </c>
      <c r="U5" s="26" t="s">
        <v>54</v>
      </c>
      <c r="V5" s="2" t="s">
        <v>55</v>
      </c>
      <c r="W5" s="2" t="s">
        <v>56</v>
      </c>
      <c r="X5" s="2" t="s">
        <v>57</v>
      </c>
      <c r="Y5" s="47" t="s">
        <v>58</v>
      </c>
      <c r="Z5" s="49" t="s">
        <v>69</v>
      </c>
      <c r="AA5" s="2"/>
      <c r="AB5" s="89" t="s">
        <v>71</v>
      </c>
      <c r="AC5" s="90" t="s">
        <v>72</v>
      </c>
      <c r="AD5" s="90" t="s">
        <v>157</v>
      </c>
      <c r="AE5" s="90" t="s">
        <v>153</v>
      </c>
    </row>
    <row r="6" spans="1:31" x14ac:dyDescent="0.3">
      <c r="A6" s="137"/>
      <c r="B6" s="132" t="s">
        <v>162</v>
      </c>
      <c r="C6" s="172">
        <v>0.25</v>
      </c>
      <c r="D6" t="s">
        <v>164</v>
      </c>
      <c r="E6" s="174">
        <v>38.5</v>
      </c>
      <c r="F6" s="96">
        <v>45292.385416666664</v>
      </c>
      <c r="G6" s="56">
        <v>0</v>
      </c>
      <c r="H6" t="s">
        <v>168</v>
      </c>
      <c r="I6" t="s">
        <v>169</v>
      </c>
      <c r="J6" s="48">
        <f>E6/Q6</f>
        <v>154</v>
      </c>
      <c r="K6" s="139" t="str">
        <f>IF(D6="XMR","/XMR","autre")</f>
        <v>/XMR</v>
      </c>
      <c r="O6" s="202"/>
      <c r="P6" s="57">
        <f>DATE( YEAR(F6), MONTH(F6),DAY(F6))</f>
        <v>45292</v>
      </c>
      <c r="Q6">
        <f>_xlfn.NUMBERVALUE(SUBSTITUTE(SUBSTITUTE(C6," XMR",""),".",","))</f>
        <v>0.25</v>
      </c>
      <c r="R6" t="str">
        <f t="shared" ref="R6:R9" si="0">IF(B6="reçu","Entrée",IF(B6="envoyé","Sortie","ERREUR"))</f>
        <v>Entrée</v>
      </c>
      <c r="S6" s="8">
        <f>T6/Q6</f>
        <v>154</v>
      </c>
      <c r="T6" s="8">
        <f>_xlfn.NUMBERVALUE(SUBSTITUTE(SUBSTITUTE(E6," EUR",""),".",","))</f>
        <v>38.5</v>
      </c>
      <c r="U6" s="176" t="str">
        <f>CONCATENATE(YEAR(P6),"-",ROW(P6)-5)</f>
        <v>2024-1</v>
      </c>
      <c r="V6" s="9">
        <f>IF(R6="Entrée",Q6,0)</f>
        <v>0.25</v>
      </c>
      <c r="W6" s="8">
        <f>IF(R6="Sortie",VLOOKUP(P6,CUMP_Calculs!M:R,6,TRUE), S6)</f>
        <v>154</v>
      </c>
      <c r="X6" s="8">
        <f>IF(R6="Sortie",Q6*W6,IF(R6="Entrée",0,"ERREUR"))</f>
        <v>0</v>
      </c>
      <c r="Y6" s="8">
        <f>IF(R6="Sortie",T6-X6,IF(R6="Entrée",0,"ERREUR"))</f>
        <v>0</v>
      </c>
      <c r="Z6" s="44" t="s">
        <v>70</v>
      </c>
      <c r="AB6" s="91" t="b">
        <f>AND(ISNUMBER(Q6),Q6&gt;0)</f>
        <v>1</v>
      </c>
      <c r="AC6" s="5" t="b">
        <f>AND(ISNUMBER(S6),S6&gt;0)</f>
        <v>1</v>
      </c>
      <c r="AD6" s="5" t="b">
        <f>IF(AND(P6&gt;P5,ROW()&gt;5),TRUE,IF(ROW()=6,TRUE,FALSE))</f>
        <v>1</v>
      </c>
      <c r="AE6" s="5" t="b">
        <f t="shared" ref="AE6:AE8" si="1">IF(X6="ERREUR",FALSE,TRUE)</f>
        <v>1</v>
      </c>
    </row>
    <row r="7" spans="1:31" x14ac:dyDescent="0.3">
      <c r="A7" s="137"/>
      <c r="B7" s="54" t="s">
        <v>162</v>
      </c>
      <c r="C7" s="172">
        <v>0.15</v>
      </c>
      <c r="D7" t="s">
        <v>164</v>
      </c>
      <c r="E7" s="174">
        <v>22.25</v>
      </c>
      <c r="F7" s="175">
        <v>45306</v>
      </c>
      <c r="G7" s="56">
        <v>0</v>
      </c>
      <c r="H7" t="s">
        <v>288</v>
      </c>
      <c r="I7" t="s">
        <v>319</v>
      </c>
      <c r="J7" s="48">
        <f t="shared" ref="J7:J9" si="2">E7/C7</f>
        <v>148.33333333333334</v>
      </c>
      <c r="K7" s="139" t="str">
        <f t="shared" ref="K7:K9" si="3">IF(D7="XMR","/XMR","autre")</f>
        <v>/XMR</v>
      </c>
      <c r="O7" s="202"/>
      <c r="P7" s="57">
        <f>DATE( YEAR(F7), MONTH(F7),DAY(F7))</f>
        <v>45306</v>
      </c>
      <c r="Q7">
        <f>_xlfn.NUMBERVALUE(SUBSTITUTE(SUBSTITUTE(C7," XMR",""),".",","))</f>
        <v>0.15</v>
      </c>
      <c r="R7" t="str">
        <f t="shared" si="0"/>
        <v>Entrée</v>
      </c>
      <c r="S7" s="8">
        <f>T7/Q7</f>
        <v>148.33333333333334</v>
      </c>
      <c r="T7" s="8">
        <f>_xlfn.NUMBERVALUE(SUBSTITUTE(SUBSTITUTE(E7," EUR",""),".",","))</f>
        <v>22.25</v>
      </c>
      <c r="U7" s="176" t="str">
        <f>CONCATENATE(YEAR(P7),"-",ROW(P7)-5)</f>
        <v>2024-2</v>
      </c>
      <c r="V7" s="35">
        <f>IF(R7="Entrée",V6+Q7,V6-Q7)</f>
        <v>0.4</v>
      </c>
      <c r="W7" s="8">
        <f>IF(R7="Sortie",VLOOKUP(P7,CUMP_Calculs!M:R,6,TRUE), S7)</f>
        <v>148.33333333333334</v>
      </c>
      <c r="X7" s="8">
        <f>IF(R7="Sortie",Q7*W7,IF(R7="Entrée",0,"ERREUR"))</f>
        <v>0</v>
      </c>
      <c r="Y7" s="8">
        <f>IF(R7="Sortie",T7-X7,IF(R7="Entrée",0,"ERREUR"))</f>
        <v>0</v>
      </c>
      <c r="AB7" s="91" t="b">
        <f t="shared" ref="AB7:AB8" si="4">AND(ISNUMBER(Q7),Q7&gt;0)</f>
        <v>1</v>
      </c>
      <c r="AC7" s="5" t="b">
        <f t="shared" ref="AC7:AC8" si="5">AND(ISNUMBER(S7),S7&gt;0)</f>
        <v>1</v>
      </c>
      <c r="AD7" s="5" t="b">
        <f t="shared" ref="AD7:AD8" si="6">IF(AND(P7&gt;P6,ROW()&gt;5),TRUE,IF(ROW()=6,TRUE,FALSE))</f>
        <v>1</v>
      </c>
      <c r="AE7" s="5" t="b">
        <f t="shared" si="1"/>
        <v>1</v>
      </c>
    </row>
    <row r="8" spans="1:31" x14ac:dyDescent="0.3">
      <c r="A8" s="137"/>
      <c r="B8" s="54" t="s">
        <v>161</v>
      </c>
      <c r="C8" s="172">
        <v>0.25</v>
      </c>
      <c r="D8" t="s">
        <v>164</v>
      </c>
      <c r="E8" s="174">
        <v>65</v>
      </c>
      <c r="F8" s="175">
        <v>45323</v>
      </c>
      <c r="G8" s="56">
        <v>0</v>
      </c>
      <c r="H8" t="s">
        <v>289</v>
      </c>
      <c r="J8" s="48">
        <f t="shared" si="2"/>
        <v>260</v>
      </c>
      <c r="K8" s="139" t="str">
        <f t="shared" si="3"/>
        <v>/XMR</v>
      </c>
      <c r="O8" s="202"/>
      <c r="P8" s="57">
        <f>DATE( YEAR(F8), MONTH(F8),DAY(F8))</f>
        <v>45323</v>
      </c>
      <c r="Q8">
        <f>_xlfn.NUMBERVALUE(SUBSTITUTE(SUBSTITUTE(C8," XMR",""),".",","))</f>
        <v>0.25</v>
      </c>
      <c r="R8" t="str">
        <f t="shared" si="0"/>
        <v>Sortie</v>
      </c>
      <c r="S8" s="8">
        <f>T8/Q8</f>
        <v>260</v>
      </c>
      <c r="T8" s="8">
        <f>_xlfn.NUMBERVALUE(SUBSTITUTE(SUBSTITUTE(E8," EUR",""),".",","))</f>
        <v>65</v>
      </c>
      <c r="U8" s="176" t="str">
        <f>CONCATENATE(YEAR(P8),"-",ROW(P8)-5)</f>
        <v>2024-3</v>
      </c>
      <c r="V8" s="35">
        <f>IF(R8="Entrée",V7+Q8,V7-Q8)</f>
        <v>0.15000000000000002</v>
      </c>
      <c r="W8" s="8">
        <f>IF(R8="Sortie",VLOOKUP(P8,CUMP_Calculs!M:R,6,TRUE), S8)</f>
        <v>151.875</v>
      </c>
      <c r="X8" s="8">
        <f>IF(R8="Sortie",Q8*W8,IF(R8="Entrée",0,"ERREUR"))</f>
        <v>37.96875</v>
      </c>
      <c r="Y8" s="8">
        <f t="shared" ref="Y8" si="7">IF(R8="Sortie",T8-X8,IF(R8="Entrée",0,"ERREUR"))</f>
        <v>27.03125</v>
      </c>
      <c r="AB8" s="91" t="b">
        <f t="shared" si="4"/>
        <v>1</v>
      </c>
      <c r="AC8" s="5" t="b">
        <f t="shared" si="5"/>
        <v>1</v>
      </c>
      <c r="AD8" s="5" t="b">
        <f t="shared" si="6"/>
        <v>1</v>
      </c>
      <c r="AE8" s="5" t="b">
        <f t="shared" si="1"/>
        <v>1</v>
      </c>
    </row>
    <row r="9" spans="1:31" x14ac:dyDescent="0.3">
      <c r="A9" s="137"/>
      <c r="B9" s="54" t="s">
        <v>162</v>
      </c>
      <c r="C9" s="173">
        <v>0.3</v>
      </c>
      <c r="D9" t="s">
        <v>164</v>
      </c>
      <c r="E9" s="174">
        <v>81</v>
      </c>
      <c r="F9" s="96">
        <v>45337.697916666664</v>
      </c>
      <c r="G9" s="56">
        <v>0</v>
      </c>
      <c r="H9" t="s">
        <v>290</v>
      </c>
      <c r="J9" s="48">
        <f t="shared" si="2"/>
        <v>270</v>
      </c>
      <c r="K9" s="139" t="str">
        <f t="shared" si="3"/>
        <v>/XMR</v>
      </c>
      <c r="O9" s="202"/>
      <c r="P9" s="57">
        <f>DATE( YEAR(F9), MONTH(F9),DAY(F9))</f>
        <v>45337</v>
      </c>
      <c r="Q9">
        <f>_xlfn.NUMBERVALUE(SUBSTITUTE(SUBSTITUTE(C9," XMR",""),".",","))</f>
        <v>0.3</v>
      </c>
      <c r="R9" t="str">
        <f t="shared" si="0"/>
        <v>Entrée</v>
      </c>
      <c r="S9" s="8">
        <f>T9/Q9</f>
        <v>270</v>
      </c>
      <c r="T9" s="8">
        <f>_xlfn.NUMBERVALUE(SUBSTITUTE(SUBSTITUTE(E9," EUR",""),".",","))</f>
        <v>81</v>
      </c>
      <c r="U9" s="176" t="str">
        <f>CONCATENATE(YEAR(P9),"-",ROW(P9)-5)</f>
        <v>2024-4</v>
      </c>
      <c r="V9" s="35">
        <f>IF(R9="Entrée",V8+Q9,V8-Q9)</f>
        <v>0.45</v>
      </c>
      <c r="W9" s="8">
        <f>IF(R9="Sortie",VLOOKUP(P9,CUMP_Calculs!M:R,6,TRUE), S9)</f>
        <v>270</v>
      </c>
      <c r="X9" s="8">
        <f>IF(R9="Sortie",Q9*W9,IF(R9="Entrée",0,"ERREUR"))</f>
        <v>0</v>
      </c>
      <c r="Y9" s="8">
        <f t="shared" ref="Y9" si="8">IF(R9="Sortie",T9-X9,IF(R9="Entrée",0,"ERREUR"))</f>
        <v>0</v>
      </c>
      <c r="AB9" s="91" t="b">
        <f t="shared" ref="AB9" si="9">AND(ISNUMBER(Q9),Q9&gt;0)</f>
        <v>1</v>
      </c>
      <c r="AC9" s="5" t="b">
        <f t="shared" ref="AC9" si="10">AND(ISNUMBER(S9),S9&gt;0)</f>
        <v>1</v>
      </c>
      <c r="AD9" s="5" t="b">
        <f t="shared" ref="AD9" si="11">IF(AND(P9&gt;P8,ROW()&gt;5),TRUE,IF(ROW()=6,TRUE,FALSE))</f>
        <v>1</v>
      </c>
      <c r="AE9" s="5" t="b">
        <f t="shared" ref="AE9" si="12">IF(X9="ERREUR",FALSE,TRUE)</f>
        <v>1</v>
      </c>
    </row>
    <row r="10" spans="1:31" x14ac:dyDescent="0.3">
      <c r="A10" s="137"/>
      <c r="B10" s="54"/>
      <c r="C10" s="54"/>
      <c r="E10" s="178"/>
      <c r="F10" s="179"/>
      <c r="G10" s="56"/>
      <c r="J10" s="48"/>
      <c r="K10" s="139"/>
      <c r="O10" s="202"/>
      <c r="P10" s="57"/>
      <c r="S10" s="8"/>
      <c r="T10" s="8"/>
      <c r="U10" s="176"/>
      <c r="V10" s="35"/>
      <c r="W10" s="8"/>
      <c r="X10" s="8"/>
      <c r="Y10" s="8"/>
      <c r="AB10" s="91"/>
      <c r="AC10" s="5"/>
      <c r="AD10" s="5"/>
      <c r="AE10" s="5"/>
    </row>
    <row r="11" spans="1:31" x14ac:dyDescent="0.3">
      <c r="A11" s="137"/>
      <c r="B11" s="54"/>
      <c r="C11" s="39"/>
      <c r="E11" s="48"/>
      <c r="F11" s="179"/>
      <c r="G11" s="56"/>
      <c r="J11" s="48"/>
      <c r="K11" s="139"/>
      <c r="O11" s="202"/>
      <c r="P11" s="57"/>
      <c r="S11" s="8"/>
      <c r="T11" s="8"/>
      <c r="U11" s="176"/>
      <c r="V11" s="35"/>
      <c r="W11" s="8"/>
      <c r="X11" s="8"/>
      <c r="Y11" s="8"/>
      <c r="AB11" s="91"/>
      <c r="AC11" s="5"/>
      <c r="AD11" s="5"/>
      <c r="AE11" s="5"/>
    </row>
    <row r="12" spans="1:31" x14ac:dyDescent="0.3">
      <c r="A12" s="137"/>
      <c r="B12" s="54"/>
      <c r="C12" s="39"/>
      <c r="E12" s="48"/>
      <c r="F12" s="179"/>
      <c r="J12" s="48"/>
      <c r="K12" s="139"/>
      <c r="O12" s="202"/>
      <c r="P12" s="57"/>
      <c r="S12" s="8"/>
      <c r="T12" s="8"/>
      <c r="U12" s="176"/>
      <c r="V12" s="35"/>
      <c r="W12" s="8"/>
      <c r="X12" s="8"/>
      <c r="Y12" s="8"/>
      <c r="AB12" s="91"/>
      <c r="AC12" s="5"/>
      <c r="AD12" s="5"/>
      <c r="AE12" s="5"/>
    </row>
    <row r="13" spans="1:31" x14ac:dyDescent="0.3">
      <c r="A13" s="137"/>
      <c r="B13" s="54"/>
      <c r="C13" s="39"/>
      <c r="E13" s="48"/>
      <c r="F13" s="179"/>
      <c r="J13" s="48"/>
      <c r="K13" s="139"/>
      <c r="O13" s="202"/>
      <c r="P13" s="57"/>
      <c r="S13" s="8"/>
      <c r="T13" s="8"/>
      <c r="U13" s="176"/>
      <c r="V13" s="35"/>
      <c r="W13" s="8"/>
      <c r="X13" s="8"/>
      <c r="Y13" s="8"/>
      <c r="AB13" s="91"/>
      <c r="AC13" s="5"/>
      <c r="AD13" s="5"/>
      <c r="AE13" s="5"/>
    </row>
    <row r="14" spans="1:31" x14ac:dyDescent="0.3">
      <c r="A14" s="137"/>
      <c r="B14" s="54"/>
      <c r="C14" s="39"/>
      <c r="E14" s="48"/>
      <c r="F14" s="179"/>
      <c r="J14" s="48"/>
      <c r="K14" s="139"/>
      <c r="O14" s="202"/>
      <c r="P14" s="57"/>
      <c r="S14" s="8"/>
      <c r="T14" s="8"/>
      <c r="U14" s="176"/>
      <c r="V14" s="35"/>
      <c r="W14" s="8"/>
      <c r="X14" s="8"/>
      <c r="Y14" s="8"/>
      <c r="AB14" s="91"/>
      <c r="AC14" s="5"/>
      <c r="AD14" s="5"/>
      <c r="AE14" s="5"/>
    </row>
    <row r="15" spans="1:31" x14ac:dyDescent="0.3">
      <c r="A15" s="137"/>
      <c r="K15" s="137"/>
      <c r="O15" s="202"/>
      <c r="S15" s="8"/>
      <c r="T15" s="8"/>
      <c r="U15" s="176"/>
      <c r="X15" s="8"/>
      <c r="Y15" s="8"/>
    </row>
    <row r="16" spans="1:31" x14ac:dyDescent="0.3">
      <c r="A16" s="137"/>
      <c r="B16" s="44"/>
      <c r="K16" s="137"/>
      <c r="O16" s="202"/>
      <c r="S16" s="8"/>
      <c r="T16" s="8"/>
      <c r="U16" s="176"/>
      <c r="X16" s="8"/>
    </row>
    <row r="17" spans="1:24" ht="17.850000000000001" customHeight="1" x14ac:dyDescent="0.3">
      <c r="A17" s="137"/>
      <c r="B17" s="177" t="s">
        <v>279</v>
      </c>
      <c r="C17" s="219" t="s">
        <v>230</v>
      </c>
      <c r="D17" s="219"/>
      <c r="E17" s="219"/>
      <c r="F17" s="219"/>
      <c r="G17" s="219"/>
      <c r="H17" s="219"/>
      <c r="I17" s="219"/>
      <c r="J17" s="219"/>
      <c r="K17" s="224"/>
      <c r="O17" s="202"/>
      <c r="S17" s="230" t="s">
        <v>309</v>
      </c>
      <c r="T17" s="8"/>
      <c r="U17" s="39"/>
      <c r="X17" s="8"/>
    </row>
    <row r="18" spans="1:24" x14ac:dyDescent="0.3">
      <c r="O18" s="202"/>
      <c r="T18" s="8"/>
      <c r="X18" s="8"/>
    </row>
    <row r="19" spans="1:24" x14ac:dyDescent="0.3">
      <c r="B19" s="44" t="s">
        <v>324</v>
      </c>
      <c r="F19" s="44" t="s">
        <v>216</v>
      </c>
      <c r="O19" s="202"/>
      <c r="T19" s="8"/>
      <c r="X19" s="8"/>
    </row>
    <row r="20" spans="1:24" x14ac:dyDescent="0.3">
      <c r="E20" s="2"/>
      <c r="O20" s="202"/>
    </row>
    <row r="21" spans="1:24" x14ac:dyDescent="0.3">
      <c r="C21" s="2" t="s">
        <v>170</v>
      </c>
      <c r="O21" s="202"/>
    </row>
    <row r="22" spans="1:24" x14ac:dyDescent="0.3">
      <c r="C22" t="s">
        <v>306</v>
      </c>
      <c r="O22" s="202"/>
    </row>
    <row r="23" spans="1:24" x14ac:dyDescent="0.3">
      <c r="C23" t="s">
        <v>326</v>
      </c>
      <c r="O23" s="202"/>
    </row>
    <row r="24" spans="1:24" x14ac:dyDescent="0.3">
      <c r="B24" s="102" t="s">
        <v>211</v>
      </c>
      <c r="C24" s="80"/>
      <c r="D24" s="81"/>
      <c r="E24" s="81"/>
      <c r="O24" s="202"/>
    </row>
    <row r="25" spans="1:24" ht="17.3" customHeight="1" x14ac:dyDescent="0.3">
      <c r="B25" s="118" t="s">
        <v>192</v>
      </c>
      <c r="C25" s="118" t="s">
        <v>210</v>
      </c>
      <c r="D25" s="222" t="s">
        <v>304</v>
      </c>
      <c r="E25" s="223"/>
      <c r="F25" s="221" t="s">
        <v>221</v>
      </c>
      <c r="G25" s="221"/>
      <c r="O25" s="202"/>
    </row>
    <row r="26" spans="1:24" x14ac:dyDescent="0.3">
      <c r="O26" s="202"/>
    </row>
    <row r="27" spans="1:24" x14ac:dyDescent="0.3">
      <c r="O27" s="202"/>
    </row>
    <row r="28" spans="1:24" x14ac:dyDescent="0.3">
      <c r="O28" s="202"/>
    </row>
    <row r="29" spans="1:24" x14ac:dyDescent="0.3">
      <c r="O29" s="202"/>
    </row>
    <row r="30" spans="1:24" x14ac:dyDescent="0.3">
      <c r="O30" s="202"/>
    </row>
    <row r="31" spans="1:24" x14ac:dyDescent="0.3">
      <c r="O31" s="202"/>
    </row>
    <row r="32" spans="1:24" x14ac:dyDescent="0.3">
      <c r="P32" s="196"/>
    </row>
    <row r="33" spans="16:16" x14ac:dyDescent="0.3">
      <c r="P33" s="196"/>
    </row>
    <row r="34" spans="16:16" x14ac:dyDescent="0.3">
      <c r="P34" s="196"/>
    </row>
  </sheetData>
  <mergeCells count="3">
    <mergeCell ref="D25:E25"/>
    <mergeCell ref="F25:G25"/>
    <mergeCell ref="C17:K17"/>
  </mergeCells>
  <conditionalFormatting sqref="B6:B17 B20:B52">
    <cfRule type="cellIs" dxfId="22" priority="4" operator="equal">
      <formula>"Envoyé"</formula>
    </cfRule>
    <cfRule type="cellIs" dxfId="21" priority="5" operator="equal">
      <formula>"Reçu"</formula>
    </cfRule>
  </conditionalFormatting>
  <conditionalFormatting sqref="D1:D16">
    <cfRule type="containsText" dxfId="20" priority="6" operator="containsText" text="BTC">
      <formula>NOT(ISERROR(SEARCH("BTC",D1)))</formula>
    </cfRule>
    <cfRule type="containsText" dxfId="19" priority="7" operator="containsText" text="XMR">
      <formula>NOT(ISERROR(SEARCH("XMR",D1)))</formula>
    </cfRule>
  </conditionalFormatting>
  <conditionalFormatting sqref="D18 C21 D20:D1048576">
    <cfRule type="containsText" dxfId="18" priority="14" operator="containsText" text="BTC">
      <formula>NOT(ISERROR(SEARCH("BTC",C18)))</formula>
    </cfRule>
    <cfRule type="containsText" dxfId="17" priority="15" operator="containsText" text="XMR">
      <formula>NOT(ISERROR(SEARCH("XMR",C18)))</formula>
    </cfRule>
  </conditionalFormatting>
  <conditionalFormatting sqref="E4">
    <cfRule type="containsText" dxfId="16" priority="12" operator="containsText" text="BTC">
      <formula>NOT(ISERROR(SEARCH("BTC",E4)))</formula>
    </cfRule>
    <cfRule type="containsText" dxfId="15" priority="13" operator="containsText" text="XMR">
      <formula>NOT(ISERROR(SEARCH("XMR",E4)))</formula>
    </cfRule>
  </conditionalFormatting>
  <conditionalFormatting sqref="G24">
    <cfRule type="cellIs" dxfId="14" priority="16" operator="equal">
      <formula>"outgoing"</formula>
    </cfRule>
    <cfRule type="cellIs" dxfId="13" priority="17" operator="equal">
      <formula>"incoming"</formula>
    </cfRule>
  </conditionalFormatting>
  <conditionalFormatting sqref="R5">
    <cfRule type="cellIs" dxfId="12" priority="9" operator="equal">
      <formula>"ERREUR"</formula>
    </cfRule>
    <cfRule type="containsText" dxfId="11" priority="10" operator="containsText" text="Entrée">
      <formula>NOT(ISERROR(SEARCH("Entrée",R5)))</formula>
    </cfRule>
    <cfRule type="cellIs" dxfId="10" priority="11" operator="equal">
      <formula>"Sortie"</formula>
    </cfRule>
  </conditionalFormatting>
  <conditionalFormatting sqref="X6:X15">
    <cfRule type="cellIs" dxfId="9" priority="3" operator="equal">
      <formula>0</formula>
    </cfRule>
  </conditionalFormatting>
  <conditionalFormatting sqref="X5:Y5">
    <cfRule type="cellIs" dxfId="8" priority="8" operator="equal">
      <formula>0</formula>
    </cfRule>
  </conditionalFormatting>
  <conditionalFormatting sqref="Y6:Y15">
    <cfRule type="cellIs" dxfId="7" priority="2" operator="equal">
      <formula>0</formula>
    </cfRule>
  </conditionalFormatting>
  <conditionalFormatting sqref="AB6:AC14 AE6:AE14">
    <cfRule type="cellIs" dxfId="6" priority="1" operator="equal">
      <formula>FALSE</formula>
    </cfRule>
  </conditionalFormatting>
  <hyperlinks>
    <hyperlink ref="D25:E25" location="'03_Tout_autre_wallet_import'!A1" display="Tout autre wallet import" xr:uid="{2D61E49F-FB40-4B52-B0C6-FD93E00D4920}"/>
    <hyperlink ref="C25" location="'02_Bitrequest_import'!A1" display="Bitrequest import" xr:uid="{A08543C2-C2DB-4214-8A9F-6A48BE90ED19}"/>
    <hyperlink ref="B25" location="'01_Parametres'!A1" display="Paramètres" xr:uid="{B466049D-CE8F-4AD2-8A9E-7821451EDD15}"/>
    <hyperlink ref="F25:G25" location="'04_Resultats_Comptables'!A1" display="Résultats comptables" xr:uid="{5FB39B3F-D5BF-4974-AE5C-356B604D62B7}"/>
  </hyperlinks>
  <pageMargins left="0.7" right="0.7" top="0.75" bottom="0.75" header="0.3" footer="0.3"/>
  <pageSetup paperSize="9" scale="61" orientation="portrait" r:id="rId1"/>
  <colBreaks count="2" manualBreakCount="2">
    <brk id="12" max="1048575" man="1"/>
    <brk id="24" max="1048575" man="1"/>
  </colBreaks>
  <ignoredErrors>
    <ignoredError sqref="K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F840-2B75-4AB9-9008-4CB217F85C70}">
  <dimension ref="B2:AA27"/>
  <sheetViews>
    <sheetView zoomScaleNormal="100" workbookViewId="0">
      <selection activeCell="T20" sqref="T20"/>
    </sheetView>
  </sheetViews>
  <sheetFormatPr baseColWidth="10" defaultRowHeight="14.4" x14ac:dyDescent="0.3"/>
  <cols>
    <col min="1" max="1" width="4.09765625" customWidth="1"/>
    <col min="2" max="2" width="14.5" customWidth="1"/>
    <col min="6" max="6" width="12.69921875" customWidth="1"/>
    <col min="7" max="7" width="14.69921875" customWidth="1"/>
    <col min="8" max="8" width="9" customWidth="1"/>
    <col min="9" max="9" width="10" customWidth="1"/>
    <col min="20" max="20" width="19.09765625" customWidth="1"/>
  </cols>
  <sheetData>
    <row r="2" spans="2:27" ht="17.3" x14ac:dyDescent="0.3">
      <c r="B2" s="60" t="s">
        <v>280</v>
      </c>
      <c r="G2" s="44"/>
    </row>
    <row r="4" spans="2:27" ht="17.850000000000001" x14ac:dyDescent="0.35">
      <c r="B4" s="164" t="s">
        <v>294</v>
      </c>
      <c r="M4" s="164" t="s">
        <v>293</v>
      </c>
      <c r="U4" s="164" t="s">
        <v>296</v>
      </c>
    </row>
    <row r="5" spans="2:27" s="147" customFormat="1" ht="16.149999999999999" customHeight="1" x14ac:dyDescent="0.3">
      <c r="B5" s="146" t="s">
        <v>61</v>
      </c>
      <c r="C5" s="146" t="s">
        <v>22</v>
      </c>
      <c r="D5" s="146" t="s">
        <v>62</v>
      </c>
      <c r="E5" s="146" t="s">
        <v>63</v>
      </c>
      <c r="F5" s="146" t="s">
        <v>64</v>
      </c>
      <c r="G5" s="146" t="s">
        <v>236</v>
      </c>
      <c r="H5" s="146" t="s">
        <v>258</v>
      </c>
      <c r="I5" s="181" t="s">
        <v>237</v>
      </c>
      <c r="J5" s="148" t="s">
        <v>238</v>
      </c>
      <c r="M5" s="146" t="s">
        <v>61</v>
      </c>
      <c r="N5" s="146" t="s">
        <v>22</v>
      </c>
      <c r="O5" s="146" t="s">
        <v>62</v>
      </c>
      <c r="P5" s="146" t="s">
        <v>63</v>
      </c>
      <c r="Q5" s="146" t="s">
        <v>64</v>
      </c>
      <c r="R5" s="146" t="s">
        <v>236</v>
      </c>
      <c r="S5" s="146" t="s">
        <v>258</v>
      </c>
      <c r="T5"/>
      <c r="U5" s="146" t="s">
        <v>61</v>
      </c>
      <c r="V5" s="146" t="s">
        <v>22</v>
      </c>
      <c r="W5" s="146" t="s">
        <v>62</v>
      </c>
      <c r="X5" s="146" t="s">
        <v>63</v>
      </c>
      <c r="Y5" s="146" t="s">
        <v>64</v>
      </c>
      <c r="Z5" s="146" t="s">
        <v>236</v>
      </c>
      <c r="AA5" s="146" t="s">
        <v>258</v>
      </c>
    </row>
    <row r="6" spans="2:27" x14ac:dyDescent="0.3">
      <c r="B6" s="163">
        <f>IF('02_Bitrequest_import'!P6&lt;&gt;"",'02_Bitrequest_import'!P6,"")</f>
        <v>45292</v>
      </c>
      <c r="C6" s="19" t="str">
        <f>'02_Bitrequest_import'!R6</f>
        <v>Entrée</v>
      </c>
      <c r="D6" s="41">
        <f>'02_Bitrequest_import'!Q6</f>
        <v>0.25</v>
      </c>
      <c r="E6" s="41">
        <f>'02_Bitrequest_import'!S6</f>
        <v>154</v>
      </c>
      <c r="F6" s="185">
        <f>IF(C6="Entrée",D6,0)</f>
        <v>0.25</v>
      </c>
      <c r="G6" s="186">
        <f>IF(C6="Entrée",E6,0)</f>
        <v>154</v>
      </c>
      <c r="H6" s="184" t="str">
        <f t="shared" ref="H6:H7" si="0">IF(C6="Sortie",D6*G6,"")</f>
        <v/>
      </c>
      <c r="I6" s="182">
        <f>IF(C6="Entrée",E6,0)</f>
        <v>154</v>
      </c>
      <c r="J6" s="44" t="s">
        <v>155</v>
      </c>
      <c r="M6" s="57">
        <f>IF('03_Tout_autre_wallet'!P6&lt;&gt;"",'02_Bitrequest_import'!P6,"")</f>
        <v>45292</v>
      </c>
      <c r="N6" t="str">
        <f>'03_Tout_autre_wallet'!R6</f>
        <v>Entrée</v>
      </c>
      <c r="O6" s="41">
        <f>'03_Tout_autre_wallet'!Q6</f>
        <v>0.25</v>
      </c>
      <c r="P6" s="8">
        <f>'03_Tout_autre_wallet'!S6</f>
        <v>154</v>
      </c>
      <c r="Q6" s="185">
        <f>IF(N6="Entrée",O6,0)</f>
        <v>0.25</v>
      </c>
      <c r="R6" s="186">
        <f>IF(N6="Entrée",P6,0)</f>
        <v>154</v>
      </c>
      <c r="S6" s="184" t="str">
        <f t="shared" ref="S6:S17" si="1">IF(N6="Sortie",O6*R6,"")</f>
        <v/>
      </c>
    </row>
    <row r="7" spans="2:27" x14ac:dyDescent="0.3">
      <c r="B7" s="163">
        <f>IF('02_Bitrequest_import'!P7&lt;&gt;"",'02_Bitrequest_import'!P7,"")</f>
        <v>45306</v>
      </c>
      <c r="C7" s="19" t="str">
        <f>'02_Bitrequest_import'!R7</f>
        <v>Entrée</v>
      </c>
      <c r="D7" s="41">
        <f>'02_Bitrequest_import'!Q7</f>
        <v>0.15</v>
      </c>
      <c r="E7" s="41">
        <f>'02_Bitrequest_import'!S7</f>
        <v>148.33333333333334</v>
      </c>
      <c r="F7" s="40">
        <f>IF(C7="Entrée",F6+D7,IF(F6-D7&lt;0,0,F6-D7))</f>
        <v>0.4</v>
      </c>
      <c r="G7" s="183">
        <f>IF(C7="Entrée",IF(F6=0,E7,(F6*G6+D7*E7)/(F6+D7)),G6)</f>
        <v>151.875</v>
      </c>
      <c r="H7" s="184" t="str">
        <f t="shared" si="0"/>
        <v/>
      </c>
      <c r="I7" s="8"/>
      <c r="J7" s="44" t="s">
        <v>156</v>
      </c>
      <c r="M7" s="57">
        <f>IF('03_Tout_autre_wallet'!P7&lt;&gt;"",'02_Bitrequest_import'!P7,"")</f>
        <v>45306</v>
      </c>
      <c r="N7" t="str">
        <f>'03_Tout_autre_wallet'!R7</f>
        <v>Entrée</v>
      </c>
      <c r="O7" s="41">
        <f>'03_Tout_autre_wallet'!Q7</f>
        <v>0.15</v>
      </c>
      <c r="P7" s="8">
        <f>'03_Tout_autre_wallet'!S7</f>
        <v>148.33333333333334</v>
      </c>
      <c r="Q7" s="40">
        <f>IF(N7="Entrée",Q6+O7,IF(Q6-O7&lt;0,0,Q6-O7))</f>
        <v>0.4</v>
      </c>
      <c r="R7" s="183">
        <f>IF(N7="Entrée",IF(Q6=0,P7,(Q6*R6+O7*P7)/(Q6+O7)),R6)</f>
        <v>151.875</v>
      </c>
      <c r="S7" s="184" t="str">
        <f t="shared" si="1"/>
        <v/>
      </c>
      <c r="U7" s="44" t="s">
        <v>297</v>
      </c>
    </row>
    <row r="8" spans="2:27" x14ac:dyDescent="0.3">
      <c r="B8" s="163">
        <f>IF('02_Bitrequest_import'!P8&lt;&gt;"",'02_Bitrequest_import'!P8,"")</f>
        <v>45323</v>
      </c>
      <c r="C8" s="19" t="str">
        <f>'02_Bitrequest_import'!R8</f>
        <v>Sortie</v>
      </c>
      <c r="D8" s="41">
        <f>'02_Bitrequest_import'!Q8</f>
        <v>0.25</v>
      </c>
      <c r="E8" s="41">
        <f>'02_Bitrequest_import'!S8</f>
        <v>260</v>
      </c>
      <c r="F8" s="40">
        <f t="shared" ref="F8:F14" si="2">IF(C8="Entrée",F7+D8,IF(F7-D8&lt;0,0,F7-D8))</f>
        <v>0.15000000000000002</v>
      </c>
      <c r="G8" s="183">
        <f t="shared" ref="G8:G14" si="3">IF(C8="Entrée", IF(F7=0,E8, (F7*G7+D8*E8)/(F7+D8)),
                        G7)</f>
        <v>151.875</v>
      </c>
      <c r="H8" s="184">
        <f>IF(C8="Sortie",D8*G8,"")</f>
        <v>37.96875</v>
      </c>
      <c r="I8" s="8"/>
      <c r="M8" s="57">
        <f>IF('03_Tout_autre_wallet'!P8&lt;&gt;"",'02_Bitrequest_import'!P8,"")</f>
        <v>45323</v>
      </c>
      <c r="N8" t="str">
        <f>'03_Tout_autre_wallet'!R8</f>
        <v>Sortie</v>
      </c>
      <c r="O8" s="41">
        <f>'03_Tout_autre_wallet'!Q8</f>
        <v>0.25</v>
      </c>
      <c r="P8" s="8">
        <f>'03_Tout_autre_wallet'!S8</f>
        <v>260</v>
      </c>
      <c r="Q8" s="40">
        <f t="shared" ref="Q8:Q17" si="4">IF(N8="Entrée",Q7+O8,IF(Q7-O8&lt;0,0,Q7-O8))</f>
        <v>0.15000000000000002</v>
      </c>
      <c r="R8" s="183">
        <f t="shared" ref="R8:R17" si="5">IF(N8="Entrée",IF(Q7=0,P8,(Q7*R7+O8*P8)/(Q7+O8)),R7)</f>
        <v>151.875</v>
      </c>
      <c r="S8" s="184">
        <f t="shared" si="1"/>
        <v>37.96875</v>
      </c>
      <c r="U8" s="44" t="s">
        <v>298</v>
      </c>
    </row>
    <row r="9" spans="2:27" x14ac:dyDescent="0.3">
      <c r="B9" s="163">
        <f>IF('02_Bitrequest_import'!P9&lt;&gt;"",'02_Bitrequest_import'!P9,"")</f>
        <v>45337</v>
      </c>
      <c r="C9" s="19" t="str">
        <f>'02_Bitrequest_import'!R9</f>
        <v>Entrée</v>
      </c>
      <c r="D9" s="41">
        <f>'02_Bitrequest_import'!Q9</f>
        <v>0.3</v>
      </c>
      <c r="E9" s="41">
        <f>'02_Bitrequest_import'!S9</f>
        <v>270</v>
      </c>
      <c r="F9" s="40">
        <f t="shared" si="2"/>
        <v>0.45</v>
      </c>
      <c r="G9" s="183">
        <f t="shared" si="3"/>
        <v>230.625</v>
      </c>
      <c r="H9" s="184" t="str">
        <f t="shared" ref="H9:H14" si="6">IF(C9="Sortie",D9*G9,"")</f>
        <v/>
      </c>
      <c r="I9" s="8"/>
      <c r="M9" s="57">
        <f>IF('03_Tout_autre_wallet'!P9&lt;&gt;"",'02_Bitrequest_import'!P9,"")</f>
        <v>45337</v>
      </c>
      <c r="N9" t="str">
        <f>'03_Tout_autre_wallet'!R9</f>
        <v>Entrée</v>
      </c>
      <c r="O9" s="41">
        <f>'03_Tout_autre_wallet'!Q9</f>
        <v>0.3</v>
      </c>
      <c r="P9" s="8">
        <f>'03_Tout_autre_wallet'!S9</f>
        <v>270</v>
      </c>
      <c r="Q9" s="40">
        <f t="shared" si="4"/>
        <v>0.45</v>
      </c>
      <c r="R9" s="183">
        <f t="shared" si="5"/>
        <v>230.625</v>
      </c>
      <c r="S9" s="184" t="str">
        <f t="shared" si="1"/>
        <v/>
      </c>
    </row>
    <row r="10" spans="2:27" x14ac:dyDescent="0.3">
      <c r="B10" s="163" t="str">
        <f>IF('02_Bitrequest_import'!P10&lt;&gt;"",'02_Bitrequest_import'!P10,"")</f>
        <v/>
      </c>
      <c r="C10" s="19">
        <f>'02_Bitrequest_import'!R10</f>
        <v>0</v>
      </c>
      <c r="D10" s="41">
        <f>'02_Bitrequest_import'!Q10</f>
        <v>0</v>
      </c>
      <c r="E10" s="41">
        <f>'02_Bitrequest_import'!S10</f>
        <v>0</v>
      </c>
      <c r="F10" s="40">
        <f t="shared" si="2"/>
        <v>0.45</v>
      </c>
      <c r="G10" s="183">
        <f t="shared" si="3"/>
        <v>230.625</v>
      </c>
      <c r="H10" s="184" t="str">
        <f t="shared" si="6"/>
        <v/>
      </c>
      <c r="I10" s="8"/>
      <c r="M10" s="57" t="str">
        <f>IF('03_Tout_autre_wallet'!P10&lt;&gt;"",'02_Bitrequest_import'!P10,"")</f>
        <v/>
      </c>
      <c r="N10">
        <f>'03_Tout_autre_wallet'!R10</f>
        <v>0</v>
      </c>
      <c r="O10" s="41">
        <f>'03_Tout_autre_wallet'!Q10</f>
        <v>0</v>
      </c>
      <c r="P10" s="8">
        <f>'03_Tout_autre_wallet'!S10</f>
        <v>0</v>
      </c>
      <c r="Q10" s="40">
        <f t="shared" si="4"/>
        <v>0.45</v>
      </c>
      <c r="R10" s="183">
        <f t="shared" si="5"/>
        <v>230.625</v>
      </c>
      <c r="S10" s="184" t="str">
        <f t="shared" si="1"/>
        <v/>
      </c>
    </row>
    <row r="11" spans="2:27" x14ac:dyDescent="0.3">
      <c r="B11" s="163" t="str">
        <f>IF('02_Bitrequest_import'!P11&lt;&gt;"",'02_Bitrequest_import'!P11,"")</f>
        <v/>
      </c>
      <c r="C11" s="19">
        <f>'02_Bitrequest_import'!R11</f>
        <v>0</v>
      </c>
      <c r="D11" s="41">
        <f>'02_Bitrequest_import'!Q11</f>
        <v>0</v>
      </c>
      <c r="E11" s="41">
        <f>'02_Bitrequest_import'!S11</f>
        <v>0</v>
      </c>
      <c r="F11" s="40">
        <f t="shared" si="2"/>
        <v>0.45</v>
      </c>
      <c r="G11" s="183">
        <f t="shared" si="3"/>
        <v>230.625</v>
      </c>
      <c r="H11" s="184" t="str">
        <f t="shared" si="6"/>
        <v/>
      </c>
      <c r="I11" s="8"/>
      <c r="M11" s="57" t="str">
        <f>IF('03_Tout_autre_wallet'!P11&lt;&gt;"",'02_Bitrequest_import'!P11,"")</f>
        <v/>
      </c>
      <c r="N11">
        <f>'03_Tout_autre_wallet'!R11</f>
        <v>0</v>
      </c>
      <c r="O11" s="41">
        <f>'03_Tout_autre_wallet'!Q11</f>
        <v>0</v>
      </c>
      <c r="P11" s="8">
        <f>'03_Tout_autre_wallet'!S11</f>
        <v>0</v>
      </c>
      <c r="Q11" s="40">
        <f t="shared" si="4"/>
        <v>0.45</v>
      </c>
      <c r="R11" s="183">
        <f t="shared" si="5"/>
        <v>230.625</v>
      </c>
      <c r="S11" s="184" t="str">
        <f t="shared" si="1"/>
        <v/>
      </c>
    </row>
    <row r="12" spans="2:27" x14ac:dyDescent="0.3">
      <c r="B12" s="163" t="str">
        <f>IF('02_Bitrequest_import'!P12&lt;&gt;"",'02_Bitrequest_import'!P12,"")</f>
        <v/>
      </c>
      <c r="C12" s="19">
        <f>'02_Bitrequest_import'!R12</f>
        <v>0</v>
      </c>
      <c r="D12" s="41">
        <f>'02_Bitrequest_import'!Q12</f>
        <v>0</v>
      </c>
      <c r="E12" s="41">
        <f>'02_Bitrequest_import'!S12</f>
        <v>0</v>
      </c>
      <c r="F12" s="40">
        <f t="shared" si="2"/>
        <v>0.45</v>
      </c>
      <c r="G12" s="183">
        <f t="shared" si="3"/>
        <v>230.625</v>
      </c>
      <c r="H12" s="184" t="str">
        <f t="shared" si="6"/>
        <v/>
      </c>
      <c r="I12" s="8"/>
      <c r="M12" s="57" t="str">
        <f>IF('03_Tout_autre_wallet'!P12&lt;&gt;"",'02_Bitrequest_import'!P12,"")</f>
        <v/>
      </c>
      <c r="N12">
        <f>'03_Tout_autre_wallet'!R12</f>
        <v>0</v>
      </c>
      <c r="O12" s="41">
        <f>'03_Tout_autre_wallet'!Q12</f>
        <v>0</v>
      </c>
      <c r="P12" s="8">
        <f>'03_Tout_autre_wallet'!S12</f>
        <v>0</v>
      </c>
      <c r="Q12" s="40">
        <f t="shared" si="4"/>
        <v>0.45</v>
      </c>
      <c r="R12" s="183">
        <f t="shared" si="5"/>
        <v>230.625</v>
      </c>
      <c r="S12" s="184" t="str">
        <f t="shared" si="1"/>
        <v/>
      </c>
    </row>
    <row r="13" spans="2:27" x14ac:dyDescent="0.3">
      <c r="B13" s="163" t="str">
        <f>IF('02_Bitrequest_import'!P13&lt;&gt;"",'02_Bitrequest_import'!P13,"")</f>
        <v/>
      </c>
      <c r="C13" s="19">
        <f>'02_Bitrequest_import'!R13</f>
        <v>0</v>
      </c>
      <c r="D13" s="41">
        <f>'02_Bitrequest_import'!Q13</f>
        <v>0</v>
      </c>
      <c r="E13" s="41">
        <f>'02_Bitrequest_import'!S13</f>
        <v>0</v>
      </c>
      <c r="F13" s="40">
        <f t="shared" si="2"/>
        <v>0.45</v>
      </c>
      <c r="G13" s="183">
        <f t="shared" si="3"/>
        <v>230.625</v>
      </c>
      <c r="H13" s="184" t="str">
        <f t="shared" si="6"/>
        <v/>
      </c>
      <c r="I13" s="8"/>
      <c r="M13" s="57" t="str">
        <f>IF('03_Tout_autre_wallet'!P13&lt;&gt;"",'02_Bitrequest_import'!P13,"")</f>
        <v/>
      </c>
      <c r="N13">
        <f>'03_Tout_autre_wallet'!R13</f>
        <v>0</v>
      </c>
      <c r="O13" s="41">
        <f>'03_Tout_autre_wallet'!Q13</f>
        <v>0</v>
      </c>
      <c r="P13" s="8">
        <f>'03_Tout_autre_wallet'!S13</f>
        <v>0</v>
      </c>
      <c r="Q13" s="40">
        <f t="shared" si="4"/>
        <v>0.45</v>
      </c>
      <c r="R13" s="183">
        <f t="shared" si="5"/>
        <v>230.625</v>
      </c>
      <c r="S13" s="184" t="str">
        <f t="shared" si="1"/>
        <v/>
      </c>
    </row>
    <row r="14" spans="2:27" x14ac:dyDescent="0.3">
      <c r="B14" s="163" t="str">
        <f>IF('02_Bitrequest_import'!P14&lt;&gt;"",'02_Bitrequest_import'!P14,"")</f>
        <v/>
      </c>
      <c r="C14" s="19">
        <f>'02_Bitrequest_import'!R14</f>
        <v>0</v>
      </c>
      <c r="D14" s="41">
        <f>'02_Bitrequest_import'!Q14</f>
        <v>0</v>
      </c>
      <c r="E14" s="41">
        <f>'02_Bitrequest_import'!S14</f>
        <v>0</v>
      </c>
      <c r="F14" s="40">
        <f t="shared" si="2"/>
        <v>0.45</v>
      </c>
      <c r="G14" s="183">
        <f t="shared" si="3"/>
        <v>230.625</v>
      </c>
      <c r="H14" s="184" t="str">
        <f t="shared" si="6"/>
        <v/>
      </c>
      <c r="I14" s="8"/>
      <c r="M14" s="57" t="str">
        <f>IF('03_Tout_autre_wallet'!P14&lt;&gt;"",'02_Bitrequest_import'!P14,"")</f>
        <v/>
      </c>
      <c r="N14">
        <f>'03_Tout_autre_wallet'!R14</f>
        <v>0</v>
      </c>
      <c r="O14" s="41">
        <f>'03_Tout_autre_wallet'!Q14</f>
        <v>0</v>
      </c>
      <c r="P14" s="8">
        <f>'03_Tout_autre_wallet'!S14</f>
        <v>0</v>
      </c>
      <c r="Q14" s="40">
        <f t="shared" si="4"/>
        <v>0.45</v>
      </c>
      <c r="R14" s="183">
        <f t="shared" si="5"/>
        <v>230.625</v>
      </c>
      <c r="S14" s="184" t="str">
        <f t="shared" si="1"/>
        <v/>
      </c>
    </row>
    <row r="15" spans="2:27" x14ac:dyDescent="0.3">
      <c r="B15" s="163" t="str">
        <f>IF('02_Bitrequest_import'!P15&lt;&gt;"",'02_Bitrequest_import'!P15,"")</f>
        <v/>
      </c>
      <c r="C15" s="19">
        <f>'02_Bitrequest_import'!R15</f>
        <v>0</v>
      </c>
      <c r="D15" s="41">
        <f>'02_Bitrequest_import'!Q15</f>
        <v>0</v>
      </c>
      <c r="E15" s="41">
        <f>'02_Bitrequest_import'!S15</f>
        <v>0</v>
      </c>
      <c r="F15" s="40">
        <f t="shared" ref="F15:F17" si="7">IF(C15="Entrée",F14+D15,IF(F14-D15&lt;0,0,F14-D15))</f>
        <v>0.45</v>
      </c>
      <c r="G15" s="183">
        <f t="shared" ref="G15:G17" si="8">IF(C15="Entrée", IF(F14=0,E15, (F14*G14+D15*E15)/(F14+D15)),
                        G14)</f>
        <v>230.625</v>
      </c>
      <c r="H15" s="184" t="str">
        <f t="shared" ref="H15:H17" si="9">IF(C15="Sortie",D15*G15,"")</f>
        <v/>
      </c>
      <c r="I15" s="8"/>
      <c r="M15" s="57" t="str">
        <f>IF('02_Bitrequest_import'!P15&lt;&gt;"",'02_Bitrequest_import'!P15,"")</f>
        <v/>
      </c>
      <c r="N15">
        <f>'03_Tout_autre_wallet'!R15</f>
        <v>0</v>
      </c>
      <c r="O15" s="41">
        <f>'03_Tout_autre_wallet'!Q15</f>
        <v>0</v>
      </c>
      <c r="P15" s="8">
        <f>'03_Tout_autre_wallet'!S15</f>
        <v>0</v>
      </c>
      <c r="Q15" s="40">
        <f t="shared" si="4"/>
        <v>0.45</v>
      </c>
      <c r="R15" s="183">
        <f t="shared" si="5"/>
        <v>230.625</v>
      </c>
      <c r="S15" s="184" t="str">
        <f t="shared" si="1"/>
        <v/>
      </c>
    </row>
    <row r="16" spans="2:27" x14ac:dyDescent="0.3">
      <c r="B16" s="163" t="str">
        <f>IF('02_Bitrequest_import'!P16&lt;&gt;"",'02_Bitrequest_import'!P16,"")</f>
        <v/>
      </c>
      <c r="C16" s="19">
        <f>'02_Bitrequest_import'!R16</f>
        <v>0</v>
      </c>
      <c r="D16" s="41">
        <f>'02_Bitrequest_import'!Q16</f>
        <v>0</v>
      </c>
      <c r="E16" s="41">
        <f>'02_Bitrequest_import'!S16</f>
        <v>0</v>
      </c>
      <c r="F16" s="40">
        <f t="shared" si="7"/>
        <v>0.45</v>
      </c>
      <c r="G16" s="183">
        <f t="shared" si="8"/>
        <v>230.625</v>
      </c>
      <c r="H16" s="184" t="str">
        <f t="shared" si="9"/>
        <v/>
      </c>
      <c r="I16" s="8"/>
      <c r="M16" s="57" t="str">
        <f>IF('02_Bitrequest_import'!P16&lt;&gt;"",'02_Bitrequest_import'!P16,"")</f>
        <v/>
      </c>
      <c r="N16">
        <f>'03_Tout_autre_wallet'!R16</f>
        <v>0</v>
      </c>
      <c r="O16" s="41">
        <f>'03_Tout_autre_wallet'!Q16</f>
        <v>0</v>
      </c>
      <c r="P16" s="8">
        <f>'03_Tout_autre_wallet'!S16</f>
        <v>0</v>
      </c>
      <c r="Q16" s="40">
        <f t="shared" si="4"/>
        <v>0.45</v>
      </c>
      <c r="R16" s="183">
        <f t="shared" si="5"/>
        <v>230.625</v>
      </c>
      <c r="S16" s="184" t="str">
        <f t="shared" si="1"/>
        <v/>
      </c>
    </row>
    <row r="17" spans="2:19" x14ac:dyDescent="0.3">
      <c r="B17" s="163" t="str">
        <f>IF('02_Bitrequest_import'!P17&lt;&gt;"",'02_Bitrequest_import'!P17,"")</f>
        <v/>
      </c>
      <c r="C17" s="19">
        <f>'02_Bitrequest_import'!R17</f>
        <v>0</v>
      </c>
      <c r="D17" s="41">
        <f>'02_Bitrequest_import'!Q17</f>
        <v>0</v>
      </c>
      <c r="E17" s="41">
        <f>'02_Bitrequest_import'!S17</f>
        <v>0</v>
      </c>
      <c r="F17" s="40">
        <f t="shared" si="7"/>
        <v>0.45</v>
      </c>
      <c r="G17" s="183">
        <f t="shared" si="8"/>
        <v>230.625</v>
      </c>
      <c r="H17" s="184" t="str">
        <f t="shared" si="9"/>
        <v/>
      </c>
      <c r="I17" s="8"/>
      <c r="M17" s="57" t="str">
        <f>IF('02_Bitrequest_import'!P17&lt;&gt;"",'02_Bitrequest_import'!P17,"")</f>
        <v/>
      </c>
      <c r="N17">
        <f>'03_Tout_autre_wallet'!R17</f>
        <v>0</v>
      </c>
      <c r="O17" s="41">
        <f>'03_Tout_autre_wallet'!Q17</f>
        <v>0</v>
      </c>
      <c r="P17" s="8" t="str">
        <f>'03_Tout_autre_wallet'!S17</f>
        <v>étirer les lignes si besoin</v>
      </c>
      <c r="Q17" s="40">
        <f t="shared" si="4"/>
        <v>0.45</v>
      </c>
      <c r="R17" s="183">
        <f t="shared" si="5"/>
        <v>230.625</v>
      </c>
      <c r="S17" s="184" t="str">
        <f t="shared" si="1"/>
        <v/>
      </c>
    </row>
    <row r="18" spans="2:19" x14ac:dyDescent="0.3">
      <c r="B18" s="163"/>
      <c r="C18" s="19"/>
      <c r="D18" s="41"/>
      <c r="E18" s="41"/>
      <c r="F18" s="40"/>
      <c r="G18" s="183"/>
      <c r="H18" s="184"/>
      <c r="I18" s="8"/>
      <c r="M18" s="57"/>
      <c r="O18" s="8"/>
      <c r="P18" s="8"/>
      <c r="Q18" s="171"/>
      <c r="R18" s="8"/>
      <c r="S18" s="8"/>
    </row>
    <row r="19" spans="2:19" x14ac:dyDescent="0.3">
      <c r="O19" s="8"/>
      <c r="P19" s="8"/>
      <c r="R19" s="8"/>
      <c r="S19" s="8"/>
    </row>
    <row r="20" spans="2:19" x14ac:dyDescent="0.3">
      <c r="P20" s="8"/>
      <c r="R20" s="8"/>
      <c r="S20" s="8"/>
    </row>
    <row r="21" spans="2:19" x14ac:dyDescent="0.3">
      <c r="P21" s="170"/>
      <c r="R21" s="8"/>
      <c r="S21" s="8"/>
    </row>
    <row r="22" spans="2:19" x14ac:dyDescent="0.3">
      <c r="R22" s="8"/>
      <c r="S22" s="8"/>
    </row>
    <row r="23" spans="2:19" x14ac:dyDescent="0.3">
      <c r="R23" s="8"/>
      <c r="S23" s="8"/>
    </row>
    <row r="24" spans="2:19" x14ac:dyDescent="0.3">
      <c r="B24" s="39"/>
      <c r="C24" s="39"/>
      <c r="D24" s="39"/>
      <c r="E24" s="39"/>
      <c r="F24" s="39"/>
      <c r="G24" s="39"/>
      <c r="H24" s="39"/>
      <c r="S24" s="8"/>
    </row>
    <row r="25" spans="2:19" x14ac:dyDescent="0.3">
      <c r="S25" s="8"/>
    </row>
    <row r="26" spans="2:19" x14ac:dyDescent="0.3">
      <c r="B26" s="7"/>
      <c r="G26" s="6"/>
      <c r="H26" s="6"/>
      <c r="S26" s="8"/>
    </row>
    <row r="27" spans="2:19" x14ac:dyDescent="0.3">
      <c r="S27" s="8"/>
    </row>
  </sheetData>
  <conditionalFormatting sqref="C6:C18">
    <cfRule type="cellIs" dxfId="5" priority="1" operator="equal">
      <formula>"Entrée"</formula>
    </cfRule>
    <cfRule type="cellIs" dxfId="4" priority="2" operator="equal">
      <formula>"Sortie"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60B3-DB37-49A4-8610-14D29F5B7799}">
  <dimension ref="B1:J35"/>
  <sheetViews>
    <sheetView showGridLines="0" zoomScale="85" zoomScaleNormal="85" workbookViewId="0">
      <selection activeCell="I9" sqref="I9"/>
    </sheetView>
  </sheetViews>
  <sheetFormatPr baseColWidth="10" defaultRowHeight="14.4" x14ac:dyDescent="0.3"/>
  <cols>
    <col min="1" max="1" width="5.69921875" customWidth="1"/>
    <col min="2" max="2" width="36.09765625" customWidth="1"/>
    <col min="3" max="3" width="26.5" customWidth="1"/>
    <col min="4" max="4" width="28.3984375" customWidth="1"/>
    <col min="5" max="5" width="28.19921875" customWidth="1"/>
    <col min="6" max="6" width="3.796875" customWidth="1"/>
    <col min="7" max="7" width="1.09765625" customWidth="1"/>
  </cols>
  <sheetData>
    <row r="1" spans="2:10" ht="7.5" customHeight="1" x14ac:dyDescent="0.3"/>
    <row r="2" spans="2:10" ht="24.2" customHeight="1" x14ac:dyDescent="0.45">
      <c r="B2" s="61" t="s">
        <v>224</v>
      </c>
      <c r="F2" s="100"/>
    </row>
    <row r="3" spans="2:10" ht="16.7" thickBot="1" x14ac:dyDescent="0.4">
      <c r="B3" s="121" t="str">
        <f ca="1">_xlfn.CONCAT("EXERCICE ",'01_Parametres'!$C$9)</f>
        <v>EXERCICE 2025</v>
      </c>
      <c r="C3" s="24"/>
      <c r="D3" s="231" t="s">
        <v>308</v>
      </c>
      <c r="E3" s="24"/>
      <c r="F3" s="101" t="s">
        <v>225</v>
      </c>
    </row>
    <row r="4" spans="2:10" ht="17.850000000000001" x14ac:dyDescent="0.35">
      <c r="B4" s="165"/>
      <c r="D4" s="166"/>
      <c r="F4" s="210"/>
    </row>
    <row r="5" spans="2:10" ht="16.149999999999999" x14ac:dyDescent="0.35">
      <c r="B5" s="169" t="s">
        <v>287</v>
      </c>
      <c r="C5" s="167" t="s">
        <v>281</v>
      </c>
      <c r="D5" s="168" t="s">
        <v>286</v>
      </c>
      <c r="F5" s="211"/>
    </row>
    <row r="6" spans="2:10" x14ac:dyDescent="0.3">
      <c r="B6" t="s">
        <v>12</v>
      </c>
      <c r="C6" s="193"/>
      <c r="D6" t="s">
        <v>12</v>
      </c>
      <c r="E6" t="s">
        <v>12</v>
      </c>
      <c r="F6" s="211"/>
    </row>
    <row r="7" spans="2:10" ht="15" thickBot="1" x14ac:dyDescent="0.35">
      <c r="B7" s="123" t="s">
        <v>74</v>
      </c>
      <c r="C7" s="124" t="s">
        <v>75</v>
      </c>
      <c r="D7" s="124" t="s">
        <v>76</v>
      </c>
      <c r="E7" s="111" t="s">
        <v>77</v>
      </c>
      <c r="F7" s="211"/>
    </row>
    <row r="8" spans="2:10" ht="15.55" thickTop="1" thickBot="1" x14ac:dyDescent="0.35">
      <c r="B8" s="77" t="s">
        <v>78</v>
      </c>
      <c r="C8" s="194">
        <f>'01_Parametres'!$C$12*'01_Parametres'!$C$11</f>
        <v>0</v>
      </c>
      <c r="D8" s="114"/>
      <c r="E8" s="195">
        <f>C8+D8</f>
        <v>0</v>
      </c>
      <c r="F8" s="211"/>
    </row>
    <row r="9" spans="2:10" ht="15.55" thickTop="1" thickBot="1" x14ac:dyDescent="0.35">
      <c r="B9" t="s">
        <v>256</v>
      </c>
      <c r="C9" s="115">
        <f>IF($C$5="03_Tout_autre_wallet",SUMIF('03_Tout_autre_wallet'!R:R,"Entrée",'03_Tout_autre_wallet'!T:T),SUMIF('02_Bitrequest_import'!R:R,"Entrée",'02_Bitrequest_import'!T:T))</f>
        <v>141.75</v>
      </c>
      <c r="D9" s="115">
        <v>0</v>
      </c>
      <c r="E9" t="s">
        <v>12</v>
      </c>
      <c r="F9" s="211"/>
    </row>
    <row r="10" spans="2:10" ht="15.55" thickTop="1" thickBot="1" x14ac:dyDescent="0.35">
      <c r="B10" s="77" t="s">
        <v>257</v>
      </c>
      <c r="C10" s="114">
        <v>0</v>
      </c>
      <c r="D10" s="114">
        <f>IF($C$5="03_Tout_autre_wallet",SUMIF(CUMP_Calculs!N:N,"Sortie",CUMP_Calculs!S:S),SUMIF(CUMP_Calculs!C:C,"Sortie",CUMP_Calculs!H:H))</f>
        <v>37.96875</v>
      </c>
      <c r="E10" s="114" t="s">
        <v>12</v>
      </c>
      <c r="F10" s="211"/>
      <c r="H10" s="6"/>
    </row>
    <row r="11" spans="2:10" ht="15" thickTop="1" x14ac:dyDescent="0.3">
      <c r="B11" s="156" t="s">
        <v>259</v>
      </c>
      <c r="C11" s="157"/>
      <c r="D11" s="157"/>
      <c r="E11" s="157"/>
      <c r="F11" s="211"/>
      <c r="H11" s="6" t="s">
        <v>262</v>
      </c>
    </row>
    <row r="12" spans="2:10" x14ac:dyDescent="0.3">
      <c r="B12" s="156" t="s">
        <v>260</v>
      </c>
      <c r="C12" s="157"/>
      <c r="D12" s="157"/>
      <c r="E12" s="157"/>
      <c r="F12" s="211"/>
      <c r="H12" s="6" t="s">
        <v>263</v>
      </c>
    </row>
    <row r="13" spans="2:10" x14ac:dyDescent="0.3">
      <c r="B13" s="2" t="s">
        <v>79</v>
      </c>
      <c r="C13" s="115" t="s">
        <v>12</v>
      </c>
      <c r="D13" s="115" t="s">
        <v>12</v>
      </c>
      <c r="E13" s="112">
        <f>C8+C9-D10</f>
        <v>103.78125</v>
      </c>
      <c r="F13" s="211"/>
      <c r="H13" s="44" t="s">
        <v>261</v>
      </c>
      <c r="I13" s="158">
        <f>IF($C$5="03_Tout_autre_wallet",CUMP_Calculs!Q14*CUMP_Calculs!R14,CUMP_Calculs!F14*CUMP_Calculs!G14)</f>
        <v>103.78125</v>
      </c>
      <c r="J13" s="2" t="str">
        <f>IF(E13-C8=I13,"OK","Erreur, vérifier que les sorties sont &gt; entrées")</f>
        <v>OK</v>
      </c>
    </row>
    <row r="14" spans="2:10" x14ac:dyDescent="0.3">
      <c r="B14" t="s">
        <v>12</v>
      </c>
      <c r="C14" t="s">
        <v>12</v>
      </c>
      <c r="D14" t="s">
        <v>12</v>
      </c>
      <c r="E14" t="s">
        <v>12</v>
      </c>
      <c r="F14" s="211"/>
      <c r="H14" s="44" t="s">
        <v>295</v>
      </c>
    </row>
    <row r="15" spans="2:10" ht="15" thickBot="1" x14ac:dyDescent="0.35">
      <c r="B15" s="123" t="s">
        <v>80</v>
      </c>
      <c r="C15" s="123" t="s">
        <v>81</v>
      </c>
      <c r="D15" s="111" t="s">
        <v>59</v>
      </c>
      <c r="F15" s="211"/>
    </row>
    <row r="16" spans="2:10" ht="15.55" thickTop="1" thickBot="1" x14ac:dyDescent="0.35">
      <c r="B16" s="77" t="s">
        <v>82</v>
      </c>
      <c r="C16" s="114">
        <f>IF($C$5="03_Tout_autre_wallet",SUMIF('03_Tout_autre_wallet'!Y:Y,"&gt;0"),SUMIF('02_Bitrequest_import'!Y:Y,"&gt;0"))</f>
        <v>27.03125</v>
      </c>
      <c r="D16" t="s">
        <v>83</v>
      </c>
      <c r="F16" s="211"/>
    </row>
    <row r="17" spans="2:8" ht="15.55" thickTop="1" thickBot="1" x14ac:dyDescent="0.35">
      <c r="B17" t="s">
        <v>84</v>
      </c>
      <c r="C17" s="48">
        <f>IF($C$5="03_Tout_autre_wallet",SUMIF('03_Tout_autre_wallet'!Y:Y,"&lt;0"),SUMIF('02_Bitrequest_import'!Y:Y,"&lt;0"))</f>
        <v>0</v>
      </c>
      <c r="D17" t="s">
        <v>83</v>
      </c>
      <c r="F17" s="211"/>
    </row>
    <row r="18" spans="2:8" ht="15.55" thickTop="1" thickBot="1" x14ac:dyDescent="0.35">
      <c r="B18" s="117" t="s">
        <v>85</v>
      </c>
      <c r="C18" s="116">
        <f>C16+C17</f>
        <v>27.03125</v>
      </c>
      <c r="D18" t="s">
        <v>12</v>
      </c>
      <c r="F18" s="211"/>
    </row>
    <row r="19" spans="2:8" ht="15" thickTop="1" x14ac:dyDescent="0.3">
      <c r="B19" t="s">
        <v>12</v>
      </c>
      <c r="C19" t="s">
        <v>12</v>
      </c>
      <c r="D19" t="s">
        <v>12</v>
      </c>
      <c r="F19" s="211"/>
    </row>
    <row r="20" spans="2:8" ht="15" thickBot="1" x14ac:dyDescent="0.35">
      <c r="B20" s="123" t="s">
        <v>86</v>
      </c>
      <c r="C20" s="123" t="s">
        <v>226</v>
      </c>
      <c r="D20" s="123" t="s">
        <v>227</v>
      </c>
      <c r="F20" s="211"/>
    </row>
    <row r="21" spans="2:8" ht="15.55" thickTop="1" thickBot="1" x14ac:dyDescent="0.35">
      <c r="B21" s="77" t="s">
        <v>185</v>
      </c>
      <c r="C21" s="192" t="str">
        <f>_xlfn.CONCAT('01_Parametres'!$C$12," XMR")</f>
        <v>0 XMR</v>
      </c>
      <c r="D21" s="204" t="s">
        <v>299</v>
      </c>
      <c r="E21" s="44" t="s">
        <v>184</v>
      </c>
      <c r="F21" s="211"/>
    </row>
    <row r="22" spans="2:8" ht="15.55" thickTop="1" thickBot="1" x14ac:dyDescent="0.35">
      <c r="B22" t="s">
        <v>186</v>
      </c>
      <c r="C22" s="128" t="str">
        <f>IF($C$5="03_Tout_autre_wallet",_xlfn.CONCAT(VLOOKUP(MAX(CUMP_Calculs!M:M),CUMP_Calculs!M:Q,5,FALSE)," XMR"),_xlfn.CONCAT(VLOOKUP(MAX(CUMP_Calculs!B:B),CUMP_Calculs!B:F,5,FALSE)," XMR"))</f>
        <v>0,45 XMR</v>
      </c>
      <c r="D22" s="128"/>
      <c r="E22" t="s">
        <v>88</v>
      </c>
      <c r="F22" s="211"/>
      <c r="H22" s="52" t="s">
        <v>160</v>
      </c>
    </row>
    <row r="23" spans="2:8" ht="15.55" thickTop="1" thickBot="1" x14ac:dyDescent="0.35">
      <c r="B23" s="77" t="s">
        <v>89</v>
      </c>
      <c r="C23" s="191">
        <f>'01_Parametres'!C11</f>
        <v>170</v>
      </c>
      <c r="D23" s="191"/>
      <c r="E23" s="44" t="s">
        <v>183</v>
      </c>
      <c r="F23" s="211"/>
    </row>
    <row r="24" spans="2:8" ht="15.55" thickTop="1" thickBot="1" x14ac:dyDescent="0.35">
      <c r="B24" s="130" t="s">
        <v>228</v>
      </c>
      <c r="C24" s="112">
        <f>(_xlfn.TEXTBEFORE(C21," ")+_xlfn.TEXTBEFORE(C22," "))*C23</f>
        <v>76.5</v>
      </c>
      <c r="D24" s="129"/>
      <c r="E24" s="129"/>
      <c r="F24" s="211"/>
    </row>
    <row r="25" spans="2:8" ht="15" thickTop="1" x14ac:dyDescent="0.3">
      <c r="B25" t="s">
        <v>12</v>
      </c>
      <c r="C25" t="s">
        <v>12</v>
      </c>
      <c r="D25" t="s">
        <v>12</v>
      </c>
      <c r="F25" s="211"/>
    </row>
    <row r="26" spans="2:8" ht="15" thickBot="1" x14ac:dyDescent="0.35">
      <c r="B26" s="127" t="s">
        <v>90</v>
      </c>
      <c r="C26" s="125" t="s">
        <v>81</v>
      </c>
      <c r="D26" s="126" t="s">
        <v>91</v>
      </c>
      <c r="E26" s="113" t="s">
        <v>321</v>
      </c>
      <c r="F26" s="211"/>
      <c r="H26" t="s">
        <v>322</v>
      </c>
    </row>
    <row r="27" spans="2:8" ht="21.9" customHeight="1" thickTop="1" thickBot="1" x14ac:dyDescent="0.35">
      <c r="B27" s="141" t="s">
        <v>179</v>
      </c>
      <c r="C27" s="142">
        <f>C9</f>
        <v>141.75</v>
      </c>
      <c r="D27" t="s">
        <v>191</v>
      </c>
      <c r="E27" s="205">
        <f>IF($C$5="03_Tout_autre_wallet",(C23-AVERAGE('03_Tout_autre_wallet'!S:S))/AVERAGE('03_Tout_autre_wallet'!S:S),(C23-AVERAGE('02_Bitrequest_import'!S:S))/AVERAGE('02_Bitrequest_import'!S:S))</f>
        <v>-0.18301962354825796</v>
      </c>
      <c r="F27" s="211"/>
    </row>
    <row r="28" spans="2:8" ht="21.9" customHeight="1" thickTop="1" thickBot="1" x14ac:dyDescent="0.35">
      <c r="B28" s="141" t="s">
        <v>234</v>
      </c>
      <c r="C28" s="206" t="s">
        <v>299</v>
      </c>
      <c r="D28" s="209" t="s">
        <v>235</v>
      </c>
      <c r="F28" s="211"/>
    </row>
    <row r="29" spans="2:8" ht="14.4" customHeight="1" thickTop="1" thickBot="1" x14ac:dyDescent="0.35">
      <c r="B29" s="122" t="s">
        <v>132</v>
      </c>
      <c r="C29" s="143" t="str">
        <f>IF(C27&gt;'01_Parametres'!C15,"Oui","Non")</f>
        <v>Non</v>
      </c>
      <c r="D29" s="52" t="s">
        <v>180</v>
      </c>
      <c r="E29" s="52" t="s">
        <v>300</v>
      </c>
      <c r="F29" s="211"/>
    </row>
    <row r="30" spans="2:8" ht="21.35" customHeight="1" thickTop="1" thickBot="1" x14ac:dyDescent="0.35">
      <c r="B30" s="141" t="s">
        <v>93</v>
      </c>
      <c r="C30" s="207">
        <f>IF(C18&gt;0,C18,0)</f>
        <v>27.03125</v>
      </c>
      <c r="D30" t="s">
        <v>190</v>
      </c>
      <c r="F30" s="211"/>
    </row>
    <row r="31" spans="2:8" ht="22.5" customHeight="1" thickTop="1" thickBot="1" x14ac:dyDescent="0.35">
      <c r="B31" s="141" t="s">
        <v>94</v>
      </c>
      <c r="C31" s="208">
        <f>C24+D24</f>
        <v>76.5</v>
      </c>
      <c r="D31" t="s">
        <v>189</v>
      </c>
      <c r="F31" s="211"/>
    </row>
    <row r="32" spans="2:8" ht="15" thickTop="1" x14ac:dyDescent="0.3">
      <c r="F32" s="211"/>
    </row>
    <row r="33" spans="2:6" x14ac:dyDescent="0.3">
      <c r="F33" s="211"/>
    </row>
    <row r="34" spans="2:6" x14ac:dyDescent="0.3">
      <c r="B34" s="102" t="s">
        <v>211</v>
      </c>
      <c r="C34" s="80"/>
      <c r="D34" s="81"/>
      <c r="E34" s="81"/>
      <c r="F34" s="211"/>
    </row>
    <row r="35" spans="2:6" ht="17.850000000000001" customHeight="1" x14ac:dyDescent="0.3">
      <c r="B35" s="118" t="s">
        <v>192</v>
      </c>
      <c r="C35" s="118" t="s">
        <v>210</v>
      </c>
      <c r="D35" s="118" t="s">
        <v>304</v>
      </c>
      <c r="E35" s="119" t="s">
        <v>221</v>
      </c>
      <c r="F35" s="211"/>
    </row>
  </sheetData>
  <conditionalFormatting sqref="E27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H34">
    <cfRule type="cellIs" dxfId="1" priority="3" operator="equal">
      <formula>"outgoing"</formula>
    </cfRule>
    <cfRule type="cellIs" dxfId="0" priority="4" operator="equal">
      <formula>"incoming"</formula>
    </cfRule>
  </conditionalFormatting>
  <hyperlinks>
    <hyperlink ref="B35" location="'01_Parametres'!A1" display="Paramètres" xr:uid="{70C6904B-C6D6-4205-98D5-AB10A80D0E2E}"/>
    <hyperlink ref="C35" location="'02_Bitrequest_import'!A1" display="Bitrequest import" xr:uid="{6BB97431-B83D-4EE0-8153-0E5C27618BC4}"/>
    <hyperlink ref="E35" location="'04_Resultats_Comptables'!A1" display="Résultats comptables" xr:uid="{764AC7E6-61A3-4357-810F-A8681911EF42}"/>
    <hyperlink ref="D35" location="'03_Tout_autre_wallet'!A1" display="Tout autre wallet" xr:uid="{D63F1FC4-98C6-4EEF-A6BD-58F322452A8A}"/>
  </hyperlinks>
  <pageMargins left="0.7" right="0.7" top="0.75" bottom="0.75" header="0.3" footer="0.3"/>
  <pageSetup paperSize="9" scale="67" orientation="portrait" r:id="rId1"/>
  <ignoredErrors>
    <ignoredError sqref="F3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Choix d'onglet incorrect" xr:uid="{F0A1B018-20EB-4DCE-870A-463B306E2505}">
          <x14:formula1>
            <xm:f>Fichier_config!$K$4:$K$5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3245-1295-4CB6-B2E0-2AA3359084D6}">
  <dimension ref="A2:K17"/>
  <sheetViews>
    <sheetView workbookViewId="0">
      <selection activeCell="H7" sqref="H7"/>
    </sheetView>
  </sheetViews>
  <sheetFormatPr baseColWidth="10" defaultRowHeight="14.4" x14ac:dyDescent="0.3"/>
  <cols>
    <col min="2" max="2" width="17.09765625" customWidth="1"/>
  </cols>
  <sheetData>
    <row r="2" spans="1:11" ht="15" thickBot="1" x14ac:dyDescent="0.35"/>
    <row r="3" spans="1:11" ht="15.55" thickTop="1" thickBot="1" x14ac:dyDescent="0.35">
      <c r="B3" s="74" t="s">
        <v>3</v>
      </c>
      <c r="D3" s="78" t="s">
        <v>6</v>
      </c>
      <c r="G3" s="78" t="s">
        <v>13</v>
      </c>
      <c r="K3" s="78" t="s">
        <v>283</v>
      </c>
    </row>
    <row r="4" spans="1:11" ht="15" thickTop="1" x14ac:dyDescent="0.3">
      <c r="B4" s="2" t="str">
        <f>'01_Parametres'!B6</f>
        <v>Type d'entreprise</v>
      </c>
      <c r="D4" s="2" t="str">
        <f>'01_Parametres'!B7</f>
        <v>Pays</v>
      </c>
      <c r="E4" s="2" t="s">
        <v>208</v>
      </c>
      <c r="G4" s="2" t="str">
        <f>'01_Parametres'!B10</f>
        <v>Compte crypto</v>
      </c>
      <c r="H4" s="2" t="s">
        <v>18</v>
      </c>
      <c r="K4" t="s">
        <v>282</v>
      </c>
    </row>
    <row r="5" spans="1:11" x14ac:dyDescent="0.3">
      <c r="B5" t="s">
        <v>195</v>
      </c>
      <c r="D5" t="s">
        <v>7</v>
      </c>
      <c r="E5" t="s">
        <v>207</v>
      </c>
      <c r="G5" s="51">
        <v>522</v>
      </c>
      <c r="H5" t="s">
        <v>209</v>
      </c>
      <c r="K5" t="s">
        <v>281</v>
      </c>
    </row>
    <row r="6" spans="1:11" x14ac:dyDescent="0.3">
      <c r="B6" t="s">
        <v>198</v>
      </c>
      <c r="D6" t="s">
        <v>202</v>
      </c>
      <c r="H6" t="s">
        <v>311</v>
      </c>
    </row>
    <row r="7" spans="1:11" x14ac:dyDescent="0.3">
      <c r="B7" t="s">
        <v>199</v>
      </c>
      <c r="D7" t="s">
        <v>205</v>
      </c>
    </row>
    <row r="8" spans="1:11" x14ac:dyDescent="0.3">
      <c r="B8" t="s">
        <v>200</v>
      </c>
      <c r="D8" t="s">
        <v>203</v>
      </c>
    </row>
    <row r="9" spans="1:11" x14ac:dyDescent="0.3">
      <c r="B9" t="s">
        <v>201</v>
      </c>
      <c r="D9" t="s">
        <v>204</v>
      </c>
    </row>
    <row r="10" spans="1:11" x14ac:dyDescent="0.3">
      <c r="D10" t="s">
        <v>206</v>
      </c>
    </row>
    <row r="15" spans="1:11" x14ac:dyDescent="0.3">
      <c r="B15" s="58" t="s">
        <v>240</v>
      </c>
    </row>
    <row r="16" spans="1:11" x14ac:dyDescent="0.3">
      <c r="A16" s="128" t="s">
        <v>242</v>
      </c>
      <c r="B16" s="39" t="s">
        <v>241</v>
      </c>
      <c r="C16" t="s">
        <v>243</v>
      </c>
    </row>
    <row r="17" spans="1:3" x14ac:dyDescent="0.3">
      <c r="A17" s="128" t="s">
        <v>242</v>
      </c>
      <c r="B17" s="39" t="s">
        <v>285</v>
      </c>
      <c r="C17" t="s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BE93-FC00-4A9F-8326-BBC48D6E9877}">
  <dimension ref="A1:E23"/>
  <sheetViews>
    <sheetView workbookViewId="0">
      <selection activeCell="C31" sqref="C31"/>
    </sheetView>
  </sheetViews>
  <sheetFormatPr baseColWidth="10" defaultRowHeight="14.4" x14ac:dyDescent="0.3"/>
  <cols>
    <col min="1" max="1" width="38.8984375" customWidth="1"/>
    <col min="2" max="2" width="42.296875" customWidth="1"/>
    <col min="3" max="3" width="47.09765625" customWidth="1"/>
    <col min="4" max="4" width="16.69921875" bestFit="1" customWidth="1"/>
    <col min="5" max="5" width="61.59765625" bestFit="1" customWidth="1"/>
  </cols>
  <sheetData>
    <row r="1" spans="1:5" x14ac:dyDescent="0.3">
      <c r="A1" s="16" t="s">
        <v>73</v>
      </c>
      <c r="B1" s="11"/>
      <c r="C1" s="11" t="s">
        <v>12</v>
      </c>
      <c r="D1" s="11" t="s">
        <v>12</v>
      </c>
      <c r="E1" s="12" t="s">
        <v>12</v>
      </c>
    </row>
    <row r="2" spans="1:5" x14ac:dyDescent="0.3">
      <c r="A2" s="13" t="s">
        <v>12</v>
      </c>
      <c r="B2" s="14" t="s">
        <v>12</v>
      </c>
      <c r="C2" s="14" t="s">
        <v>12</v>
      </c>
      <c r="D2" s="14" t="s">
        <v>12</v>
      </c>
      <c r="E2" s="15" t="s">
        <v>12</v>
      </c>
    </row>
    <row r="3" spans="1:5" x14ac:dyDescent="0.3">
      <c r="A3" s="16" t="s">
        <v>100</v>
      </c>
      <c r="B3" s="17" t="s">
        <v>75</v>
      </c>
      <c r="C3" s="17" t="s">
        <v>76</v>
      </c>
      <c r="D3" s="17" t="s">
        <v>77</v>
      </c>
      <c r="E3" s="18" t="s">
        <v>101</v>
      </c>
    </row>
    <row r="4" spans="1:5" x14ac:dyDescent="0.3">
      <c r="A4" s="13" t="s">
        <v>78</v>
      </c>
      <c r="B4" s="14" t="s">
        <v>60</v>
      </c>
      <c r="C4" s="14" t="s">
        <v>60</v>
      </c>
      <c r="D4" s="14" t="s">
        <v>60</v>
      </c>
      <c r="E4" s="15" t="s">
        <v>60</v>
      </c>
    </row>
    <row r="5" spans="1:5" x14ac:dyDescent="0.3">
      <c r="A5" s="10" t="s">
        <v>102</v>
      </c>
      <c r="B5" s="11" t="s">
        <v>140</v>
      </c>
      <c r="C5" s="11" t="s">
        <v>60</v>
      </c>
      <c r="D5" s="11" t="s">
        <v>12</v>
      </c>
      <c r="E5" s="12" t="s">
        <v>141</v>
      </c>
    </row>
    <row r="6" spans="1:5" x14ac:dyDescent="0.3">
      <c r="A6" s="13" t="s">
        <v>103</v>
      </c>
      <c r="B6" s="14" t="s">
        <v>60</v>
      </c>
      <c r="C6" s="14" t="s">
        <v>142</v>
      </c>
      <c r="D6" s="14" t="s">
        <v>12</v>
      </c>
      <c r="E6" s="15" t="s">
        <v>143</v>
      </c>
    </row>
    <row r="7" spans="1:5" x14ac:dyDescent="0.3">
      <c r="A7" s="10" t="s">
        <v>79</v>
      </c>
      <c r="B7" s="11" t="s">
        <v>104</v>
      </c>
      <c r="C7" s="11" t="s">
        <v>105</v>
      </c>
      <c r="D7" s="11" t="e">
        <f>B5-C5</f>
        <v>#VALUE!</v>
      </c>
      <c r="E7" s="12" t="s">
        <v>106</v>
      </c>
    </row>
    <row r="8" spans="1:5" x14ac:dyDescent="0.3">
      <c r="A8" s="13" t="s">
        <v>12</v>
      </c>
      <c r="B8" s="14" t="s">
        <v>12</v>
      </c>
      <c r="C8" s="14" t="s">
        <v>12</v>
      </c>
      <c r="D8" s="14" t="s">
        <v>12</v>
      </c>
      <c r="E8" s="15" t="s">
        <v>12</v>
      </c>
    </row>
    <row r="9" spans="1:5" x14ac:dyDescent="0.3">
      <c r="A9" s="16" t="s">
        <v>80</v>
      </c>
      <c r="B9" s="17" t="s">
        <v>107</v>
      </c>
      <c r="C9" s="17" t="s">
        <v>108</v>
      </c>
      <c r="D9" s="17" t="s">
        <v>109</v>
      </c>
      <c r="E9" s="18" t="s">
        <v>110</v>
      </c>
    </row>
    <row r="10" spans="1:5" x14ac:dyDescent="0.3">
      <c r="A10" s="13" t="s">
        <v>111</v>
      </c>
      <c r="B10" s="14" t="s">
        <v>144</v>
      </c>
      <c r="C10" s="14" t="s">
        <v>12</v>
      </c>
      <c r="D10" s="14" t="s">
        <v>12</v>
      </c>
      <c r="E10" s="15" t="s">
        <v>12</v>
      </c>
    </row>
    <row r="11" spans="1:5" x14ac:dyDescent="0.3">
      <c r="A11" s="10" t="s">
        <v>112</v>
      </c>
      <c r="B11" s="11" t="s">
        <v>12</v>
      </c>
      <c r="C11" s="11" t="s">
        <v>145</v>
      </c>
      <c r="D11" s="11" t="s">
        <v>12</v>
      </c>
      <c r="E11" s="12" t="s">
        <v>12</v>
      </c>
    </row>
    <row r="12" spans="1:5" x14ac:dyDescent="0.3">
      <c r="A12" s="13" t="s">
        <v>84</v>
      </c>
      <c r="B12" s="14" t="s">
        <v>146</v>
      </c>
      <c r="C12" s="14" t="s">
        <v>12</v>
      </c>
      <c r="D12" s="14" t="s">
        <v>12</v>
      </c>
      <c r="E12" s="15" t="s">
        <v>12</v>
      </c>
    </row>
    <row r="13" spans="1:5" x14ac:dyDescent="0.3">
      <c r="A13" s="10" t="s">
        <v>113</v>
      </c>
      <c r="B13" s="11" t="s">
        <v>12</v>
      </c>
      <c r="C13" s="11" t="s">
        <v>12</v>
      </c>
      <c r="D13" s="11" t="s">
        <v>114</v>
      </c>
      <c r="E13" s="12" t="s">
        <v>115</v>
      </c>
    </row>
    <row r="14" spans="1:5" x14ac:dyDescent="0.3">
      <c r="A14" s="13" t="s">
        <v>12</v>
      </c>
      <c r="B14" s="14" t="s">
        <v>12</v>
      </c>
      <c r="C14" s="14" t="s">
        <v>12</v>
      </c>
      <c r="D14" s="14" t="s">
        <v>12</v>
      </c>
      <c r="E14" s="15" t="s">
        <v>12</v>
      </c>
    </row>
    <row r="15" spans="1:5" x14ac:dyDescent="0.3">
      <c r="A15" s="16" t="s">
        <v>116</v>
      </c>
      <c r="B15" s="17" t="s">
        <v>117</v>
      </c>
      <c r="C15" s="17" t="s">
        <v>118</v>
      </c>
      <c r="D15" s="17" t="s">
        <v>119</v>
      </c>
      <c r="E15" s="18" t="s">
        <v>120</v>
      </c>
    </row>
    <row r="16" spans="1:5" x14ac:dyDescent="0.3">
      <c r="A16" s="13" t="s">
        <v>121</v>
      </c>
      <c r="B16" s="14" t="s">
        <v>122</v>
      </c>
      <c r="C16" s="14" t="s">
        <v>123</v>
      </c>
      <c r="D16" s="14" t="s">
        <v>124</v>
      </c>
      <c r="E16" s="15" t="e">
        <f>(C14-AVERAGE('02_Bitrequest_import'!E:E))/AVERAGE('02_Bitrequest_import'!E:E)</f>
        <v>#VALUE!</v>
      </c>
    </row>
    <row r="17" spans="1:5" x14ac:dyDescent="0.3">
      <c r="A17" s="10" t="s">
        <v>125</v>
      </c>
      <c r="B17" s="11" t="s">
        <v>126</v>
      </c>
      <c r="C17" s="11" t="s">
        <v>127</v>
      </c>
      <c r="D17" s="11" t="s">
        <v>128</v>
      </c>
      <c r="E17" s="12" t="s">
        <v>12</v>
      </c>
    </row>
    <row r="18" spans="1:5" x14ac:dyDescent="0.3">
      <c r="A18" s="13" t="s">
        <v>12</v>
      </c>
      <c r="B18" s="14" t="s">
        <v>12</v>
      </c>
      <c r="C18" s="14" t="s">
        <v>12</v>
      </c>
      <c r="D18" s="14" t="s">
        <v>12</v>
      </c>
      <c r="E18" s="15" t="s">
        <v>12</v>
      </c>
    </row>
    <row r="19" spans="1:5" x14ac:dyDescent="0.3">
      <c r="A19" s="16" t="s">
        <v>129</v>
      </c>
      <c r="B19" s="17" t="s">
        <v>81</v>
      </c>
      <c r="C19" s="17" t="s">
        <v>91</v>
      </c>
      <c r="D19" s="17" t="s">
        <v>59</v>
      </c>
      <c r="E19" s="12" t="s">
        <v>12</v>
      </c>
    </row>
    <row r="20" spans="1:5" x14ac:dyDescent="0.3">
      <c r="A20" s="13" t="s">
        <v>130</v>
      </c>
      <c r="B20" s="14" t="s">
        <v>92</v>
      </c>
      <c r="C20" s="14" t="s">
        <v>12</v>
      </c>
      <c r="D20" s="14" t="s">
        <v>131</v>
      </c>
      <c r="E20" s="15" t="s">
        <v>12</v>
      </c>
    </row>
    <row r="21" spans="1:5" x14ac:dyDescent="0.3">
      <c r="A21" s="10" t="s">
        <v>132</v>
      </c>
      <c r="B21" s="11" t="s">
        <v>133</v>
      </c>
      <c r="C21" s="11" t="s">
        <v>12</v>
      </c>
      <c r="D21" s="11" t="s">
        <v>134</v>
      </c>
      <c r="E21" s="12" t="s">
        <v>12</v>
      </c>
    </row>
    <row r="22" spans="1:5" x14ac:dyDescent="0.3">
      <c r="A22" s="13" t="s">
        <v>93</v>
      </c>
      <c r="B22" s="14" t="s">
        <v>135</v>
      </c>
      <c r="C22" s="14" t="s">
        <v>12</v>
      </c>
      <c r="D22" s="14" t="s">
        <v>136</v>
      </c>
      <c r="E22" s="15" t="s">
        <v>12</v>
      </c>
    </row>
    <row r="23" spans="1:5" x14ac:dyDescent="0.3">
      <c r="A23" s="20" t="s">
        <v>137</v>
      </c>
      <c r="B23" s="21" t="s">
        <v>138</v>
      </c>
      <c r="C23" s="21" t="s">
        <v>12</v>
      </c>
      <c r="D23" s="21" t="s">
        <v>139</v>
      </c>
      <c r="E23" s="22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J g l W u / T Q n y l A A A A 9 g A A A B I A H A B D b 2 5 m a W c v U G F j a 2 F n Z S 5 4 b W w g o h g A K K A U A A A A A A A A A A A A A A A A A A A A A A A A A A A A h Y + 9 D o I w G E V f h X S n P 7 A Q 8 l E G E y d J j C b G l Z Q C j V B M W y z v 5 u A j + Q p i F H V z v O e e 4 d 7 7 9 Q b 5 1 H f B R R q r B p 0 h h i k K p B Z D p X S T o d H V Y Y J y D t t S n M p G B r O s b T r Z K k O t c + e U E O 8 9 9 j E e T E M i S h k 5 F p u 9 a G V f o o + s / s u h 0 t a V W k j E 4 f A a w y P M 4 g S z h G I K Z I F Q K P 0 V o n n v s / 2 B s B o 7 N x r J a x O u d 0 C W C O T 9 g T 8 A U E s D B B Q A A g A I A B C Y J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m C V a K I p H u A 4 A A A A R A A A A E w A c A E Z v c m 1 1 b G F z L 1 N l Y 3 R p b 2 4 x L m 0 g o h g A K K A U A A A A A A A A A A A A A A A A A A A A A A A A A A A A K 0 5 N L s n M z 1 M I h t C G 1 g B Q S w E C L Q A U A A I A C A A Q m C V a 7 9 N C f K U A A A D 2 A A A A E g A A A A A A A A A A A A A A A A A A A A A A Q 2 9 u Z m l n L 1 B h Y 2 t h Z 2 U u e G 1 s U E s B A i 0 A F A A C A A g A E J g l W g / K 6 a u k A A A A 6 Q A A A B M A A A A A A A A A A A A A A A A A 8 Q A A A F t D b 2 5 0 Z W 5 0 X 1 R 5 c G V z X S 5 4 b W x Q S w E C L Q A U A A I A C A A Q m C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J i j T x 2 r d E + z C X l g Q I k m O w A A A A A C A A A A A A A Q Z g A A A A E A A C A A A A B M I O A M C g R 0 R e p d U J w p 7 W T c V U t i r 9 j p k 5 r q s t W B b c c m K g A A A A A O g A A A A A I A A C A A A A A h r N H n m 0 L f P a U r 5 2 c S 4 Q G E X C p B d v q X Z v u r t W K F X R G 7 Z V A A A A A 1 S p z 2 O O o m N J F H O K F 5 r x i I n B G S F n K x S G t k I J p y h Q 0 X f x Z 9 X e D p P E q b Y V j w O u t j 7 t A k K M 1 A T x V F d P C I 3 n b z Z 4 N F 2 b P g G U I P 0 L g W C 2 / 6 W 3 t n 7 k A A A A A i w Y h M A + 6 d D F W B B z Y g Z 0 J R 9 R V H n B b 6 v z G c 0 m h Q 3 o N D z b m Y Z u q O J L m h 7 D i F i c o L M V k V m o 8 T Y h R w n i y N / j z 6 G r 7 A < / D a t a M a s h u p > 
</file>

<file path=customXml/itemProps1.xml><?xml version="1.0" encoding="utf-8"?>
<ds:datastoreItem xmlns:ds="http://schemas.openxmlformats.org/officeDocument/2006/customXml" ds:itemID="{0A7C31DC-2236-4A6D-A357-8238D2F1AF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</vt:i4>
      </vt:variant>
    </vt:vector>
  </HeadingPairs>
  <TitlesOfParts>
    <vt:vector size="10" baseType="lpstr">
      <vt:lpstr>01_Parametres</vt:lpstr>
      <vt:lpstr>Parametres (2) _sauv</vt:lpstr>
      <vt:lpstr>02_Bitrequest_import</vt:lpstr>
      <vt:lpstr>03_Tout_autre_wallet</vt:lpstr>
      <vt:lpstr>CUMP_Calculs</vt:lpstr>
      <vt:lpstr>04_Resultats_Comptables</vt:lpstr>
      <vt:lpstr>Fichier_config</vt:lpstr>
      <vt:lpstr>reporting-comptable-csv (2)</vt:lpstr>
      <vt:lpstr>'01_Parametres'!Zone_d_impression</vt:lpstr>
      <vt:lpstr>'04_Resultats_Comptables'!Zone_d_impression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A G</cp:lastModifiedBy>
  <dcterms:created xsi:type="dcterms:W3CDTF">2025-01-02T01:02:26Z</dcterms:created>
  <dcterms:modified xsi:type="dcterms:W3CDTF">2025-03-02T19:04:19Z</dcterms:modified>
</cp:coreProperties>
</file>