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R:\@GUICHET\@Compta Fisca\Macro Excel fiscale - Claude 2025\"/>
    </mc:Choice>
  </mc:AlternateContent>
  <xr:revisionPtr revIDLastSave="0" documentId="13_ncr:1_{C1C88B5E-3B33-496C-9954-DEC974860882}" xr6:coauthVersionLast="47" xr6:coauthVersionMax="47" xr10:uidLastSave="{00000000-0000-0000-0000-000000000000}"/>
  <bookViews>
    <workbookView xWindow="22015" yWindow="-104" windowWidth="22325" windowHeight="11947" tabRatio="605" activeTab="4" xr2:uid="{00000000-000D-0000-FFFF-FFFF00000000}"/>
  </bookViews>
  <sheets>
    <sheet name="01_Parametres" sheetId="1" r:id="rId1"/>
    <sheet name="Parametres (2) _sauv" sheetId="10" state="hidden" r:id="rId2"/>
    <sheet name="02_Bitrequest_import" sheetId="2" r:id="rId3"/>
    <sheet name="03_Tout_autre_wallet_import" sheetId="9" r:id="rId4"/>
    <sheet name="04_Resultats_Comptables" sheetId="5" r:id="rId5"/>
    <sheet name="Fichier_config" sheetId="11" r:id="rId6"/>
    <sheet name="CUMP_Calculs" sheetId="4" r:id="rId7"/>
    <sheet name="reporting-comptable-csv (2)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B16" i="4"/>
  <c r="B17" i="4"/>
  <c r="B6" i="4"/>
  <c r="B7" i="4"/>
  <c r="B8" i="4"/>
  <c r="B9" i="4"/>
  <c r="B10" i="4"/>
  <c r="B11" i="4"/>
  <c r="B12" i="4"/>
  <c r="B13" i="4"/>
  <c r="B14" i="4"/>
  <c r="B15" i="4"/>
  <c r="C15" i="4"/>
  <c r="D15" i="4"/>
  <c r="E15" i="4"/>
  <c r="C16" i="4"/>
  <c r="H16" i="4" s="1"/>
  <c r="D16" i="4"/>
  <c r="E16" i="4"/>
  <c r="C17" i="4"/>
  <c r="H17" i="4" s="1"/>
  <c r="D17" i="4"/>
  <c r="E17" i="4"/>
  <c r="V8" i="9"/>
  <c r="T7" i="9"/>
  <c r="S7" i="9" s="1"/>
  <c r="R7" i="9"/>
  <c r="Q7" i="9"/>
  <c r="P7" i="9"/>
  <c r="U7" i="9" s="1"/>
  <c r="V6" i="9"/>
  <c r="U6" i="9"/>
  <c r="S6" i="9"/>
  <c r="T6" i="9"/>
  <c r="R6" i="9"/>
  <c r="Q6" i="9"/>
  <c r="J6" i="9" s="1"/>
  <c r="P6" i="9"/>
  <c r="U7" i="2"/>
  <c r="U8" i="2"/>
  <c r="U9" i="2"/>
  <c r="U10" i="2"/>
  <c r="U11" i="2"/>
  <c r="U12" i="2"/>
  <c r="U13" i="2"/>
  <c r="U14" i="2"/>
  <c r="U6" i="2"/>
  <c r="C18" i="2"/>
  <c r="A15" i="2"/>
  <c r="A16" i="2"/>
  <c r="A8" i="2"/>
  <c r="A9" i="2" s="1"/>
  <c r="A10" i="2" s="1"/>
  <c r="A11" i="2" s="1"/>
  <c r="A12" i="2" s="1"/>
  <c r="A13" i="2" s="1"/>
  <c r="A14" i="2" s="1"/>
  <c r="A7" i="2"/>
  <c r="AD7" i="2"/>
  <c r="AD8" i="2"/>
  <c r="AD9" i="2"/>
  <c r="AD10" i="2"/>
  <c r="AD11" i="2"/>
  <c r="AD12" i="2"/>
  <c r="AD13" i="2"/>
  <c r="AD14" i="2"/>
  <c r="AD6" i="2"/>
  <c r="C21" i="5"/>
  <c r="B3" i="5"/>
  <c r="G4" i="11"/>
  <c r="D4" i="11"/>
  <c r="B4" i="11"/>
  <c r="E16" i="8"/>
  <c r="C23" i="5"/>
  <c r="J7" i="9"/>
  <c r="J8" i="9"/>
  <c r="J9" i="9"/>
  <c r="T10" i="2"/>
  <c r="T11" i="2"/>
  <c r="T12" i="2"/>
  <c r="T13" i="2"/>
  <c r="T14" i="2"/>
  <c r="T7" i="2"/>
  <c r="T8" i="2"/>
  <c r="T9" i="2"/>
  <c r="T6" i="2"/>
  <c r="P13" i="2"/>
  <c r="P14" i="2"/>
  <c r="P6" i="2"/>
  <c r="P7" i="2"/>
  <c r="P8" i="2"/>
  <c r="P9" i="2"/>
  <c r="P10" i="2"/>
  <c r="P11" i="2"/>
  <c r="P12" i="2"/>
  <c r="Q7" i="2"/>
  <c r="D7" i="4" s="1"/>
  <c r="Q8" i="2"/>
  <c r="Q9" i="2"/>
  <c r="AB9" i="2" s="1"/>
  <c r="Q10" i="2"/>
  <c r="D10" i="4" s="1"/>
  <c r="Q11" i="2"/>
  <c r="AB11" i="2" s="1"/>
  <c r="Q12" i="2"/>
  <c r="AB12" i="2" s="1"/>
  <c r="Q13" i="2"/>
  <c r="AB13" i="2" s="1"/>
  <c r="Q14" i="2"/>
  <c r="D14" i="4" s="1"/>
  <c r="R7" i="2"/>
  <c r="R8" i="2"/>
  <c r="R9" i="2"/>
  <c r="C9" i="4" s="1"/>
  <c r="H9" i="4" s="1"/>
  <c r="R10" i="2"/>
  <c r="C10" i="4" s="1"/>
  <c r="R11" i="2"/>
  <c r="C11" i="4" s="1"/>
  <c r="R12" i="2"/>
  <c r="X12" i="2" s="1"/>
  <c r="AE12" i="2" s="1"/>
  <c r="R13" i="2"/>
  <c r="C13" i="4" s="1"/>
  <c r="R14" i="2"/>
  <c r="C14" i="4" s="1"/>
  <c r="R6" i="2"/>
  <c r="X6" i="2" s="1"/>
  <c r="AE6" i="2" s="1"/>
  <c r="D7" i="8"/>
  <c r="Q6" i="2"/>
  <c r="D6" i="4" s="1"/>
  <c r="H15" i="4" l="1"/>
  <c r="V7" i="9"/>
  <c r="S12" i="2"/>
  <c r="S9" i="2"/>
  <c r="E9" i="4" s="1"/>
  <c r="S10" i="2"/>
  <c r="C6" i="4"/>
  <c r="Y12" i="2"/>
  <c r="S8" i="2"/>
  <c r="E8" i="4" s="1"/>
  <c r="AB7" i="2"/>
  <c r="Y6" i="2"/>
  <c r="S7" i="2"/>
  <c r="E7" i="4" s="1"/>
  <c r="D12" i="4"/>
  <c r="D9" i="4"/>
  <c r="D8" i="4"/>
  <c r="AB10" i="2"/>
  <c r="C12" i="4"/>
  <c r="H12" i="4" s="1"/>
  <c r="AB8" i="2"/>
  <c r="D13" i="4"/>
  <c r="S11" i="2"/>
  <c r="D11" i="4"/>
  <c r="S13" i="2"/>
  <c r="V6" i="2"/>
  <c r="S6" i="2"/>
  <c r="AC6" i="2" s="1"/>
  <c r="V7" i="2"/>
  <c r="V8" i="2" s="1"/>
  <c r="V9" i="2" s="1"/>
  <c r="V10" i="2" s="1"/>
  <c r="V11" i="2" s="1"/>
  <c r="V12" i="2" s="1"/>
  <c r="V13" i="2" s="1"/>
  <c r="V14" i="2" s="1"/>
  <c r="AB14" i="2"/>
  <c r="S14" i="2"/>
  <c r="C8" i="4"/>
  <c r="C7" i="4"/>
  <c r="H7" i="4" s="1"/>
  <c r="AB6" i="2"/>
  <c r="H6" i="4" l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AC9" i="2"/>
  <c r="AC7" i="2"/>
  <c r="E6" i="4"/>
  <c r="G6" i="4" s="1"/>
  <c r="W6" i="2"/>
  <c r="E27" i="5"/>
  <c r="AC8" i="2"/>
  <c r="G7" i="4" l="1"/>
  <c r="G8" i="4" s="1"/>
  <c r="W8" i="2" s="1"/>
  <c r="X8" i="2" s="1"/>
  <c r="AE8" i="2" s="1"/>
  <c r="I6" i="4"/>
  <c r="C22" i="5"/>
  <c r="C24" i="5" s="1"/>
  <c r="C31" i="5" s="1"/>
  <c r="G9" i="4" l="1"/>
  <c r="G10" i="4" s="1"/>
  <c r="H10" i="4" s="1"/>
  <c r="Y8" i="2"/>
  <c r="H8" i="4"/>
  <c r="W10" i="2" l="1"/>
  <c r="X10" i="2" s="1"/>
  <c r="AE10" i="2" s="1"/>
  <c r="G11" i="4"/>
  <c r="H11" i="4" s="1"/>
  <c r="W11" i="2"/>
  <c r="X11" i="2" s="1"/>
  <c r="AE11" i="2" s="1"/>
  <c r="W9" i="2"/>
  <c r="X9" i="2" s="1"/>
  <c r="AE9" i="2" s="1"/>
  <c r="W7" i="2"/>
  <c r="X7" i="2" s="1"/>
  <c r="Y7" i="2" s="1"/>
  <c r="Y9" i="2"/>
  <c r="AE7" i="2" l="1"/>
  <c r="AC10" i="2"/>
  <c r="E12" i="4"/>
  <c r="G12" i="4" s="1"/>
  <c r="G13" i="4" s="1"/>
  <c r="H13" i="4" s="1"/>
  <c r="AC13" i="2"/>
  <c r="E13" i="4"/>
  <c r="AC12" i="2"/>
  <c r="W12" i="2"/>
  <c r="E11" i="4"/>
  <c r="AC11" i="2"/>
  <c r="E10" i="4"/>
  <c r="C9" i="5"/>
  <c r="Y11" i="2"/>
  <c r="E14" i="4"/>
  <c r="AC14" i="2"/>
  <c r="C27" i="5" l="1"/>
  <c r="C29" i="5" s="1"/>
  <c r="G14" i="4"/>
  <c r="G15" i="4" s="1"/>
  <c r="G16" i="4" s="1"/>
  <c r="G17" i="4" s="1"/>
  <c r="W13" i="2"/>
  <c r="X13" i="2" s="1"/>
  <c r="AE13" i="2" s="1"/>
  <c r="Y10" i="2"/>
  <c r="W14" i="2" l="1"/>
  <c r="X14" i="2" s="1"/>
  <c r="Y14" i="2" s="1"/>
  <c r="H14" i="4"/>
  <c r="D10" i="5" s="1"/>
  <c r="E13" i="5" s="1"/>
  <c r="H13" i="5"/>
  <c r="Y13" i="2"/>
  <c r="I13" i="5" l="1"/>
  <c r="AE14" i="2"/>
  <c r="O32" i="1" s="1"/>
  <c r="C17" i="5"/>
  <c r="C16" i="5"/>
  <c r="B19" i="10" l="1"/>
  <c r="C18" i="5"/>
  <c r="C30" i="5" s="1"/>
</calcChain>
</file>

<file path=xl/sharedStrings.xml><?xml version="1.0" encoding="utf-8"?>
<sst xmlns="http://schemas.openxmlformats.org/spreadsheetml/2006/main" count="559" uniqueCount="349">
  <si>
    <t>Paramètre</t>
  </si>
  <si>
    <t>Valeur</t>
  </si>
  <si>
    <t>Liste de choix possible</t>
  </si>
  <si>
    <t>Type d'entreprise</t>
  </si>
  <si>
    <t>SAS/SARL</t>
  </si>
  <si>
    <t>SAS/SARL,Auto-entreprise,EI</t>
  </si>
  <si>
    <t>Pays</t>
  </si>
  <si>
    <t>France</t>
  </si>
  <si>
    <t>Méthode de calcul</t>
  </si>
  <si>
    <t>FIFO</t>
  </si>
  <si>
    <t>FIFO,PMP</t>
  </si>
  <si>
    <t>Année fiscale</t>
  </si>
  <si>
    <t/>
  </si>
  <si>
    <t>Compte crypto</t>
  </si>
  <si>
    <t>522</t>
  </si>
  <si>
    <t>FIFO = plus facilement auditable, plus fréquent, plus prudent comptablement</t>
  </si>
  <si>
    <t>522 pour "jetons numériques" destinés à être dépensés à court terme (échelle d'1 an)</t>
  </si>
  <si>
    <t>From</t>
  </si>
  <si>
    <t>Description</t>
  </si>
  <si>
    <t>Currency</t>
  </si>
  <si>
    <t>Status</t>
  </si>
  <si>
    <t>Netwerk</t>
  </si>
  <si>
    <t>Type</t>
  </si>
  <si>
    <t>Created</t>
  </si>
  <si>
    <t>Amount</t>
  </si>
  <si>
    <t>Amount Received / Paid</t>
  </si>
  <si>
    <t>Fiat value</t>
  </si>
  <si>
    <t>Request send on</t>
  </si>
  <si>
    <t>Receiving address</t>
  </si>
  <si>
    <t>txhash</t>
  </si>
  <si>
    <t>Jean Martin</t>
  </si>
  <si>
    <t>3x Café Bio</t>
  </si>
  <si>
    <t>monero</t>
  </si>
  <si>
    <t>completed</t>
  </si>
  <si>
    <t>incoming</t>
  </si>
  <si>
    <t>0.05 xmr</t>
  </si>
  <si>
    <t>4AqC7mDrKHZtN8AoGnGGKQmzV24kYkAHCxHZQcPrPTSxF7UHyBSt71B3nY</t>
  </si>
  <si>
    <t>tx_123456</t>
  </si>
  <si>
    <t>Marie Dupont</t>
  </si>
  <si>
    <t>Consultation 1h</t>
  </si>
  <si>
    <t>0.15 xmr</t>
  </si>
  <si>
    <t>tx_234567</t>
  </si>
  <si>
    <t>Paul Durand</t>
  </si>
  <si>
    <t>Formation Excel</t>
  </si>
  <si>
    <t>0.25 xmr</t>
  </si>
  <si>
    <t>65.00 EUR</t>
  </si>
  <si>
    <t>tx_345678</t>
  </si>
  <si>
    <t>Conversion BTC</t>
  </si>
  <si>
    <t>Swap XMR-&gt;BTC</t>
  </si>
  <si>
    <t>outgoing</t>
  </si>
  <si>
    <t>0.30 xmr</t>
  </si>
  <si>
    <t>81.00 EUR</t>
  </si>
  <si>
    <t>tx_456789</t>
  </si>
  <si>
    <t>Type_Clean</t>
  </si>
  <si>
    <t>Montant_EUR</t>
  </si>
  <si>
    <t>ID_Transaction</t>
  </si>
  <si>
    <t>Stock_Cumulé</t>
  </si>
  <si>
    <t>Prix_Acquisition_Unite</t>
  </si>
  <si>
    <t>Prix_Acquisition_Total</t>
  </si>
  <si>
    <t>Plus_Moins_Value</t>
  </si>
  <si>
    <t>Commentaire</t>
  </si>
  <si>
    <t>0</t>
  </si>
  <si>
    <t>Date_Tri</t>
  </si>
  <si>
    <t>Quantité</t>
  </si>
  <si>
    <t>Prix_Unitaire</t>
  </si>
  <si>
    <t>Stock_Restant</t>
  </si>
  <si>
    <t>=ANNEE(AUJOURDHUI())</t>
  </si>
  <si>
    <t>1x Baguette</t>
  </si>
  <si>
    <t>Paid</t>
  </si>
  <si>
    <t>0.08 xmr</t>
  </si>
  <si>
    <t>0.08 xmr (Received)</t>
  </si>
  <si>
    <t>4sUu3P3g9uRbmEwcFicRFmERTJFcm1G9KHPue9ZBVmoKyieSbfxXbN</t>
  </si>
  <si>
    <t>Mme Grandchemin</t>
  </si>
  <si>
    <t>1 place concert Taylor Swift</t>
  </si>
  <si>
    <t>new</t>
  </si>
  <si>
    <t>0.01 xmr</t>
  </si>
  <si>
    <t>M. Gentil</t>
  </si>
  <si>
    <t>5x Pomme</t>
  </si>
  <si>
    <t>0.02 xmr</t>
  </si>
  <si>
    <t>1x Massage thalasso</t>
  </si>
  <si>
    <t>2x Pomme</t>
  </si>
  <si>
    <t>0,006 xmr</t>
  </si>
  <si>
    <t>Prix 1 XMR à la date de tx</t>
  </si>
  <si>
    <t>=(DATEVAL(G2)</t>
  </si>
  <si>
    <t>Montant_XMR_clean</t>
  </si>
  <si>
    <t>Date_clean</t>
  </si>
  <si>
    <t>Commentaires</t>
  </si>
  <si>
    <t>Pour notes et justifications</t>
  </si>
  <si>
    <t>Validation montant XMR</t>
  </si>
  <si>
    <t>Validation Prix_EUR_Unité</t>
  </si>
  <si>
    <t>=VALEURNOMBRE(SUBSTITUE(SUBSTITUE(H2;" xmr";"");".";","))</t>
  </si>
  <si>
    <t>ÉTAT DU COMPTE 522 "JETONS NUMÉRIQUES" - EXERCICE 2024</t>
  </si>
  <si>
    <t>A) Mouvements du compte</t>
  </si>
  <si>
    <t>Débit (€)</t>
  </si>
  <si>
    <t>Crédit (€)</t>
  </si>
  <si>
    <t>Solde (€)</t>
  </si>
  <si>
    <t>Solde initial au 01/01/2024</t>
  </si>
  <si>
    <t>Solde au 31/12/2024</t>
  </si>
  <si>
    <t>B) Plus-Values de l'exercice</t>
  </si>
  <si>
    <t>Montant (€)</t>
  </si>
  <si>
    <t>Plus-values réalisées</t>
  </si>
  <si>
    <t>Sur conversions/ventes</t>
  </si>
  <si>
    <t>Moins-values réalisées</t>
  </si>
  <si>
    <t>Résultat net</t>
  </si>
  <si>
    <t>C) Position de trésorerie crypto</t>
  </si>
  <si>
    <t>Montant</t>
  </si>
  <si>
    <t>En XMR</t>
  </si>
  <si>
    <t>Cours XMR/EUR fin d'exercice</t>
  </si>
  <si>
    <t>D) Données pour liasse fiscale</t>
  </si>
  <si>
    <t>Base de calcul</t>
  </si>
  <si>
    <t>=B3</t>
  </si>
  <si>
    <t>Plus-values imposables</t>
  </si>
  <si>
    <t>Valeur du stock final</t>
  </si>
  <si>
    <t>Cours_XMR_31_12</t>
  </si>
  <si>
    <t>Cours_BTC_31_12</t>
  </si>
  <si>
    <t>Stock_BTC</t>
  </si>
  <si>
    <t>Seuil_TVA</t>
  </si>
  <si>
    <t>(si CA crypto &gt; 85800€ en 2024)</t>
  </si>
  <si>
    <t>A) Mouvements compte 522 - Monero</t>
  </si>
  <si>
    <t>Volume XMR</t>
  </si>
  <si>
    <t>Total entrées ventes</t>
  </si>
  <si>
    <t>Total sorties conversions/dépenses</t>
  </si>
  <si>
    <t>=B2+B3</t>
  </si>
  <si>
    <t>=C2+C3</t>
  </si>
  <si>
    <t>=E3-E4</t>
  </si>
  <si>
    <t>Monero vers Bitcoin</t>
  </si>
  <si>
    <t>Monero vers EUR</t>
  </si>
  <si>
    <t>Total (€)</t>
  </si>
  <si>
    <t>Base fiscale</t>
  </si>
  <si>
    <t>Plus-values réalisées Bitcoin</t>
  </si>
  <si>
    <t>Plus-values réalisées EUR</t>
  </si>
  <si>
    <t>Résultat net crypto</t>
  </si>
  <si>
    <t>=B8+B9-B10</t>
  </si>
  <si>
    <t>=SI(B11&gt;0;B11;0)</t>
  </si>
  <si>
    <t>C) Position de trésorerie fin d'exercice</t>
  </si>
  <si>
    <t>Volume</t>
  </si>
  <si>
    <t>Cours 31/12</t>
  </si>
  <si>
    <t>Valeur EUR</t>
  </si>
  <si>
    <t>% variation/coût</t>
  </si>
  <si>
    <t>Monero (XMR)</t>
  </si>
  <si>
    <t>=E5</t>
  </si>
  <si>
    <t>=RECHERCHEV("Cours_XMR_31_12";Paramètres!A:B;2;FAUX)</t>
  </si>
  <si>
    <t>=B14*C14</t>
  </si>
  <si>
    <t>Bitcoin (BTC)</t>
  </si>
  <si>
    <t>=RECHERCHEV("Stock_BTC";Paramètres!A:B;2;FAUX)</t>
  </si>
  <si>
    <t>=RECHERCHEV("Cours_BTC_31_12";Paramètres!A:B;2;FAUX)</t>
  </si>
  <si>
    <t>=B15*C15</t>
  </si>
  <si>
    <t>D) Données liasse fiscale et TVA</t>
  </si>
  <si>
    <t>Chiffre d'affaires crypto TTC</t>
  </si>
  <si>
    <t>Total ventes en XMR</t>
  </si>
  <si>
    <t>CA crypto &gt; seuil TVA ?</t>
  </si>
  <si>
    <t>=SI(B18&gt;85800;"Oui";"Non")</t>
  </si>
  <si>
    <t>Seuil 2024</t>
  </si>
  <si>
    <t>=D11</t>
  </si>
  <si>
    <t>Si résultat net positif</t>
  </si>
  <si>
    <t>Valeur stocks crypto fin exercice</t>
  </si>
  <si>
    <t>=D14+D15</t>
  </si>
  <si>
    <t>Pour bilan au 31/12</t>
  </si>
  <si>
    <t>=SOMME.SI(Bitrequest_import!B:B;"Entrée";Bitrequest_import!D:D*Bitrequest_import!C:C)</t>
  </si>
  <si>
    <t>=SOMME.SI(Bitrequest_import!B:B;"Entrée";Bitrequest_import!C:C)</t>
  </si>
  <si>
    <t>=SOMME.SI(Bitrequest_import!B:B;"Sortie";Bitrequest_import!D:D*Bitrequest_import!C:C)</t>
  </si>
  <si>
    <t>=SOMME.SI(Bitrequest_import!B:B;"Sortie";Bitrequest_import!C:C)</t>
  </si>
  <si>
    <t>=SOMME.SI.ENS(Bitrequest_import!B:B;"Sortie";Bitrequest_import!W:W;"&gt;0";Bitrequest_import!Description:Description;"*BTC*";Bitrequest_import!W:W)</t>
  </si>
  <si>
    <t>=SOMME.SI.ENS(Bitrequest_import!B:B;"Sortie";Bitrequest_import!W:W;"&gt;0";Bitrequest_import!Description:Description;"*EUR*";Bitrequest_import!W:W)</t>
  </si>
  <si>
    <t>=SOMME.SI.ENS(Bitrequest_import!B:B;"Sortie";Bitrequest_import!W:W;"&lt;0";Bitrequest_import!W:W)</t>
  </si>
  <si>
    <t>Stock_XMR</t>
  </si>
  <si>
    <t>tx_567900</t>
  </si>
  <si>
    <t>tx_679011</t>
  </si>
  <si>
    <t>tx_790122</t>
  </si>
  <si>
    <t>tx_901233</t>
  </si>
  <si>
    <t>tx_101234</t>
  </si>
  <si>
    <t>=SI(P2="Sortie";RECHERCHEV(N2;FIFO_Calculs!A:F;6;VRAI); Q2)</t>
  </si>
  <si>
    <t>TODO</t>
  </si>
  <si>
    <t>gérer le cas P3 = "ERREUR"</t>
  </si>
  <si>
    <t>Validation de données active</t>
  </si>
  <si>
    <t xml:space="preserve">&gt; onglet "Bitrequest_import" , colonne Z et AA  </t>
  </si>
  <si>
    <t>Données valides ?</t>
  </si>
  <si>
    <t>= 1 XMR en EUR à la date de la transaction</t>
  </si>
  <si>
    <t>=</t>
  </si>
  <si>
    <t>No_error</t>
  </si>
  <si>
    <t>Test d'erreur</t>
  </si>
  <si>
    <t>différence €</t>
  </si>
  <si>
    <t>1ère ligne : E et F formule spéciale</t>
  </si>
  <si>
    <t>Lignes suivantes : E et F formules générales</t>
  </si>
  <si>
    <t>Validation date</t>
  </si>
  <si>
    <t>=O2*Q2</t>
  </si>
  <si>
    <t>13.60 EUR</t>
  </si>
  <si>
    <t>1.50 EUR</t>
  </si>
  <si>
    <t>0.40 EUR</t>
  </si>
  <si>
    <t>38.50 EUR</t>
  </si>
  <si>
    <t>22.25 EUR</t>
  </si>
  <si>
    <t>0,06 xmr</t>
  </si>
  <si>
    <t>20.60 EUR</t>
  </si>
  <si>
    <t>Gérer les conversions swap également !</t>
  </si>
  <si>
    <t>Le but est de trouver le stock XMR à la dernière date (la plus récente). 
Cette formule retournera le Stock_Restant correspondant à la dernière transaction enregistrée, ce qui représente bien le stock XMR final</t>
  </si>
  <si>
    <t>50.00 EUR</t>
  </si>
  <si>
    <t>(non cumulatif)</t>
  </si>
  <si>
    <t>Envoyé</t>
  </si>
  <si>
    <t>Reçu</t>
  </si>
  <si>
    <t>Crypto</t>
  </si>
  <si>
    <t>XMR</t>
  </si>
  <si>
    <t>BTC</t>
  </si>
  <si>
    <t>Frais</t>
  </si>
  <si>
    <t>Client</t>
  </si>
  <si>
    <t>Mme Michu</t>
  </si>
  <si>
    <t>Crêpe nutella</t>
  </si>
  <si>
    <t>EXEMPLE TEST à partir de CakeWallet</t>
  </si>
  <si>
    <t>sinon 10xx pour long terme</t>
  </si>
  <si>
    <t>et provisions si besoin</t>
  </si>
  <si>
    <t>G</t>
  </si>
  <si>
    <t>H</t>
  </si>
  <si>
    <t>F</t>
  </si>
  <si>
    <t>R et O</t>
  </si>
  <si>
    <t>J</t>
  </si>
  <si>
    <t>N</t>
  </si>
  <si>
    <t>P et T et O</t>
  </si>
  <si>
    <t>Q</t>
  </si>
  <si>
    <t>données source utilisées : F G H J et éventuellement C (crypto)</t>
  </si>
  <si>
    <t>Date_transaction</t>
  </si>
  <si>
    <t>Taux de change à date de transaction (auto-calculé)</t>
  </si>
  <si>
    <t>/XMR</t>
  </si>
  <si>
    <t>le cas échéant</t>
  </si>
  <si>
    <t>Gestion des frais ?</t>
  </si>
  <si>
    <t>Chiffre d'affaires crypto XMR</t>
  </si>
  <si>
    <t>(seuil TVA 2025 : 85 800€)</t>
  </si>
  <si>
    <t>€ pour 1 XMR</t>
  </si>
  <si>
    <t>€ pour 1 BTC</t>
  </si>
  <si>
    <t>Actualiser au 31/12 (onglet Paramètres)</t>
  </si>
  <si>
    <t>Au 01/01 (onglet Paramètres)</t>
  </si>
  <si>
    <t>Stock XMR initial en début d'exercice</t>
  </si>
  <si>
    <t>Stock XMR calculé sur l'exercice en cours</t>
  </si>
  <si>
    <t>actualiser auto !</t>
  </si>
  <si>
    <t>V0.2 - 27/01/2025</t>
  </si>
  <si>
    <t>Pour le bilan au 31/12</t>
  </si>
  <si>
    <t>Si résultat net positif uniquement</t>
  </si>
  <si>
    <t>Total entrées en XMR</t>
  </si>
  <si>
    <r>
      <t>% variation/coût</t>
    </r>
    <r>
      <rPr>
        <sz val="11"/>
        <color theme="1"/>
        <rFont val="Calibri"/>
        <family val="2"/>
        <scheme val="minor"/>
      </rPr>
      <t xml:space="preserve"> par rapport à un achat direct au 31/12</t>
    </r>
  </si>
  <si>
    <t>Paramètres</t>
  </si>
  <si>
    <t>Liste de choix possibles</t>
  </si>
  <si>
    <t>Valeurs</t>
  </si>
  <si>
    <t>SAS</t>
  </si>
  <si>
    <r>
      <t xml:space="preserve">CALCULATEUR DE COMPTABILITÉ &amp; FISCALITÉ </t>
    </r>
    <r>
      <rPr>
        <sz val="18"/>
        <color theme="7"/>
        <rFont val="Impact"/>
        <family val="2"/>
      </rPr>
      <t>CRYPTO</t>
    </r>
  </si>
  <si>
    <t>522 pour "jetons numériques"</t>
  </si>
  <si>
    <t>SARL</t>
  </si>
  <si>
    <t>Auto-entreprise</t>
  </si>
  <si>
    <t>EI</t>
  </si>
  <si>
    <t>…</t>
  </si>
  <si>
    <t>Switzerland</t>
  </si>
  <si>
    <t>England</t>
  </si>
  <si>
    <t>Deutschland</t>
  </si>
  <si>
    <t>España</t>
  </si>
  <si>
    <t>Italia</t>
  </si>
  <si>
    <t>OK</t>
  </si>
  <si>
    <t>Fonctionnel</t>
  </si>
  <si>
    <t>1022 ?</t>
  </si>
  <si>
    <t>stockage longue durée (&gt;1 an)</t>
  </si>
  <si>
    <t>usage courant</t>
  </si>
  <si>
    <t>Tuto : vidéo à venir</t>
  </si>
  <si>
    <t>Bitrequest import</t>
  </si>
  <si>
    <t>Onglets</t>
  </si>
  <si>
    <r>
      <rPr>
        <b/>
        <sz val="10"/>
        <rFont val="Calibri Light"/>
        <family val="2"/>
        <scheme val="major"/>
      </rPr>
      <t>1-</t>
    </r>
    <r>
      <rPr>
        <b/>
        <sz val="10"/>
        <color theme="7"/>
        <rFont val="Calibri Light"/>
        <family val="2"/>
        <scheme val="major"/>
      </rPr>
      <t xml:space="preserve"> </t>
    </r>
    <r>
      <rPr>
        <sz val="10"/>
        <color theme="1"/>
        <rFont val="Calibri Light"/>
        <family val="2"/>
        <scheme val="major"/>
      </rPr>
      <t>Remplir les transactions dans l'onglet "Bitrequest_import"
à partir d'un export CSV Bitrequest (OK)
ou bien manuellement l'onglet CakeWallet (Non terminé !)</t>
    </r>
  </si>
  <si>
    <r>
      <rPr>
        <b/>
        <sz val="10"/>
        <rFont val="Calibri Light"/>
        <family val="2"/>
        <scheme val="major"/>
      </rPr>
      <t xml:space="preserve">2- </t>
    </r>
    <r>
      <rPr>
        <sz val="10"/>
        <color theme="1"/>
        <rFont val="Calibri Light"/>
        <family val="2"/>
        <scheme val="major"/>
      </rPr>
      <t>Transmettre au comptable les 3 champs fiscaux de l'onglet "Reporting_comptable" auto-calculés (ligne 22, 24, 25)</t>
    </r>
  </si>
  <si>
    <t xml:space="preserve">Informations à destination du comptable </t>
  </si>
  <si>
    <t>Tout autre wallet import</t>
  </si>
  <si>
    <t xml:space="preserve">Utilisez la combinaison de touches : </t>
  </si>
  <si>
    <t>pour importer le .csv</t>
  </si>
  <si>
    <t>Jean F.</t>
  </si>
  <si>
    <t>Brigitte M.</t>
  </si>
  <si>
    <t>⬆  A remplir : export depuis Bitrequest.io puis copier-coller</t>
  </si>
  <si>
    <t>Vérifier ordre chronologique dates !</t>
  </si>
  <si>
    <t>01</t>
  </si>
  <si>
    <t>02</t>
  </si>
  <si>
    <t>Alt, puis é puis F puis T</t>
  </si>
  <si>
    <r>
      <t xml:space="preserve">Sur le site </t>
    </r>
    <r>
      <rPr>
        <u/>
        <sz val="12"/>
        <color theme="1"/>
        <rFont val="Calibri"/>
        <family val="2"/>
        <scheme val="minor"/>
      </rPr>
      <t>bitrequest.github.io</t>
    </r>
    <r>
      <rPr>
        <sz val="12"/>
        <color theme="1"/>
        <rFont val="Calibri"/>
        <family val="2"/>
        <scheme val="minor"/>
      </rPr>
      <t xml:space="preserve"> ou sur l'app : Menu &gt; Administrateur &gt; Export CSV</t>
    </r>
  </si>
  <si>
    <t>Résultats comptables</t>
  </si>
  <si>
    <r>
      <t xml:space="preserve">IMPORT DES TRANSACTIONS depuis </t>
    </r>
    <r>
      <rPr>
        <sz val="14"/>
        <color theme="7"/>
        <rFont val="Impact"/>
        <family val="2"/>
      </rPr>
      <t>BITREQUEST.IO</t>
    </r>
  </si>
  <si>
    <t>CUMP, FIFO</t>
  </si>
  <si>
    <r>
      <t xml:space="preserve">Résultats - état du compte 522 </t>
    </r>
    <r>
      <rPr>
        <sz val="18"/>
        <color theme="7"/>
        <rFont val="Impact"/>
        <family val="2"/>
      </rPr>
      <t>"Jetons Numériques"</t>
    </r>
  </si>
  <si>
    <t>04</t>
  </si>
  <si>
    <t>Montant Monero (XMR)</t>
  </si>
  <si>
    <t>Montant Bitcoin (BTC)</t>
  </si>
  <si>
    <t>Valeur de la crypto estimée en EUR</t>
  </si>
  <si>
    <t>voir fichier Compta BTC dédié ?</t>
  </si>
  <si>
    <t>Bitcoin en cours d'ajout (V1)</t>
  </si>
  <si>
    <t>Montant € (à l'époque)</t>
  </si>
  <si>
    <t>⬆  A remplir : report à la main depuis votre portefeuille crypto dédié "pro" pour votre entreprise</t>
  </si>
  <si>
    <t>Depuis tout type de portefeuille : reporter à la main ligne par ligne</t>
  </si>
  <si>
    <t>03</t>
  </si>
  <si>
    <r>
      <t xml:space="preserve">IMPORT MANUEL DES TRANSACTIONS </t>
    </r>
    <r>
      <rPr>
        <sz val="14"/>
        <color theme="7"/>
        <rFont val="Impact"/>
        <family val="2"/>
      </rPr>
      <t>BITCOIN/MONERO</t>
    </r>
  </si>
  <si>
    <t>Chiffre d'affaires crypto XMR + BTC</t>
  </si>
  <si>
    <t>Total entrées cryptos</t>
  </si>
  <si>
    <t>1 compte par crypto soit 2 pour XMR + BTC</t>
  </si>
  <si>
    <t>Prix_Moyen_CUMP</t>
  </si>
  <si>
    <t>Prix_Moyen_FIFO…......</t>
  </si>
  <si>
    <t>FIFO trop complexe</t>
  </si>
  <si>
    <t>CUMP</t>
  </si>
  <si>
    <t>Version</t>
  </si>
  <si>
    <t>V1.0</t>
  </si>
  <si>
    <t>fév. 2025</t>
  </si>
  <si>
    <t>CUMP seul, XMR seul, SARL+SAS seules, design V1, fonctionnel, attente validation comptable</t>
  </si>
  <si>
    <t>vérifier sur Coingecko ou autre</t>
  </si>
  <si>
    <t>bank-exit.org</t>
  </si>
  <si>
    <t xml:space="preserve">Copyright (C) 2025  @SortieDeBanque  </t>
  </si>
  <si>
    <t xml:space="preserve">Ce programme est un logiciel libre : vous pouvez le redistribuer et/ou le modifier  </t>
  </si>
  <si>
    <t xml:space="preserve">selon les termes de la licence GNU General Public License publiée par  </t>
  </si>
  <si>
    <t xml:space="preserve">la Free Software Foundation, version 3 ou toute version ultérieure.  </t>
  </si>
  <si>
    <r>
      <t xml:space="preserve">🚨 </t>
    </r>
    <r>
      <rPr>
        <b/>
        <sz val="11"/>
        <color theme="1"/>
        <rFont val="Calibri"/>
        <family val="2"/>
        <scheme val="minor"/>
      </rPr>
      <t>Utilisation commerciale interdite</t>
    </r>
    <r>
      <rPr>
        <sz val="11"/>
        <color theme="1"/>
        <rFont val="Calibri"/>
        <family val="2"/>
        <charset val="204"/>
        <scheme val="minor"/>
      </rPr>
      <t xml:space="preserve"> sans accord écrit de @SortieDeBanque.  </t>
    </r>
  </si>
  <si>
    <r>
      <rPr>
        <sz val="11"/>
        <color theme="1"/>
        <rFont val="Calibri"/>
        <family val="2"/>
        <scheme val="minor"/>
      </rPr>
      <t xml:space="preserve">Licence GPLv3 - </t>
    </r>
    <r>
      <rPr>
        <b/>
        <sz val="11"/>
        <color theme="1"/>
        <rFont val="Calibri"/>
        <family val="2"/>
        <scheme val="minor"/>
      </rPr>
      <t>utilisation commerciale interdite</t>
    </r>
  </si>
  <si>
    <r>
      <t xml:space="preserve">Créé par le collectif bénévole </t>
    </r>
    <r>
      <rPr>
        <b/>
        <sz val="11"/>
        <color theme="1"/>
        <rFont val="Calibri"/>
        <family val="2"/>
        <scheme val="minor"/>
      </rPr>
      <t>@SortieDeBanque</t>
    </r>
  </si>
  <si>
    <t>Libre et open source ! Revu par un expert-comptable et CAC</t>
  </si>
  <si>
    <t>CUMP = le plus simple et prudent</t>
  </si>
  <si>
    <t>"CUMP = coût unitaire moyen pondéré"</t>
  </si>
  <si>
    <t>Total des entrées (au coût réel)</t>
  </si>
  <si>
    <t>Total des sorties (CUMP)</t>
  </si>
  <si>
    <t>Coût_CUMP</t>
  </si>
  <si>
    <t>PV / cession jetons - crédit compte 767xxx</t>
  </si>
  <si>
    <t>MV / cession jetons - débit compte 667xxx</t>
  </si>
  <si>
    <t>Vérif CUMP :</t>
  </si>
  <si>
    <t>compte 667 et pas 661</t>
  </si>
  <si>
    <t>compte 767 et pas 761</t>
  </si>
  <si>
    <t>(fichier ne gère pas BIC)</t>
  </si>
  <si>
    <t>Associations :</t>
  </si>
  <si>
    <t>SAS/SARL/Asso, Auto-entreprise, EI</t>
  </si>
  <si>
    <r>
      <t xml:space="preserve">📌 </t>
    </r>
    <r>
      <rPr>
        <b/>
        <sz val="11"/>
        <color theme="1"/>
        <rFont val="Calibri"/>
        <family val="2"/>
        <charset val="204"/>
        <scheme val="minor"/>
      </rPr>
      <t>Si l’association a une activité commerciale</t>
    </r>
    <r>
      <rPr>
        <sz val="11"/>
        <color theme="1"/>
        <rFont val="Calibri"/>
        <family val="2"/>
        <charset val="204"/>
        <scheme val="minor"/>
      </rPr>
      <t xml:space="preserve"> (vente, spéculation) 
</t>
    </r>
    <r>
      <rPr>
        <b/>
        <sz val="11"/>
        <color theme="1"/>
        <rFont val="Calibri"/>
        <family val="2"/>
        <scheme val="minor"/>
      </rPr>
      <t xml:space="preserve">→ Faire comme pour une entreprise </t>
    </r>
    <r>
      <rPr>
        <sz val="11"/>
        <color theme="1"/>
        <rFont val="Calibri"/>
        <family val="2"/>
        <scheme val="minor"/>
      </rPr>
      <t>: impôt sur les sociétés (IS) et TVA éventuelle</t>
    </r>
  </si>
  <si>
    <r>
      <t xml:space="preserve">📌 </t>
    </r>
    <r>
      <rPr>
        <b/>
        <sz val="11"/>
        <color theme="1"/>
        <rFont val="Calibri"/>
        <family val="2"/>
        <charset val="204"/>
        <scheme val="minor"/>
      </rPr>
      <t xml:space="preserve">Si l’association est non lucrative, soit 90%+ des cas </t>
    </r>
    <r>
      <rPr>
        <sz val="11"/>
        <color theme="1"/>
        <rFont val="Calibri"/>
        <family val="2"/>
        <charset val="204"/>
        <scheme val="minor"/>
      </rPr>
      <t xml:space="preserve">(but désintéressé, pas de spéculation) 
→ </t>
    </r>
    <r>
      <rPr>
        <b/>
        <sz val="11"/>
        <color theme="1"/>
        <rFont val="Calibri"/>
        <family val="2"/>
        <charset val="204"/>
        <scheme val="minor"/>
      </rPr>
      <t>Aucune imposition</t>
    </r>
    <r>
      <rPr>
        <sz val="11"/>
        <color theme="1"/>
        <rFont val="Calibri"/>
        <family val="2"/>
        <charset val="204"/>
        <scheme val="minor"/>
      </rPr>
      <t>. Remplir le fichier est néanmoins une bonne pratique</t>
    </r>
  </si>
  <si>
    <t>552 : usuel</t>
  </si>
  <si>
    <t>C'est tout ! Toujours en compte 522 dans le bilan</t>
  </si>
  <si>
    <t>Compte 522 : crypto-actifs en trésorerie</t>
  </si>
  <si>
    <t>• Ligne XG (Plus-values à court terme) voire
 Ligne XR (Plus-values à long terme) en page 10</t>
  </si>
  <si>
    <t>V1.2 - 25/02/2025</t>
  </si>
  <si>
    <t>toujours en compte 522, peu importe court ou long terme !</t>
  </si>
  <si>
    <t xml:space="preserve"> (sauf pour les SAFT et les NFTs)</t>
  </si>
  <si>
    <t>diviser les comptes 522 par type de crypto. Ex : XMR = 522001, BTC = 522002</t>
  </si>
  <si>
    <t>https://www.impots.gouv.fr/sites/default/files/formulaires/2050-liasse/2025/2050-liasse_5013.pdf
https://www.impots.gouv.fr/sites/default/files/formulaires/2058-sd/2025/2058-sd_4923.pdf</t>
  </si>
  <si>
    <r>
      <t xml:space="preserve">Société assujetie à l'IS (impôt sur les sociétés) :
✅ </t>
    </r>
    <r>
      <rPr>
        <sz val="11"/>
        <color theme="1"/>
        <rFont val="Calibri"/>
        <family val="2"/>
        <scheme val="minor"/>
      </rPr>
      <t>Formulaire CERFA 2058-SD</t>
    </r>
    <r>
      <rPr>
        <sz val="11"/>
        <color theme="1"/>
        <rFont val="Calibri"/>
        <family val="2"/>
        <charset val="204"/>
        <scheme val="minor"/>
      </rPr>
      <t xml:space="preserve"> (Tableau de détermination du résultat fiscal)
✅  </t>
    </r>
    <r>
      <rPr>
        <b/>
        <sz val="11"/>
        <color theme="1"/>
        <rFont val="Calibri"/>
        <family val="2"/>
        <scheme val="minor"/>
      </rPr>
      <t>Formulaire CERFA 2050</t>
    </r>
    <r>
      <rPr>
        <sz val="11"/>
        <color theme="1"/>
        <rFont val="Calibri"/>
        <family val="2"/>
        <charset val="204"/>
        <scheme val="minor"/>
      </rPr>
      <t xml:space="preserve"> (page 1, champ CD et CE, au-dessus des disponibilités)</t>
    </r>
  </si>
  <si>
    <t>https://bank-exit.org/licence</t>
  </si>
  <si>
    <t xml:space="preserve">Total transactions : </t>
  </si>
  <si>
    <t>.</t>
  </si>
  <si>
    <t>Reçu/Envoyé</t>
  </si>
  <si>
    <r>
      <t xml:space="preserve">Calculs CUMP pour </t>
    </r>
    <r>
      <rPr>
        <sz val="14"/>
        <color theme="7"/>
        <rFont val="Impact"/>
        <family val="2"/>
      </rPr>
      <t>BITCOIN/MONERO</t>
    </r>
  </si>
  <si>
    <t>MONERO</t>
  </si>
  <si>
    <t>BITCOIN</t>
  </si>
  <si>
    <t>03_Tout_autre_wallet</t>
  </si>
  <si>
    <t>02_Bitrequest</t>
  </si>
  <si>
    <t>Liste choix onglet</t>
  </si>
  <si>
    <t>CUMP seul sur 2 onglets, XMR seul, SARL/SAS/asso, design V1, fonctionnel, validation comptable OK</t>
  </si>
  <si>
    <t>V1.2</t>
  </si>
  <si>
    <t>Choix : 02_Bitrequest / 03_Tout autre_wallet</t>
  </si>
  <si>
    <t xml:space="preserve"> Quel onglet avez-vous rempli ? 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</si>
</sst>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[$-F800]dddd\,\ mmmm\ dd\,\ yyyy"/>
    <numFmt numFmtId="166" formatCode="#,##0.00\ &quot;€&quot;"/>
    <numFmt numFmtId="167" formatCode="#,##0\ &quot;€&quot;"/>
  </numFmts>
  <fonts count="7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7"/>
      <color rgb="FF0D1214"/>
      <name val="Cascadia Mono"/>
      <family val="3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charset val="204"/>
      <scheme val="minor"/>
    </font>
    <font>
      <sz val="8"/>
      <color rgb="FFABB2BF"/>
      <name val="Consolas"/>
      <family val="3"/>
    </font>
    <font>
      <sz val="8"/>
      <color theme="1"/>
      <name val="Consolas"/>
      <family val="3"/>
    </font>
    <font>
      <sz val="11"/>
      <name val="Consolas"/>
      <family val="3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onsolas"/>
      <family val="3"/>
    </font>
    <font>
      <sz val="1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Bernard MT Condensed"/>
      <family val="1"/>
    </font>
    <font>
      <sz val="14"/>
      <color theme="1"/>
      <name val="Impact"/>
      <family val="2"/>
    </font>
    <font>
      <sz val="11"/>
      <color theme="1"/>
      <name val="Impact"/>
      <family val="2"/>
    </font>
    <font>
      <sz val="18"/>
      <color theme="1"/>
      <name val="Impact"/>
      <family val="2"/>
    </font>
    <font>
      <sz val="16.5"/>
      <color rgb="FFFFC000"/>
      <name val="Impact"/>
      <family val="2"/>
    </font>
    <font>
      <sz val="1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8"/>
      <color theme="7"/>
      <name val="Impact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Impact"/>
      <family val="2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7"/>
      <name val="Calibri Light"/>
      <family val="2"/>
      <scheme val="major"/>
    </font>
    <font>
      <sz val="10.5"/>
      <color theme="1"/>
      <name val="Impact"/>
      <family val="2"/>
    </font>
    <font>
      <sz val="9"/>
      <color theme="1"/>
      <name val="Cambria"/>
      <family val="1"/>
    </font>
    <font>
      <sz val="11"/>
      <color theme="2" tint="-0.249977111117893"/>
      <name val="Calibri"/>
      <family val="2"/>
      <scheme val="minor"/>
    </font>
    <font>
      <sz val="11"/>
      <color theme="0"/>
      <name val="Impact"/>
      <family val="2"/>
    </font>
    <font>
      <b/>
      <i/>
      <sz val="10"/>
      <color theme="1"/>
      <name val="Calibri"/>
      <family val="2"/>
      <scheme val="minor"/>
    </font>
    <font>
      <sz val="14"/>
      <color theme="7"/>
      <name val="Impact"/>
      <family val="2"/>
    </font>
    <font>
      <sz val="12"/>
      <color theme="1"/>
      <name val="Calibri"/>
      <family val="2"/>
      <scheme val="minor"/>
    </font>
    <font>
      <sz val="10"/>
      <color theme="2" tint="-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name val="Impact"/>
      <family val="2"/>
    </font>
    <font>
      <sz val="10"/>
      <name val="Impact"/>
      <family val="2"/>
    </font>
    <font>
      <i/>
      <sz val="11"/>
      <color rgb="FFC00000"/>
      <name val="Calibri"/>
      <family val="2"/>
      <scheme val="minor"/>
    </font>
    <font>
      <i/>
      <sz val="11"/>
      <color theme="1"/>
      <name val="Impact"/>
      <family val="2"/>
    </font>
    <font>
      <b/>
      <sz val="14"/>
      <color theme="7" tint="-0.499984740745262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0.5"/>
      <color rgb="FF30009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i/>
      <sz val="10.5"/>
      <color rgb="FF30009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theme="9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99FF99"/>
        <bgColor indexed="64"/>
      </patternFill>
    </fill>
  </fills>
  <borders count="3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9" tint="0.39997558519241921"/>
      </left>
      <right style="thick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medium">
        <color theme="2" tint="-9.9978637043366805E-2"/>
      </right>
      <top/>
      <bottom/>
      <diagonal/>
    </border>
    <border>
      <left/>
      <right style="thick">
        <color theme="0" tint="-0.14999847407452621"/>
      </right>
      <top/>
      <bottom/>
      <diagonal/>
    </border>
    <border>
      <left/>
      <right/>
      <top/>
      <bottom style="medium">
        <color theme="1" tint="0.1499984740745262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</borders>
  <cellStyleXfs count="4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3" fillId="0" borderId="0" applyNumberFormat="0" applyFill="0" applyBorder="0" applyAlignment="0" applyProtection="0"/>
  </cellStyleXfs>
  <cellXfs count="209">
    <xf numFmtId="0" fontId="0" fillId="0" borderId="0" xfId="0"/>
    <xf numFmtId="22" fontId="0" fillId="0" borderId="0" xfId="0" applyNumberFormat="1"/>
    <xf numFmtId="0" fontId="5" fillId="0" borderId="0" xfId="0" applyFont="1"/>
    <xf numFmtId="0" fontId="0" fillId="0" borderId="3" xfId="0" applyBorder="1"/>
    <xf numFmtId="0" fontId="8" fillId="0" borderId="0" xfId="0" quotePrefix="1" applyFont="1"/>
    <xf numFmtId="0" fontId="9" fillId="0" borderId="0" xfId="0" applyFont="1"/>
    <xf numFmtId="0" fontId="0" fillId="0" borderId="0" xfId="0" quotePrefix="1"/>
    <xf numFmtId="14" fontId="10" fillId="0" borderId="0" xfId="0" applyNumberFormat="1" applyFont="1"/>
    <xf numFmtId="165" fontId="0" fillId="0" borderId="0" xfId="0" quotePrefix="1" applyNumberFormat="1"/>
    <xf numFmtId="164" fontId="0" fillId="5" borderId="0" xfId="0" applyNumberFormat="1" applyFill="1"/>
    <xf numFmtId="2" fontId="0" fillId="0" borderId="0" xfId="0" applyNumberFormat="1"/>
    <xf numFmtId="0" fontId="0" fillId="5" borderId="0" xfId="0" applyFill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7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12" fillId="0" borderId="0" xfId="0" applyFont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5" fillId="4" borderId="8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5" fillId="0" borderId="0" xfId="0" applyFont="1"/>
    <xf numFmtId="0" fontId="16" fillId="0" borderId="0" xfId="0" applyFont="1"/>
    <xf numFmtId="14" fontId="0" fillId="2" borderId="0" xfId="0" applyNumberFormat="1" applyFill="1"/>
    <xf numFmtId="0" fontId="18" fillId="0" borderId="0" xfId="0" applyFont="1"/>
    <xf numFmtId="0" fontId="19" fillId="0" borderId="0" xfId="0" applyFont="1"/>
    <xf numFmtId="0" fontId="5" fillId="0" borderId="7" xfId="0" applyFont="1" applyBorder="1"/>
    <xf numFmtId="0" fontId="0" fillId="0" borderId="9" xfId="0" applyBorder="1"/>
    <xf numFmtId="0" fontId="5" fillId="3" borderId="0" xfId="0" applyFont="1" applyFill="1"/>
    <xf numFmtId="0" fontId="6" fillId="3" borderId="0" xfId="0" applyFont="1" applyFill="1"/>
    <xf numFmtId="0" fontId="0" fillId="3" borderId="0" xfId="0" applyFill="1"/>
    <xf numFmtId="0" fontId="0" fillId="2" borderId="0" xfId="0" applyFill="1"/>
    <xf numFmtId="0" fontId="7" fillId="0" borderId="0" xfId="0" applyFont="1"/>
    <xf numFmtId="0" fontId="7" fillId="0" borderId="0" xfId="0" quotePrefix="1" applyFont="1"/>
    <xf numFmtId="0" fontId="0" fillId="8" borderId="0" xfId="0" applyFill="1"/>
    <xf numFmtId="0" fontId="11" fillId="0" borderId="0" xfId="0" quotePrefix="1" applyFont="1"/>
    <xf numFmtId="0" fontId="0" fillId="9" borderId="0" xfId="0" quotePrefix="1" applyFill="1"/>
    <xf numFmtId="0" fontId="0" fillId="10" borderId="0" xfId="0" quotePrefix="1" applyFill="1"/>
    <xf numFmtId="0" fontId="0" fillId="0" borderId="0" xfId="0" applyAlignment="1">
      <alignment horizontal="center"/>
    </xf>
    <xf numFmtId="0" fontId="20" fillId="0" borderId="0" xfId="0" applyFont="1"/>
    <xf numFmtId="0" fontId="13" fillId="12" borderId="0" xfId="0" applyFont="1" applyFill="1"/>
    <xf numFmtId="0" fontId="18" fillId="11" borderId="0" xfId="0" quotePrefix="1" applyFont="1" applyFill="1"/>
    <xf numFmtId="2" fontId="0" fillId="0" borderId="0" xfId="0" applyNumberFormat="1" applyAlignment="1">
      <alignment wrapText="1"/>
    </xf>
    <xf numFmtId="0" fontId="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5" fillId="2" borderId="0" xfId="0" applyFont="1" applyFill="1"/>
    <xf numFmtId="166" fontId="0" fillId="0" borderId="0" xfId="0" applyNumberFormat="1"/>
    <xf numFmtId="0" fontId="22" fillId="0" borderId="0" xfId="0" applyFont="1"/>
    <xf numFmtId="0" fontId="23" fillId="0" borderId="0" xfId="0" applyFont="1"/>
    <xf numFmtId="0" fontId="24" fillId="13" borderId="0" xfId="0" applyFont="1" applyFill="1"/>
    <xf numFmtId="2" fontId="12" fillId="13" borderId="0" xfId="0" applyNumberFormat="1" applyFont="1" applyFill="1"/>
    <xf numFmtId="49" fontId="0" fillId="0" borderId="0" xfId="0" applyNumberFormat="1"/>
    <xf numFmtId="0" fontId="26" fillId="0" borderId="0" xfId="0" applyFont="1"/>
    <xf numFmtId="0" fontId="2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0" xfId="0" applyFont="1" applyFill="1"/>
    <xf numFmtId="6" fontId="8" fillId="0" borderId="0" xfId="0" applyNumberFormat="1" applyFont="1"/>
    <xf numFmtId="14" fontId="0" fillId="0" borderId="0" xfId="0" applyNumberFormat="1"/>
    <xf numFmtId="0" fontId="5" fillId="0" borderId="0" xfId="0" applyFont="1" applyAlignment="1">
      <alignment horizontal="center"/>
    </xf>
    <xf numFmtId="9" fontId="0" fillId="16" borderId="0" xfId="2" applyFont="1" applyFill="1"/>
    <xf numFmtId="0" fontId="30" fillId="0" borderId="0" xfId="0" applyFont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35" fillId="0" borderId="11" xfId="0" applyFont="1" applyBorder="1"/>
    <xf numFmtId="0" fontId="30" fillId="0" borderId="11" xfId="0" applyFont="1" applyBorder="1"/>
    <xf numFmtId="0" fontId="0" fillId="0" borderId="15" xfId="0" applyBorder="1"/>
    <xf numFmtId="0" fontId="0" fillId="0" borderId="17" xfId="0" applyBorder="1"/>
    <xf numFmtId="0" fontId="32" fillId="17" borderId="15" xfId="0" applyFont="1" applyFill="1" applyBorder="1" applyAlignment="1">
      <alignment horizontal="center" vertical="center"/>
    </xf>
    <xf numFmtId="0" fontId="32" fillId="17" borderId="17" xfId="0" applyFont="1" applyFill="1" applyBorder="1" applyAlignment="1">
      <alignment horizontal="center" vertical="center"/>
    </xf>
    <xf numFmtId="0" fontId="36" fillId="11" borderId="21" xfId="0" applyFont="1" applyFill="1" applyBorder="1"/>
    <xf numFmtId="0" fontId="36" fillId="11" borderId="21" xfId="0" applyFont="1" applyFill="1" applyBorder="1" applyAlignment="1">
      <alignment horizontal="center"/>
    </xf>
    <xf numFmtId="0" fontId="36" fillId="11" borderId="21" xfId="0" applyFont="1" applyFill="1" applyBorder="1" applyAlignment="1">
      <alignment horizontal="left" indent="1"/>
    </xf>
    <xf numFmtId="0" fontId="38" fillId="11" borderId="21" xfId="0" applyFont="1" applyFill="1" applyBorder="1" applyAlignment="1">
      <alignment horizontal="center"/>
    </xf>
    <xf numFmtId="0" fontId="38" fillId="11" borderId="21" xfId="0" quotePrefix="1" applyFont="1" applyFill="1" applyBorder="1" applyAlignment="1">
      <alignment horizontal="center"/>
    </xf>
    <xf numFmtId="0" fontId="36" fillId="18" borderId="21" xfId="0" applyFont="1" applyFill="1" applyBorder="1" applyAlignment="1">
      <alignment horizontal="left" indent="1"/>
    </xf>
    <xf numFmtId="0" fontId="36" fillId="18" borderId="21" xfId="0" applyFont="1" applyFill="1" applyBorder="1" applyAlignment="1">
      <alignment horizontal="center"/>
    </xf>
    <xf numFmtId="0" fontId="38" fillId="18" borderId="21" xfId="0" applyFont="1" applyFill="1" applyBorder="1" applyAlignment="1">
      <alignment horizontal="center"/>
    </xf>
    <xf numFmtId="0" fontId="36" fillId="18" borderId="21" xfId="0" applyFont="1" applyFill="1" applyBorder="1"/>
    <xf numFmtId="0" fontId="0" fillId="18" borderId="0" xfId="0" applyFill="1"/>
    <xf numFmtId="0" fontId="39" fillId="17" borderId="16" xfId="0" applyFont="1" applyFill="1" applyBorder="1" applyAlignment="1">
      <alignment horizontal="center" vertical="center"/>
    </xf>
    <xf numFmtId="0" fontId="39" fillId="17" borderId="16" xfId="0" applyFont="1" applyFill="1" applyBorder="1" applyAlignment="1">
      <alignment horizontal="center"/>
    </xf>
    <xf numFmtId="0" fontId="0" fillId="11" borderId="0" xfId="0" quotePrefix="1" applyFill="1"/>
    <xf numFmtId="0" fontId="0" fillId="11" borderId="0" xfId="0" applyFill="1"/>
    <xf numFmtId="0" fontId="42" fillId="0" borderId="0" xfId="0" applyFont="1" applyAlignment="1">
      <alignment horizontal="left" wrapText="1" indent="1"/>
    </xf>
    <xf numFmtId="0" fontId="5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11" borderId="0" xfId="0" applyFont="1" applyFill="1"/>
    <xf numFmtId="0" fontId="22" fillId="11" borderId="0" xfId="0" applyFont="1" applyFill="1" applyAlignment="1">
      <alignment horizontal="center" vertical="center"/>
    </xf>
    <xf numFmtId="0" fontId="5" fillId="19" borderId="13" xfId="0" applyFont="1" applyFill="1" applyBorder="1"/>
    <xf numFmtId="0" fontId="5" fillId="19" borderId="0" xfId="0" applyFont="1" applyFill="1"/>
    <xf numFmtId="0" fontId="9" fillId="0" borderId="13" xfId="0" applyFont="1" applyBorder="1"/>
    <xf numFmtId="0" fontId="46" fillId="0" borderId="0" xfId="0" applyFont="1"/>
    <xf numFmtId="0" fontId="23" fillId="0" borderId="17" xfId="0" applyFont="1" applyBorder="1"/>
    <xf numFmtId="0" fontId="47" fillId="0" borderId="17" xfId="0" applyFont="1" applyBorder="1"/>
    <xf numFmtId="0" fontId="3" fillId="0" borderId="17" xfId="0" applyFont="1" applyBorder="1"/>
    <xf numFmtId="22" fontId="0" fillId="0" borderId="17" xfId="0" applyNumberFormat="1" applyBorder="1"/>
    <xf numFmtId="0" fontId="23" fillId="0" borderId="15" xfId="0" applyFont="1" applyBorder="1"/>
    <xf numFmtId="0" fontId="25" fillId="0" borderId="17" xfId="0" applyFont="1" applyBorder="1"/>
    <xf numFmtId="22" fontId="23" fillId="0" borderId="17" xfId="0" applyNumberFormat="1" applyFont="1" applyBorder="1"/>
    <xf numFmtId="0" fontId="0" fillId="17" borderId="0" xfId="0" applyFill="1"/>
    <xf numFmtId="0" fontId="48" fillId="17" borderId="11" xfId="0" quotePrefix="1" applyFont="1" applyFill="1" applyBorder="1" applyAlignment="1">
      <alignment horizontal="center"/>
    </xf>
    <xf numFmtId="0" fontId="49" fillId="11" borderId="0" xfId="0" applyFont="1" applyFill="1" applyAlignment="1">
      <alignment horizontal="center" vertical="center"/>
    </xf>
    <xf numFmtId="0" fontId="32" fillId="17" borderId="15" xfId="0" applyFont="1" applyFill="1" applyBorder="1" applyAlignment="1">
      <alignment horizontal="left"/>
    </xf>
    <xf numFmtId="0" fontId="32" fillId="17" borderId="17" xfId="0" applyFont="1" applyFill="1" applyBorder="1" applyAlignment="1">
      <alignment horizontal="left"/>
    </xf>
    <xf numFmtId="0" fontId="5" fillId="0" borderId="28" xfId="0" applyFont="1" applyBorder="1"/>
    <xf numFmtId="0" fontId="0" fillId="0" borderId="28" xfId="0" applyBorder="1"/>
    <xf numFmtId="0" fontId="32" fillId="17" borderId="28" xfId="0" applyFont="1" applyFill="1" applyBorder="1" applyAlignment="1">
      <alignment horizontal="left"/>
    </xf>
    <xf numFmtId="0" fontId="23" fillId="0" borderId="28" xfId="0" applyFont="1" applyBorder="1"/>
    <xf numFmtId="0" fontId="51" fillId="0" borderId="11" xfId="0" applyFont="1" applyBorder="1"/>
    <xf numFmtId="0" fontId="52" fillId="0" borderId="0" xfId="0" applyFont="1"/>
    <xf numFmtId="0" fontId="28" fillId="0" borderId="0" xfId="0" applyFont="1"/>
    <xf numFmtId="0" fontId="45" fillId="21" borderId="0" xfId="0" applyFont="1" applyFill="1"/>
    <xf numFmtId="166" fontId="5" fillId="0" borderId="0" xfId="0" applyNumberFormat="1" applyFont="1"/>
    <xf numFmtId="0" fontId="5" fillId="7" borderId="0" xfId="0" applyFont="1" applyFill="1"/>
    <xf numFmtId="166" fontId="8" fillId="12" borderId="0" xfId="0" applyNumberFormat="1" applyFont="1" applyFill="1"/>
    <xf numFmtId="44" fontId="36" fillId="18" borderId="21" xfId="0" applyNumberFormat="1" applyFont="1" applyFill="1" applyBorder="1"/>
    <xf numFmtId="44" fontId="0" fillId="0" borderId="0" xfId="0" applyNumberFormat="1"/>
    <xf numFmtId="44" fontId="55" fillId="18" borderId="21" xfId="0" applyNumberFormat="1" applyFont="1" applyFill="1" applyBorder="1"/>
    <xf numFmtId="0" fontId="55" fillId="18" borderId="21" xfId="0" applyFont="1" applyFill="1" applyBorder="1"/>
    <xf numFmtId="0" fontId="57" fillId="20" borderId="16" xfId="3" applyFont="1" applyFill="1" applyBorder="1" applyAlignment="1">
      <alignment horizontal="center"/>
    </xf>
    <xf numFmtId="0" fontId="57" fillId="17" borderId="20" xfId="3" applyFont="1" applyFill="1" applyBorder="1" applyAlignment="1">
      <alignment horizontal="center"/>
    </xf>
    <xf numFmtId="0" fontId="57" fillId="20" borderId="0" xfId="3" applyFont="1" applyFill="1" applyBorder="1" applyAlignment="1">
      <alignment horizontal="center"/>
    </xf>
    <xf numFmtId="0" fontId="29" fillId="0" borderId="11" xfId="0" applyFont="1" applyBorder="1"/>
    <xf numFmtId="0" fontId="21" fillId="17" borderId="0" xfId="0" applyFont="1" applyFill="1"/>
    <xf numFmtId="0" fontId="45" fillId="21" borderId="25" xfId="0" applyFont="1" applyFill="1" applyBorder="1"/>
    <xf numFmtId="0" fontId="45" fillId="21" borderId="27" xfId="0" applyFont="1" applyFill="1" applyBorder="1"/>
    <xf numFmtId="0" fontId="5" fillId="7" borderId="15" xfId="0" applyFont="1" applyFill="1" applyBorder="1"/>
    <xf numFmtId="0" fontId="5" fillId="7" borderId="17" xfId="0" applyFont="1" applyFill="1" applyBorder="1"/>
    <xf numFmtId="0" fontId="5" fillId="7" borderId="25" xfId="0" applyFont="1" applyFill="1" applyBorder="1"/>
    <xf numFmtId="0" fontId="8" fillId="12" borderId="0" xfId="0" applyFont="1" applyFill="1" applyAlignment="1">
      <alignment horizontal="right"/>
    </xf>
    <xf numFmtId="0" fontId="0" fillId="0" borderId="0" xfId="0" applyAlignment="1">
      <alignment horizontal="right"/>
    </xf>
    <xf numFmtId="166" fontId="58" fillId="0" borderId="0" xfId="0" applyNumberFormat="1" applyFont="1" applyAlignment="1">
      <alignment horizontal="right"/>
    </xf>
    <xf numFmtId="0" fontId="5" fillId="18" borderId="21" xfId="0" applyFont="1" applyFill="1" applyBorder="1"/>
    <xf numFmtId="166" fontId="5" fillId="16" borderId="0" xfId="0" applyNumberFormat="1" applyFont="1" applyFill="1"/>
    <xf numFmtId="0" fontId="45" fillId="17" borderId="15" xfId="0" applyFont="1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45" fillId="17" borderId="17" xfId="0" applyFont="1" applyFill="1" applyBorder="1" applyAlignment="1">
      <alignment horizontal="left"/>
    </xf>
    <xf numFmtId="0" fontId="45" fillId="17" borderId="17" xfId="0" applyFont="1" applyFill="1" applyBorder="1"/>
    <xf numFmtId="0" fontId="59" fillId="15" borderId="17" xfId="0" applyFont="1" applyFill="1" applyBorder="1" applyAlignment="1">
      <alignment horizontal="center"/>
    </xf>
    <xf numFmtId="0" fontId="59" fillId="2" borderId="17" xfId="0" applyFont="1" applyFill="1" applyBorder="1" applyAlignment="1">
      <alignment horizontal="center"/>
    </xf>
    <xf numFmtId="0" fontId="0" fillId="0" borderId="29" xfId="0" applyBorder="1"/>
    <xf numFmtId="0" fontId="32" fillId="14" borderId="29" xfId="0" applyFont="1" applyFill="1" applyBorder="1"/>
    <xf numFmtId="0" fontId="0" fillId="0" borderId="29" xfId="0" quotePrefix="1" applyBorder="1"/>
    <xf numFmtId="0" fontId="0" fillId="0" borderId="30" xfId="0" applyBorder="1"/>
    <xf numFmtId="0" fontId="5" fillId="17" borderId="26" xfId="0" applyFont="1" applyFill="1" applyBorder="1"/>
    <xf numFmtId="166" fontId="5" fillId="11" borderId="31" xfId="1" applyNumberFormat="1" applyFont="1" applyFill="1" applyBorder="1"/>
    <xf numFmtId="166" fontId="21" fillId="11" borderId="32" xfId="1" applyNumberFormat="1" applyFont="1" applyFill="1" applyBorder="1" applyAlignment="1">
      <alignment horizontal="right"/>
    </xf>
    <xf numFmtId="166" fontId="5" fillId="11" borderId="32" xfId="1" applyNumberFormat="1" applyFont="1" applyFill="1" applyBorder="1"/>
    <xf numFmtId="166" fontId="5" fillId="11" borderId="33" xfId="0" applyNumberFormat="1" applyFont="1" applyFill="1" applyBorder="1"/>
    <xf numFmtId="0" fontId="56" fillId="14" borderId="0" xfId="0" applyFont="1" applyFill="1"/>
    <xf numFmtId="0" fontId="60" fillId="11" borderId="11" xfId="0" applyFont="1" applyFill="1" applyBorder="1" applyAlignment="1">
      <alignment horizontal="center"/>
    </xf>
    <xf numFmtId="0" fontId="61" fillId="0" borderId="0" xfId="0" applyFont="1"/>
    <xf numFmtId="166" fontId="5" fillId="16" borderId="32" xfId="1" applyNumberFormat="1" applyFont="1" applyFill="1" applyBorder="1"/>
    <xf numFmtId="0" fontId="39" fillId="17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9" fillId="22" borderId="0" xfId="0" applyFont="1" applyFill="1" applyAlignment="1">
      <alignment horizontal="center"/>
    </xf>
    <xf numFmtId="2" fontId="13" fillId="16" borderId="0" xfId="0" applyNumberFormat="1" applyFont="1" applyFill="1"/>
    <xf numFmtId="0" fontId="21" fillId="0" borderId="0" xfId="0" applyFont="1" applyAlignment="1">
      <alignment horizontal="left"/>
    </xf>
    <xf numFmtId="167" fontId="62" fillId="11" borderId="21" xfId="0" applyNumberFormat="1" applyFont="1" applyFill="1" applyBorder="1" applyAlignment="1">
      <alignment horizontal="center"/>
    </xf>
    <xf numFmtId="167" fontId="62" fillId="18" borderId="21" xfId="0" applyNumberFormat="1" applyFont="1" applyFill="1" applyBorder="1" applyAlignment="1">
      <alignment horizontal="center"/>
    </xf>
    <xf numFmtId="0" fontId="63" fillId="18" borderId="21" xfId="0" applyFont="1" applyFill="1" applyBorder="1"/>
    <xf numFmtId="0" fontId="5" fillId="0" borderId="11" xfId="0" applyFont="1" applyBorder="1"/>
    <xf numFmtId="0" fontId="64" fillId="0" borderId="11" xfId="3" applyFont="1" applyBorder="1"/>
    <xf numFmtId="0" fontId="65" fillId="0" borderId="0" xfId="0" applyFont="1" applyAlignment="1">
      <alignment horizontal="center"/>
    </xf>
    <xf numFmtId="0" fontId="66" fillId="11" borderId="21" xfId="0" applyFont="1" applyFill="1" applyBorder="1"/>
    <xf numFmtId="0" fontId="53" fillId="0" borderId="0" xfId="3" applyAlignment="1">
      <alignment horizontal="left" indent="2"/>
    </xf>
    <xf numFmtId="0" fontId="36" fillId="18" borderId="0" xfId="0" applyFont="1" applyFill="1"/>
    <xf numFmtId="44" fontId="36" fillId="18" borderId="0" xfId="0" applyNumberFormat="1" applyFont="1" applyFill="1"/>
    <xf numFmtId="44" fontId="2" fillId="0" borderId="0" xfId="0" applyNumberFormat="1" applyFont="1"/>
    <xf numFmtId="0" fontId="69" fillId="0" borderId="0" xfId="0" applyFont="1" applyAlignment="1">
      <alignment vertical="center"/>
    </xf>
    <xf numFmtId="0" fontId="70" fillId="0" borderId="28" xfId="0" applyFont="1" applyBorder="1"/>
    <xf numFmtId="0" fontId="40" fillId="0" borderId="0" xfId="0" applyFont="1"/>
    <xf numFmtId="0" fontId="0" fillId="0" borderId="0" xfId="0" applyAlignment="1">
      <alignment horizontal="left"/>
    </xf>
    <xf numFmtId="14" fontId="4" fillId="11" borderId="0" xfId="0" applyNumberFormat="1" applyFont="1" applyFill="1"/>
    <xf numFmtId="0" fontId="71" fillId="0" borderId="0" xfId="0" applyFont="1"/>
    <xf numFmtId="0" fontId="0" fillId="0" borderId="0" xfId="0" applyAlignment="1">
      <alignment horizontal="left" vertical="top" wrapText="1"/>
    </xf>
    <xf numFmtId="0" fontId="42" fillId="0" borderId="0" xfId="0" applyFont="1" applyAlignment="1">
      <alignment horizontal="left" wrapText="1" indent="1"/>
    </xf>
    <xf numFmtId="0" fontId="0" fillId="0" borderId="0" xfId="0" applyAlignment="1">
      <alignment horizontal="left" wrapText="1"/>
    </xf>
    <xf numFmtId="0" fontId="53" fillId="0" borderId="0" xfId="3" applyAlignment="1">
      <alignment horizontal="left" wrapText="1"/>
    </xf>
    <xf numFmtId="0" fontId="45" fillId="17" borderId="14" xfId="0" applyFont="1" applyFill="1" applyBorder="1" applyAlignment="1">
      <alignment horizontal="center" vertical="center"/>
    </xf>
    <xf numFmtId="0" fontId="45" fillId="17" borderId="0" xfId="0" applyFont="1" applyFill="1" applyAlignment="1">
      <alignment horizontal="center" vertical="center"/>
    </xf>
    <xf numFmtId="0" fontId="41" fillId="0" borderId="0" xfId="0" applyFont="1" applyAlignment="1">
      <alignment horizontal="center" wrapText="1"/>
    </xf>
    <xf numFmtId="0" fontId="68" fillId="0" borderId="0" xfId="0" applyFont="1" applyAlignment="1">
      <alignment horizontal="left" vertical="top" wrapText="1"/>
    </xf>
    <xf numFmtId="0" fontId="5" fillId="6" borderId="0" xfId="0" applyFont="1" applyFill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39" fillId="20" borderId="19" xfId="0" applyFont="1" applyFill="1" applyBorder="1" applyAlignment="1">
      <alignment horizontal="center"/>
    </xf>
    <xf numFmtId="0" fontId="39" fillId="20" borderId="0" xfId="0" applyFont="1" applyFill="1" applyAlignment="1">
      <alignment horizontal="center"/>
    </xf>
    <xf numFmtId="0" fontId="57" fillId="20" borderId="0" xfId="3" applyFont="1" applyFill="1" applyBorder="1" applyAlignment="1">
      <alignment horizontal="center"/>
    </xf>
    <xf numFmtId="0" fontId="57" fillId="17" borderId="20" xfId="3" applyFont="1" applyFill="1" applyBorder="1" applyAlignment="1">
      <alignment horizontal="center"/>
    </xf>
    <xf numFmtId="0" fontId="57" fillId="17" borderId="18" xfId="3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29" fillId="0" borderId="0" xfId="0" applyFont="1" applyBorder="1"/>
    <xf numFmtId="0" fontId="0" fillId="0" borderId="0" xfId="0" applyBorder="1"/>
    <xf numFmtId="0" fontId="60" fillId="11" borderId="0" xfId="0" applyFont="1" applyFill="1" applyBorder="1" applyAlignment="1">
      <alignment horizontal="center"/>
    </xf>
    <xf numFmtId="0" fontId="0" fillId="23" borderId="0" xfId="0" applyFill="1"/>
    <xf numFmtId="0" fontId="13" fillId="11" borderId="0" xfId="0" applyFont="1" applyFill="1" applyAlignment="1">
      <alignment horizontal="left"/>
    </xf>
    <xf numFmtId="0" fontId="29" fillId="0" borderId="0" xfId="0" applyFont="1" applyAlignment="1">
      <alignment horizontal="center"/>
    </xf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4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7" tint="0.79998168889431442"/>
        </patternFill>
      </fill>
    </dxf>
    <dxf>
      <font>
        <b val="0"/>
        <i/>
        <color theme="2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7" tint="0.79998168889431442"/>
        </patternFill>
      </fill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>
        <left/>
        <right style="thick">
          <color theme="0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numFmt numFmtId="0" formatCode="General"/>
      <border diagonalUp="0" diagonalDown="0">
        <left style="thick">
          <color theme="0"/>
        </left>
        <right style="thick">
          <color theme="0"/>
        </right>
        <top/>
        <bottom/>
        <vertical/>
        <horizontal/>
      </border>
    </dxf>
    <dxf>
      <numFmt numFmtId="0" formatCode="General"/>
      <border diagonalUp="0" diagonalDown="0">
        <left style="thick">
          <color theme="0"/>
        </left>
        <right style="thick">
          <color theme="0"/>
        </right>
        <top/>
        <bottom/>
        <vertical/>
        <horizontal/>
      </border>
    </dxf>
    <dxf>
      <numFmt numFmtId="0" formatCode="General"/>
      <border diagonalUp="0" diagonalDown="0">
        <left/>
        <right style="thick">
          <color theme="0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99FF99"/>
      <color rgb="FF300090"/>
      <color rgb="FFCD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Monero Moyen FIFO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CUMP_Calculs!$B$6:$B$14</c:f>
              <c:numCache>
                <c:formatCode>m/d/yyyy</c:formatCode>
                <c:ptCount val="9"/>
                <c:pt idx="0">
                  <c:v>45292</c:v>
                </c:pt>
                <c:pt idx="1">
                  <c:v>45306</c:v>
                </c:pt>
                <c:pt idx="2">
                  <c:v>45323</c:v>
                </c:pt>
                <c:pt idx="3">
                  <c:v>45337</c:v>
                </c:pt>
                <c:pt idx="4">
                  <c:v>45358</c:v>
                </c:pt>
                <c:pt idx="5">
                  <c:v>45383</c:v>
                </c:pt>
                <c:pt idx="6">
                  <c:v>45432</c:v>
                </c:pt>
                <c:pt idx="7">
                  <c:v>45560</c:v>
                </c:pt>
                <c:pt idx="8">
                  <c:v>45561</c:v>
                </c:pt>
              </c:numCache>
            </c:numRef>
          </c:cat>
          <c:val>
            <c:numRef>
              <c:f>CUMP_Calculs!$G$6:$G$14</c:f>
              <c:numCache>
                <c:formatCode>0.00</c:formatCode>
                <c:ptCount val="9"/>
                <c:pt idx="0">
                  <c:v>154</c:v>
                </c:pt>
                <c:pt idx="1">
                  <c:v>151.875</c:v>
                </c:pt>
                <c:pt idx="2">
                  <c:v>151.875</c:v>
                </c:pt>
                <c:pt idx="3">
                  <c:v>230.625</c:v>
                </c:pt>
                <c:pt idx="4">
                  <c:v>230.625</c:v>
                </c:pt>
                <c:pt idx="5">
                  <c:v>230.625</c:v>
                </c:pt>
                <c:pt idx="6">
                  <c:v>219.53947368421052</c:v>
                </c:pt>
                <c:pt idx="7">
                  <c:v>219.53947368421052</c:v>
                </c:pt>
                <c:pt idx="8">
                  <c:v>219.53947368421052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B-4998-A313-127E1D70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615296"/>
        <c:axId val="1882612416"/>
      </c:lineChart>
      <c:dateAx>
        <c:axId val="1882615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2612416"/>
        <c:crosses val="autoZero"/>
        <c:auto val="1"/>
        <c:lblOffset val="100"/>
        <c:baseTimeUnit val="days"/>
      </c:dateAx>
      <c:valAx>
        <c:axId val="18826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26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9753</xdr:colOff>
      <xdr:row>18</xdr:row>
      <xdr:rowOff>24383</xdr:rowOff>
    </xdr:from>
    <xdr:ext cx="4808525" cy="2464906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CB55E2D-1535-D599-046E-3F9F44AA6D9E}"/>
            </a:ext>
          </a:extLst>
        </xdr:cNvPr>
        <xdr:cNvSpPr txBox="1"/>
      </xdr:nvSpPr>
      <xdr:spPr>
        <a:xfrm>
          <a:off x="6242304" y="3818534"/>
          <a:ext cx="4808525" cy="24649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050" b="1"/>
            <a:t>Dans le cas de 10 ventes (entrées) sans aucune sortie :</a:t>
          </a:r>
        </a:p>
        <a:p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•  </a:t>
          </a:r>
          <a:r>
            <a:rPr lang="fr-FR" sz="1050"/>
            <a:t>Le compte 522 sera débité du montant total des XMR reçus (valorisés en EUR au cours du jour de réception)</a:t>
          </a:r>
        </a:p>
        <a:p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•  </a:t>
          </a:r>
          <a:r>
            <a:rPr lang="fr-FR" sz="1050"/>
            <a:t>Il n'y aura aucune plus-value réalisée car pas de conversion/vente</a:t>
          </a:r>
        </a:p>
        <a:p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•  </a:t>
          </a:r>
          <a:r>
            <a:rPr lang="fr-FR" sz="1050"/>
            <a:t>Le stock final en XMR sera la somme de toutes les entrées</a:t>
          </a:r>
        </a:p>
        <a:p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•  </a:t>
          </a:r>
          <a:r>
            <a:rPr lang="fr-FR" sz="1050"/>
            <a:t>La valeur du stock devra être réévaluée au 31/12 pour le bilan</a:t>
          </a:r>
        </a:p>
        <a:p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⮕ </a:t>
          </a:r>
          <a:r>
            <a:rPr lang="fr-FR" sz="1050" u="none"/>
            <a:t>Le chiffre d'affaires sera simplement le total des entrées en EUR</a:t>
          </a:r>
        </a:p>
        <a:p>
          <a:endParaRPr lang="fr-FR" sz="1050"/>
        </a:p>
        <a:p>
          <a:r>
            <a:rPr lang="fr-FR" sz="1050" b="1"/>
            <a:t>Points importants :</a:t>
          </a:r>
        </a:p>
        <a:p>
          <a:r>
            <a:rPr lang="fr-FR" sz="1050"/>
            <a:t>Les plus-values latentes (non réalisées) n'impactent pas le résultat fiscal</a:t>
          </a:r>
        </a:p>
        <a:p>
          <a:endParaRPr lang="fr-FR" sz="1050"/>
        </a:p>
        <a:p>
          <a:r>
            <a:rPr lang="fr-FR" sz="1050" b="1">
              <a:solidFill>
                <a:schemeClr val="tx1"/>
              </a:solidFill>
            </a:rPr>
            <a:t>Le stock doit être </a:t>
          </a:r>
          <a:r>
            <a:rPr lang="fr-FR" sz="1050" b="1" u="sng">
              <a:solidFill>
                <a:schemeClr val="tx1"/>
              </a:solidFill>
            </a:rPr>
            <a:t>valorisé au plus bas </a:t>
          </a:r>
          <a:r>
            <a:rPr lang="fr-FR" sz="1050" b="1">
              <a:solidFill>
                <a:schemeClr val="tx1"/>
              </a:solidFill>
            </a:rPr>
            <a:t>entre : </a:t>
          </a:r>
        </a:p>
        <a:p>
          <a:r>
            <a:rPr lang="fr-FR" sz="1100" b="0" i="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fr-F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050"/>
            <a:t>Le coût d'acquisition</a:t>
          </a:r>
        </a:p>
        <a:p>
          <a:r>
            <a:rPr lang="fr-FR" sz="1100" b="0" i="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•  </a:t>
          </a:r>
          <a:r>
            <a:rPr lang="fr-FR" sz="1050"/>
            <a:t>La valeur de marché au 31/12 (principe de prudence comptable)</a:t>
          </a:r>
        </a:p>
      </xdr:txBody>
    </xdr:sp>
    <xdr:clientData/>
  </xdr:oneCellAnchor>
  <xdr:twoCellAnchor editAs="oneCell">
    <xdr:from>
      <xdr:col>3</xdr:col>
      <xdr:colOff>101776</xdr:colOff>
      <xdr:row>18</xdr:row>
      <xdr:rowOff>203099</xdr:rowOff>
    </xdr:from>
    <xdr:to>
      <xdr:col>4</xdr:col>
      <xdr:colOff>1166690</xdr:colOff>
      <xdr:row>22</xdr:row>
      <xdr:rowOff>175745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31C3E6E-8C73-AEB9-7B95-EFED63FEA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6149" y="4038353"/>
          <a:ext cx="3019117" cy="1816078"/>
        </a:xfrm>
        <a:prstGeom prst="rect">
          <a:avLst/>
        </a:prstGeom>
      </xdr:spPr>
    </xdr:pic>
    <xdr:clientData/>
  </xdr:twoCellAnchor>
  <xdr:twoCellAnchor editAs="oneCell">
    <xdr:from>
      <xdr:col>5</xdr:col>
      <xdr:colOff>636422</xdr:colOff>
      <xdr:row>4</xdr:row>
      <xdr:rowOff>73152</xdr:rowOff>
    </xdr:from>
    <xdr:to>
      <xdr:col>9</xdr:col>
      <xdr:colOff>534009</xdr:colOff>
      <xdr:row>16</xdr:row>
      <xdr:rowOff>5037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CE18CDF-F7B6-19E7-ADE9-5B84B52CC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494" y="1031443"/>
          <a:ext cx="2472538" cy="2411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212140</xdr:colOff>
      <xdr:row>11</xdr:row>
      <xdr:rowOff>36575</xdr:rowOff>
    </xdr:from>
    <xdr:ext cx="6371231" cy="2894895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3818CB8-6436-4D3E-B4FD-DE33D8624001}"/>
            </a:ext>
          </a:extLst>
        </xdr:cNvPr>
        <xdr:cNvSpPr txBox="1"/>
      </xdr:nvSpPr>
      <xdr:spPr>
        <a:xfrm>
          <a:off x="9209836" y="2048255"/>
          <a:ext cx="6371231" cy="289489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 kern="1200"/>
            <a:t>Informations</a:t>
          </a:r>
          <a:r>
            <a:rPr lang="fr-FR" sz="1400" b="1" kern="1200" baseline="0"/>
            <a:t> à destination du comptable </a:t>
          </a:r>
        </a:p>
        <a:p>
          <a:endParaRPr lang="fr-FR" sz="1100" kern="1200" baseline="0"/>
        </a:p>
        <a:p>
          <a:r>
            <a:rPr lang="fr-FR" b="1"/>
            <a:t>Dans le cas de 10 ventes (entrées) sans aucune sortie :</a:t>
          </a:r>
        </a:p>
        <a:p>
          <a:r>
            <a:rPr lang="fr-FR"/>
            <a:t>Le compte 522 sera débité du montant total des XMR reçus (valorisés en EUR au cours du jour de réception)</a:t>
          </a:r>
        </a:p>
        <a:p>
          <a:r>
            <a:rPr lang="fr-FR"/>
            <a:t>Il n'y aura aucune plus-value réalisée car pas de conversion/vente</a:t>
          </a:r>
        </a:p>
        <a:p>
          <a:r>
            <a:rPr lang="fr-FR"/>
            <a:t>Le stock final en XMR sera la somme de toutes les entrées</a:t>
          </a:r>
        </a:p>
        <a:p>
          <a:r>
            <a:rPr lang="fr-FR"/>
            <a:t>La valeur du stock devra être réévaluée au 31/12 pour le bilan</a:t>
          </a:r>
        </a:p>
        <a:p>
          <a:r>
            <a:rPr lang="fr-FR" u="sng"/>
            <a:t>Le chiffre d'affaires sera simplement le total des entrées en EUR</a:t>
          </a:r>
        </a:p>
        <a:p>
          <a:endParaRPr lang="fr-FR"/>
        </a:p>
        <a:p>
          <a:r>
            <a:rPr lang="fr-FR" b="1"/>
            <a:t>Points importants :</a:t>
          </a:r>
        </a:p>
        <a:p>
          <a:r>
            <a:rPr lang="fr-FR"/>
            <a:t>Les plus-values latentes (non réalisées) n'impactent pas le résultat fiscal</a:t>
          </a:r>
        </a:p>
        <a:p>
          <a:endParaRPr lang="fr-FR"/>
        </a:p>
        <a:p>
          <a:r>
            <a:rPr lang="fr-FR">
              <a:solidFill>
                <a:schemeClr val="accent5">
                  <a:lumMod val="75000"/>
                </a:schemeClr>
              </a:solidFill>
            </a:rPr>
            <a:t>Le stock doit être </a:t>
          </a:r>
          <a:r>
            <a:rPr lang="fr-FR" u="sng">
              <a:solidFill>
                <a:schemeClr val="accent5">
                  <a:lumMod val="75000"/>
                </a:schemeClr>
              </a:solidFill>
            </a:rPr>
            <a:t>valorisé au plus bas </a:t>
          </a:r>
          <a:r>
            <a:rPr lang="fr-FR">
              <a:solidFill>
                <a:schemeClr val="accent5">
                  <a:lumMod val="75000"/>
                </a:schemeClr>
              </a:solidFill>
            </a:rPr>
            <a:t>entre : </a:t>
          </a:r>
        </a:p>
        <a:p>
          <a:pPr lvl="1"/>
          <a:r>
            <a:rPr lang="fr-FR"/>
            <a:t>Le coût d'acquisition</a:t>
          </a:r>
        </a:p>
        <a:p>
          <a:pPr lvl="1"/>
          <a:r>
            <a:rPr lang="fr-FR"/>
            <a:t>La valeur de marché au 31/12 (principe de prudence comptable)</a:t>
          </a:r>
        </a:p>
        <a:p>
          <a:endParaRPr lang="fr-FR" sz="1100" kern="1200"/>
        </a:p>
      </xdr:txBody>
    </xdr:sp>
    <xdr:clientData/>
  </xdr:oneCellAnchor>
  <xdr:oneCellAnchor>
    <xdr:from>
      <xdr:col>4</xdr:col>
      <xdr:colOff>203606</xdr:colOff>
      <xdr:row>11</xdr:row>
      <xdr:rowOff>93880</xdr:rowOff>
    </xdr:from>
    <xdr:ext cx="4953609" cy="2429864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F6E05F4D-61A6-4A19-A7DA-9BB6F8297D15}"/>
            </a:ext>
          </a:extLst>
        </xdr:cNvPr>
        <xdr:cNvSpPr txBox="1"/>
      </xdr:nvSpPr>
      <xdr:spPr>
        <a:xfrm>
          <a:off x="3407664" y="2105560"/>
          <a:ext cx="4953609" cy="2429864"/>
        </a:xfrm>
        <a:prstGeom prst="roundRect">
          <a:avLst>
            <a:gd name="adj" fmla="val 1124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800" b="1" kern="1200"/>
            <a:t>Tuto</a:t>
          </a:r>
          <a:r>
            <a:rPr lang="fr-FR" sz="1800" b="1" kern="1200" baseline="0"/>
            <a:t> : </a:t>
          </a:r>
          <a:r>
            <a:rPr lang="fr-FR" sz="1800" b="1" i="1" u="sng" kern="1200" baseline="0"/>
            <a:t>vidéo à venir</a:t>
          </a:r>
          <a:endParaRPr lang="fr-FR" sz="1800" b="0" i="1" u="sng" kern="1200"/>
        </a:p>
        <a:p>
          <a:r>
            <a:rPr lang="fr-FR" sz="1400" b="1" kern="1200"/>
            <a:t>1- </a:t>
          </a:r>
          <a:r>
            <a:rPr lang="fr-FR" sz="1400" b="0" kern="1200"/>
            <a:t>Remplir les transactions dans l'onglet "Bitrequest_import"</a:t>
          </a:r>
        </a:p>
        <a:p>
          <a:r>
            <a:rPr lang="fr-FR" sz="1400" b="0" kern="1200"/>
            <a:t>à</a:t>
          </a:r>
          <a:r>
            <a:rPr lang="fr-FR" sz="1400" b="0" kern="1200" baseline="0"/>
            <a:t> partir d'un export CSV Bitrequest (OK)</a:t>
          </a:r>
        </a:p>
        <a:p>
          <a:r>
            <a:rPr lang="fr-FR" sz="1400" b="0" kern="1200" baseline="0"/>
            <a:t>ou bien manuellement l'onglet CakeWallet</a:t>
          </a:r>
          <a:r>
            <a:rPr lang="fr-FR" sz="1400" b="0" kern="1200" baseline="0">
              <a:solidFill>
                <a:schemeClr val="accent4">
                  <a:lumMod val="50000"/>
                </a:schemeClr>
              </a:solidFill>
            </a:rPr>
            <a:t> (Non terminé !)</a:t>
          </a:r>
        </a:p>
        <a:p>
          <a:endParaRPr lang="fr-FR" sz="1400" b="0" kern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fr-FR" sz="1400" b="1" kern="1200">
              <a:solidFill>
                <a:schemeClr val="dk1"/>
              </a:solidFill>
              <a:latin typeface="+mn-lt"/>
              <a:ea typeface="+mn-ea"/>
              <a:cs typeface="+mn-cs"/>
            </a:rPr>
            <a:t>2-</a:t>
          </a:r>
          <a:r>
            <a:rPr lang="fr-FR" sz="1400" b="0" kern="1200">
              <a:solidFill>
                <a:schemeClr val="dk1"/>
              </a:solidFill>
              <a:latin typeface="+mn-lt"/>
              <a:ea typeface="+mn-ea"/>
              <a:cs typeface="+mn-cs"/>
            </a:rPr>
            <a:t> Transmettre au comptable les 3 champs fiscaux de l'onglet "Reporting_comptable" auto-calculés</a:t>
          </a:r>
          <a:r>
            <a:rPr lang="fr-FR" sz="1400" b="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r-FR" sz="1400" b="0" kern="1200">
              <a:solidFill>
                <a:schemeClr val="dk1"/>
              </a:solidFill>
              <a:latin typeface="+mn-lt"/>
              <a:ea typeface="+mn-ea"/>
              <a:cs typeface="+mn-cs"/>
            </a:rPr>
            <a:t>(ligne 22, 24, 25)</a:t>
          </a:r>
        </a:p>
        <a:p>
          <a:endParaRPr lang="fr-FR" sz="1400" b="0" kern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fr-FR" sz="1400" b="0" kern="1200">
              <a:solidFill>
                <a:schemeClr val="dk1"/>
              </a:solidFill>
              <a:latin typeface="+mn-lt"/>
              <a:ea typeface="+mn-ea"/>
              <a:cs typeface="+mn-cs"/>
            </a:rPr>
            <a:t>C'est tout ! En</a:t>
          </a:r>
          <a:r>
            <a:rPr lang="fr-FR" sz="1400" b="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c</a:t>
          </a:r>
          <a:r>
            <a:rPr lang="fr-FR" sz="1400" b="0" kern="1200">
              <a:solidFill>
                <a:schemeClr val="dk1"/>
              </a:solidFill>
              <a:latin typeface="+mn-lt"/>
              <a:ea typeface="+mn-ea"/>
              <a:cs typeface="+mn-cs"/>
            </a:rPr>
            <a:t>ompte 522.</a:t>
          </a:r>
        </a:p>
      </xdr:txBody>
    </xdr:sp>
    <xdr:clientData/>
  </xdr:oneCellAnchor>
  <xdr:oneCellAnchor>
    <xdr:from>
      <xdr:col>7</xdr:col>
      <xdr:colOff>296343</xdr:colOff>
      <xdr:row>2</xdr:row>
      <xdr:rowOff>101194</xdr:rowOff>
    </xdr:from>
    <xdr:ext cx="5075117" cy="794969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B568D315-2049-41E8-B521-ED5B9834F204}"/>
            </a:ext>
          </a:extLst>
        </xdr:cNvPr>
        <xdr:cNvSpPr txBox="1"/>
      </xdr:nvSpPr>
      <xdr:spPr>
        <a:xfrm>
          <a:off x="5431613" y="466954"/>
          <a:ext cx="5075117" cy="794969"/>
        </a:xfrm>
        <a:prstGeom prst="round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r-FR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Calculateur</a:t>
          </a:r>
          <a:r>
            <a:rPr lang="fr-FR" sz="2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 comptabilité et fiscalité crypto</a:t>
          </a:r>
          <a:endParaRPr lang="fr-FR" sz="2800">
            <a:effectLst/>
          </a:endParaRPr>
        </a:p>
        <a:p>
          <a:pPr algn="ctr"/>
          <a:r>
            <a:rPr lang="fr-FR" sz="20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Libre et open source !</a:t>
          </a:r>
          <a:endParaRPr lang="fr-FR" sz="2800">
            <a:effectLst/>
          </a:endParaRPr>
        </a:p>
      </xdr:txBody>
    </xdr:sp>
    <xdr:clientData/>
  </xdr:oneCellAnchor>
  <xdr:twoCellAnchor editAs="oneCell">
    <xdr:from>
      <xdr:col>8</xdr:col>
      <xdr:colOff>336499</xdr:colOff>
      <xdr:row>9</xdr:row>
      <xdr:rowOff>7315</xdr:rowOff>
    </xdr:from>
    <xdr:to>
      <xdr:col>20</xdr:col>
      <xdr:colOff>384048</xdr:colOff>
      <xdr:row>39</xdr:row>
      <xdr:rowOff>1026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98EB27F-01B0-5327-92AF-EB8EE55BC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507" y="1653235"/>
          <a:ext cx="7772400" cy="5494741"/>
        </a:xfrm>
        <a:prstGeom prst="rect">
          <a:avLst/>
        </a:prstGeom>
      </xdr:spPr>
    </xdr:pic>
    <xdr:clientData/>
  </xdr:twoCellAnchor>
  <xdr:twoCellAnchor editAs="oneCell">
    <xdr:from>
      <xdr:col>18</xdr:col>
      <xdr:colOff>486498</xdr:colOff>
      <xdr:row>6</xdr:row>
      <xdr:rowOff>11012</xdr:rowOff>
    </xdr:from>
    <xdr:to>
      <xdr:col>30</xdr:col>
      <xdr:colOff>534047</xdr:colOff>
      <xdr:row>36</xdr:row>
      <xdr:rowOff>4723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4302D33-B77F-EC28-F14B-D134DD447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2882" y="1108292"/>
          <a:ext cx="7772400" cy="54947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686503</xdr:colOff>
      <xdr:row>16</xdr:row>
      <xdr:rowOff>62368</xdr:rowOff>
    </xdr:from>
    <xdr:to>
      <xdr:col>22</xdr:col>
      <xdr:colOff>5629</xdr:colOff>
      <xdr:row>21</xdr:row>
      <xdr:rowOff>106916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CE10E813-24F4-4184-A3D2-6A3F29D07DB0}"/>
            </a:ext>
          </a:extLst>
        </xdr:cNvPr>
        <xdr:cNvSpPr txBox="1"/>
      </xdr:nvSpPr>
      <xdr:spPr>
        <a:xfrm>
          <a:off x="16402929" y="1924930"/>
          <a:ext cx="962232" cy="9730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800"/>
            <a:t>T</a:t>
          </a:r>
          <a:r>
            <a:rPr lang="fr-FR" sz="800" baseline="0"/>
            <a:t> : </a:t>
          </a:r>
          <a:r>
            <a:rPr lang="fr-FR" sz="800"/>
            <a:t>1ère ligne : =SI(P2="Entrée";O2;0) </a:t>
          </a:r>
        </a:p>
        <a:p>
          <a:pPr algn="l"/>
          <a:r>
            <a:rPr lang="fr-FR" sz="800"/>
            <a:t> Ligne suivantes : =SI(P3="Entrée";T2+O3;T2-O3) </a:t>
          </a:r>
          <a:endParaRPr lang="fr-FR" sz="700" b="1" kern="1200"/>
        </a:p>
      </xdr:txBody>
    </xdr:sp>
    <xdr:clientData/>
  </xdr:twoCellAnchor>
  <xdr:twoCellAnchor>
    <xdr:from>
      <xdr:col>21</xdr:col>
      <xdr:colOff>77091</xdr:colOff>
      <xdr:row>20</xdr:row>
      <xdr:rowOff>63024</xdr:rowOff>
    </xdr:from>
    <xdr:to>
      <xdr:col>23</xdr:col>
      <xdr:colOff>164873</xdr:colOff>
      <xdr:row>30</xdr:row>
      <xdr:rowOff>16883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F74235D-C0A2-5A2A-FA18-CF62C5F41348}"/>
            </a:ext>
          </a:extLst>
        </xdr:cNvPr>
        <xdr:cNvSpPr txBox="1"/>
      </xdr:nvSpPr>
      <xdr:spPr>
        <a:xfrm>
          <a:off x="16615070" y="2668361"/>
          <a:ext cx="1730888" cy="1810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000" b="1"/>
            <a:t>Prix d'acquisition unitaire </a:t>
          </a:r>
          <a:r>
            <a:rPr lang="fr-FR" sz="1000"/>
            <a:t>selon méthode FIFO </a:t>
          </a:r>
        </a:p>
        <a:p>
          <a:r>
            <a:rPr lang="fr-FR" sz="1000"/>
            <a:t>- Pour une </a:t>
          </a:r>
          <a:r>
            <a:rPr lang="fr-FR" sz="1000" b="1"/>
            <a:t>entrée</a:t>
          </a:r>
          <a:r>
            <a:rPr lang="fr-FR" sz="1000"/>
            <a:t> : c'est le même que Q (prix du marché)</a:t>
          </a:r>
        </a:p>
        <a:p>
          <a:r>
            <a:rPr lang="fr-FR" sz="1000"/>
            <a:t>- Pour une </a:t>
          </a:r>
          <a:r>
            <a:rPr lang="fr-FR" sz="1000" b="1"/>
            <a:t>sortie</a:t>
          </a:r>
          <a:r>
            <a:rPr lang="fr-FR" sz="1000"/>
            <a:t> : c'est le prix historique d'acquisition des XMR qu'on utilise</a:t>
          </a:r>
        </a:p>
        <a:p>
          <a:endParaRPr lang="fr-FR" sz="1000" kern="1200"/>
        </a:p>
        <a:p>
          <a:r>
            <a:rPr lang="fr-FR" sz="1000" kern="1200"/>
            <a:t>- Utilise RECHERCHEV</a:t>
          </a:r>
          <a:r>
            <a:rPr lang="fr-FR" sz="1000" kern="1200" baseline="0"/>
            <a:t> dans l'onglet FIFO_Calculs.</a:t>
          </a:r>
        </a:p>
      </xdr:txBody>
    </xdr:sp>
    <xdr:clientData/>
  </xdr:twoCellAnchor>
  <xdr:twoCellAnchor>
    <xdr:from>
      <xdr:col>23</xdr:col>
      <xdr:colOff>203606</xdr:colOff>
      <xdr:row>18</xdr:row>
      <xdr:rowOff>119764</xdr:rowOff>
    </xdr:from>
    <xdr:to>
      <xdr:col>25</xdr:col>
      <xdr:colOff>291388</xdr:colOff>
      <xdr:row>26</xdr:row>
      <xdr:rowOff>17352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F6F06F02-2A78-425E-9F1D-57D15570E934}"/>
            </a:ext>
          </a:extLst>
        </xdr:cNvPr>
        <xdr:cNvSpPr txBox="1"/>
      </xdr:nvSpPr>
      <xdr:spPr>
        <a:xfrm>
          <a:off x="18384691" y="2353713"/>
          <a:ext cx="1730889" cy="1383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050"/>
            <a:t>Prix total d'acquisition d</a:t>
          </a:r>
          <a:r>
            <a:rPr lang="fr-FR" sz="1050" b="1"/>
            <a:t>e la quantité sortie</a:t>
          </a:r>
        </a:p>
        <a:p>
          <a:pPr algn="l"/>
          <a:r>
            <a:rPr lang="fr-FR" sz="1050"/>
            <a:t>= Quantité × Prix d'acquisition unitaire</a:t>
          </a:r>
        </a:p>
        <a:p>
          <a:pPr algn="l"/>
          <a:r>
            <a:rPr lang="fr-FR" sz="1050" b="1"/>
            <a:t>- Seulement rempli pour les sorties</a:t>
          </a:r>
          <a:endParaRPr lang="fr-FR" sz="1000" b="1" kern="1200"/>
        </a:p>
      </xdr:txBody>
    </xdr:sp>
    <xdr:clientData/>
  </xdr:twoCellAnchor>
  <xdr:twoCellAnchor>
    <xdr:from>
      <xdr:col>20</xdr:col>
      <xdr:colOff>725893</xdr:colOff>
      <xdr:row>32</xdr:row>
      <xdr:rowOff>73151</xdr:rowOff>
    </xdr:from>
    <xdr:to>
      <xdr:col>23</xdr:col>
      <xdr:colOff>157559</xdr:colOff>
      <xdr:row>39</xdr:row>
      <xdr:rowOff>95659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5CC660E4-E92E-8FC8-22BE-77E71061BE49}"/>
            </a:ext>
          </a:extLst>
        </xdr:cNvPr>
        <xdr:cNvSpPr txBox="1"/>
      </xdr:nvSpPr>
      <xdr:spPr>
        <a:xfrm>
          <a:off x="16442319" y="4906810"/>
          <a:ext cx="1896325" cy="1322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RECHERCHEV d’Excel est une fonction qui permet de rechercher une valeur dans la première colonne d’un tableau (ici</a:t>
          </a:r>
          <a:r>
            <a:rPr lang="fr-F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A)</a:t>
          </a:r>
          <a:r>
            <a:rPr lang="fr-FR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et de renvoyer la valeur correspondante dans une autre colonne (ici la 6e soit F = "Prix_Moyen_FIFO")</a:t>
          </a:r>
        </a:p>
        <a:p>
          <a:endParaRPr lang="fr-FR" sz="1000" b="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778737</xdr:colOff>
      <xdr:row>6</xdr:row>
      <xdr:rowOff>179554</xdr:rowOff>
    </xdr:from>
    <xdr:to>
      <xdr:col>13</xdr:col>
      <xdr:colOff>125690</xdr:colOff>
      <xdr:row>34</xdr:row>
      <xdr:rowOff>152954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072664B-306F-9CAC-274B-8DA406B76EB5}"/>
            </a:ext>
          </a:extLst>
        </xdr:cNvPr>
        <xdr:cNvSpPr txBox="1"/>
      </xdr:nvSpPr>
      <xdr:spPr>
        <a:xfrm>
          <a:off x="11832004" y="998856"/>
          <a:ext cx="3443465" cy="5313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00" b="1"/>
            <a:t>Justificatif</a:t>
          </a:r>
          <a:r>
            <a:rPr lang="fr-FR" sz="900" b="1" baseline="0"/>
            <a:t> comptable </a:t>
          </a:r>
        </a:p>
        <a:p>
          <a:endParaRPr lang="fr-FR" sz="900" b="1"/>
        </a:p>
        <a:p>
          <a:r>
            <a:rPr lang="fr-FR" sz="900" b="1"/>
            <a:t>Relevé de transaction de la plateforme PSAN</a:t>
          </a:r>
        </a:p>
        <a:p>
          <a:r>
            <a:rPr lang="fr-FR" sz="900"/>
            <a:t>Ce relevé doit indiquer les détails de la vente :</a:t>
          </a:r>
        </a:p>
        <a:p>
          <a:pPr lvl="1"/>
          <a:r>
            <a:rPr lang="fr-FR" sz="900"/>
            <a:t>Date de la transaction.</a:t>
          </a:r>
        </a:p>
        <a:p>
          <a:pPr lvl="1"/>
          <a:r>
            <a:rPr lang="fr-FR" sz="900"/>
            <a:t>Montant en euros récupéré (2 500 € dans ce cas).</a:t>
          </a:r>
        </a:p>
        <a:p>
          <a:pPr lvl="1"/>
          <a:r>
            <a:rPr lang="fr-FR" sz="900"/>
            <a:t>Nature des cryptomonnaies vendues (Bitcoin et/ou Monero).</a:t>
          </a:r>
        </a:p>
        <a:p>
          <a:pPr lvl="1"/>
          <a:r>
            <a:rPr lang="fr-FR" sz="900"/>
            <a:t>Quantité de crypto échangée.</a:t>
          </a:r>
        </a:p>
        <a:p>
          <a:pPr lvl="1"/>
          <a:r>
            <a:rPr lang="fr-FR" sz="900"/>
            <a:t>Taux de change utilisé.</a:t>
          </a:r>
        </a:p>
        <a:p>
          <a:pPr lvl="1"/>
          <a:r>
            <a:rPr lang="fr-FR" sz="900"/>
            <a:t>Frais prélevés par la plateforme (le cas échéant).</a:t>
          </a:r>
        </a:p>
        <a:p>
          <a:r>
            <a:rPr lang="fr-FR" sz="900" b="1"/>
            <a:t>2. Facture ou justificatif émis par la plateforme PSAN</a:t>
          </a:r>
        </a:p>
        <a:p>
          <a:r>
            <a:rPr lang="fr-FR" sz="900"/>
            <a:t>Certaines plateformes fournissent une facture ou un relevé officiel pour chaque transaction. Ce document doit être récupéré et conservé.</a:t>
          </a:r>
        </a:p>
        <a:p>
          <a:r>
            <a:rPr lang="fr-FR" sz="1000" b="1" kern="1200"/>
            <a:t>3. Relevé bancaire de la SAS</a:t>
          </a:r>
        </a:p>
        <a:p>
          <a:r>
            <a:rPr lang="fr-FR" sz="1000"/>
            <a:t>4. </a:t>
          </a:r>
          <a:r>
            <a:rPr lang="fr-FR" sz="1000" b="1"/>
            <a:t>Preuve d'achat des cryptomonnaies (si demandé lors d’un contrôle)</a:t>
          </a:r>
        </a:p>
        <a:p>
          <a:endParaRPr lang="fr-FR" sz="1000" b="1" kern="1200"/>
        </a:p>
        <a:p>
          <a:r>
            <a:rPr lang="fr-FR" sz="1000"/>
            <a:t>5. </a:t>
          </a:r>
          <a:r>
            <a:rPr lang="fr-FR" sz="1000" b="1"/>
            <a:t>Ecritures comptables</a:t>
          </a:r>
        </a:p>
        <a:p>
          <a:r>
            <a:rPr lang="fr-FR" sz="1000"/>
            <a:t>La transaction devra être enregistrée dans le journal de banque de la SAS comme suit :</a:t>
          </a:r>
        </a:p>
        <a:p>
          <a:r>
            <a:rPr lang="fr-FR" sz="1000" b="1"/>
            <a:t>Débit</a:t>
          </a:r>
          <a:r>
            <a:rPr lang="fr-FR" sz="1000"/>
            <a:t> : Compte 512 (Banque) pour 2 500 €.</a:t>
          </a:r>
        </a:p>
        <a:p>
          <a:r>
            <a:rPr lang="fr-FR" sz="1000" b="1"/>
            <a:t>Crédit</a:t>
          </a:r>
          <a:r>
            <a:rPr lang="fr-FR" sz="1000"/>
            <a:t> : Compte 767 (Produits des opérations financières) ou compte 761 (Produits de cession de valeurs mobilières), selon la manière dont la comptabilité est structurée.</a:t>
          </a:r>
        </a:p>
        <a:p>
          <a:endParaRPr lang="fr-FR" sz="1000" b="1" kern="1200"/>
        </a:p>
        <a:p>
          <a:r>
            <a:rPr lang="fr-FR" sz="1000"/>
            <a:t>6. </a:t>
          </a:r>
          <a:r>
            <a:rPr lang="fr-FR" sz="1000" b="1"/>
            <a:t>Justificatifs des éventuels gains ou pertes en capital</a:t>
          </a:r>
        </a:p>
        <a:p>
          <a:r>
            <a:rPr lang="fr-FR" sz="1000"/>
            <a:t>Calcul</a:t>
          </a:r>
          <a:r>
            <a:rPr lang="fr-FR" sz="1000" baseline="0"/>
            <a:t> de la plu-value grâce à ce tableau Excel, qui doit être conservé</a:t>
          </a:r>
          <a:endParaRPr lang="fr-FR" sz="1000" b="1" kern="1200"/>
        </a:p>
      </xdr:txBody>
    </xdr:sp>
    <xdr:clientData/>
  </xdr:twoCellAnchor>
  <xdr:twoCellAnchor>
    <xdr:from>
      <xdr:col>8</xdr:col>
      <xdr:colOff>707578</xdr:colOff>
      <xdr:row>29</xdr:row>
      <xdr:rowOff>47881</xdr:rowOff>
    </xdr:from>
    <xdr:to>
      <xdr:col>15</xdr:col>
      <xdr:colOff>359108</xdr:colOff>
      <xdr:row>42</xdr:row>
      <xdr:rowOff>123693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4C674C55-86C4-B8F5-FE38-59A37BB5DF42}"/>
            </a:ext>
          </a:extLst>
        </xdr:cNvPr>
        <xdr:cNvSpPr txBox="1"/>
      </xdr:nvSpPr>
      <xdr:spPr>
        <a:xfrm>
          <a:off x="11760845" y="5095369"/>
          <a:ext cx="5386647" cy="2694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A l'attention du comptable : </a:t>
          </a:r>
        </a:p>
        <a:p>
          <a:r>
            <a:rPr lang="fr-FR" b="0"/>
            <a:t>Ce tableau</a:t>
          </a:r>
          <a:r>
            <a:rPr lang="fr-FR" b="0" baseline="0"/>
            <a:t> </a:t>
          </a:r>
        </a:p>
        <a:p>
          <a:r>
            <a:rPr lang="fr-FR" b="0" baseline="0"/>
            <a:t>+ justificatif d'achats de crypto éventuels</a:t>
          </a:r>
        </a:p>
        <a:p>
          <a:r>
            <a:rPr lang="fr-FR" b="0" baseline="0"/>
            <a:t>+ facture ou reçus de vente de produits en crypto éventuels</a:t>
          </a:r>
        </a:p>
        <a:p>
          <a:endParaRPr lang="fr-FR" b="1" baseline="0"/>
        </a:p>
        <a:p>
          <a:r>
            <a:rPr lang="fr-FR" b="1" baseline="0"/>
            <a:t>Suffisent pour une comptabilité crypto valide et fiable.</a:t>
          </a:r>
        </a:p>
        <a:p>
          <a:endParaRPr lang="fr-FR" b="1"/>
        </a:p>
        <a:p>
          <a:endParaRPr lang="fr-FR" b="1"/>
        </a:p>
        <a:p>
          <a:r>
            <a:rPr lang="fr-FR" b="1"/>
            <a:t>Les cases pertinentes dans la liasse fiscale</a:t>
          </a:r>
        </a:p>
        <a:p>
          <a:endParaRPr lang="fr-FR"/>
        </a:p>
        <a:p>
          <a:r>
            <a:rPr lang="fr-FR"/>
            <a:t>Les informations à déclarer et leurs emplacements dans la liasse fiscale dépendent du régime fiscal de la SAS (impôt sur les sociétés - IS). Voici les principales cases :</a:t>
          </a:r>
        </a:p>
        <a:p>
          <a:r>
            <a:rPr lang="fr-FR" b="1"/>
            <a:t>Chiffre d'affaires crypto</a:t>
          </a:r>
          <a:r>
            <a:rPr lang="fr-FR"/>
            <a:t> :</a:t>
          </a:r>
        </a:p>
        <a:p>
          <a:pPr lvl="1"/>
          <a:r>
            <a:rPr lang="fr-FR"/>
            <a:t>À inclure dans les </a:t>
          </a:r>
          <a:r>
            <a:rPr lang="fr-FR" b="1"/>
            <a:t>produits d'exploitation</a:t>
          </a:r>
          <a:r>
            <a:rPr lang="fr-FR"/>
            <a:t> de la SAS.</a:t>
          </a:r>
        </a:p>
        <a:p>
          <a:pPr lvl="1"/>
          <a:r>
            <a:rPr lang="fr-FR" b="1"/>
            <a:t>Case 2051 - Produits d'exploitation divers ou CA total</a:t>
          </a:r>
          <a:r>
            <a:rPr lang="fr-FR"/>
            <a:t> (selon le montant global et la ventilation).</a:t>
          </a:r>
        </a:p>
        <a:p>
          <a:r>
            <a:rPr lang="fr-FR" b="1"/>
            <a:t>Plus-values imposables</a:t>
          </a:r>
          <a:r>
            <a:rPr lang="fr-FR"/>
            <a:t> :</a:t>
          </a:r>
        </a:p>
        <a:p>
          <a:pPr lvl="1"/>
          <a:r>
            <a:rPr lang="fr-FR"/>
            <a:t>À inclure dans les </a:t>
          </a:r>
          <a:r>
            <a:rPr lang="fr-FR" b="1"/>
            <a:t>plus-values financières</a:t>
          </a:r>
          <a:r>
            <a:rPr lang="fr-FR"/>
            <a:t>.</a:t>
          </a:r>
        </a:p>
        <a:p>
          <a:pPr lvl="1"/>
          <a:r>
            <a:rPr lang="fr-FR" b="1"/>
            <a:t>Case 2058-A - Ligne "Produits financiers"</a:t>
          </a:r>
          <a:r>
            <a:rPr lang="fr-FR"/>
            <a:t> pour une SAS.</a:t>
          </a:r>
        </a:p>
        <a:p>
          <a:r>
            <a:rPr lang="fr-FR" b="1"/>
            <a:t>Valorisation du stock final crypto</a:t>
          </a:r>
          <a:r>
            <a:rPr lang="fr-FR"/>
            <a:t> :</a:t>
          </a:r>
        </a:p>
        <a:p>
          <a:pPr lvl="1"/>
          <a:r>
            <a:rPr lang="fr-FR"/>
            <a:t>La valeur estimée du stock au 31/12 doit être ajoutée au bilan :</a:t>
          </a:r>
        </a:p>
        <a:p>
          <a:pPr lvl="2"/>
          <a:r>
            <a:rPr lang="fr-FR" b="1"/>
            <a:t>Case 2053 - Actifs circulants : Stock et en-cours</a:t>
          </a:r>
          <a:r>
            <a:rPr lang="fr-FR"/>
            <a:t> (colonne correspondant aux stocks de matières premières, marchandises, etc.).</a:t>
          </a:r>
        </a:p>
        <a:p>
          <a:endParaRPr lang="fr-FR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671519</xdr:colOff>
      <xdr:row>27</xdr:row>
      <xdr:rowOff>175027</xdr:rowOff>
    </xdr:from>
    <xdr:to>
      <xdr:col>13</xdr:col>
      <xdr:colOff>23729</xdr:colOff>
      <xdr:row>42</xdr:row>
      <xdr:rowOff>158147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7C6DAB8-56F2-1214-1CA8-92CFE44D17A5}"/>
            </a:ext>
          </a:extLst>
        </xdr:cNvPr>
        <xdr:cNvSpPr txBox="1"/>
      </xdr:nvSpPr>
      <xdr:spPr>
        <a:xfrm>
          <a:off x="7151926" y="5123545"/>
          <a:ext cx="3672481" cy="2694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>
              <a:solidFill>
                <a:srgbClr val="FF0000"/>
              </a:solidFill>
            </a:rPr>
            <a:t>A VERIFIER !</a:t>
          </a:r>
        </a:p>
        <a:p>
          <a:endParaRPr lang="fr-FR" b="1">
            <a:solidFill>
              <a:srgbClr val="FF0000"/>
            </a:solidFill>
          </a:endParaRPr>
        </a:p>
        <a:p>
          <a:r>
            <a:rPr lang="fr-FR" b="1">
              <a:solidFill>
                <a:srgbClr val="FF0000"/>
              </a:solidFill>
            </a:rPr>
            <a:t>Principe FIFO </a:t>
          </a:r>
          <a:r>
            <a:rPr lang="fr-FR">
              <a:solidFill>
                <a:srgbClr val="FF0000"/>
              </a:solidFill>
            </a:rPr>
            <a:t>(le plus fidèle</a:t>
          </a:r>
          <a:r>
            <a:rPr lang="fr-FR" baseline="0">
              <a:solidFill>
                <a:srgbClr val="FF0000"/>
              </a:solidFill>
            </a:rPr>
            <a:t> comptablement, autrement c'est méthode du point pivot) :</a:t>
          </a:r>
        </a:p>
        <a:p>
          <a:endParaRPr lang="fr-FR" baseline="0">
            <a:solidFill>
              <a:srgbClr val="FF0000"/>
            </a:solidFill>
          </a:endParaRPr>
        </a:p>
        <a:p>
          <a:r>
            <a:rPr lang="fr-FR" u="sng">
              <a:solidFill>
                <a:srgbClr val="FF0000"/>
              </a:solidFill>
            </a:rPr>
            <a:t>Exemple :</a:t>
          </a:r>
        </a:p>
        <a:p>
          <a:r>
            <a:rPr lang="fr-FR">
              <a:solidFill>
                <a:srgbClr val="FF0000"/>
              </a:solidFill>
            </a:rPr>
            <a:t>Transaction 1 : Entrée de 0.5 XMR à 250€ </a:t>
          </a:r>
        </a:p>
        <a:p>
          <a:r>
            <a:rPr lang="fr-FR">
              <a:solidFill>
                <a:srgbClr val="FF0000"/>
              </a:solidFill>
            </a:rPr>
            <a:t>Transaction 2 : Entrée de 0.3 XMR à 260€ </a:t>
          </a:r>
        </a:p>
        <a:p>
          <a:r>
            <a:rPr lang="fr-FR">
              <a:solidFill>
                <a:srgbClr val="FF0000"/>
              </a:solidFill>
            </a:rPr>
            <a:t>Transaction 3 : </a:t>
          </a:r>
          <a:r>
            <a:rPr lang="fr-FR" b="1">
              <a:solidFill>
                <a:srgbClr val="FF0000"/>
              </a:solidFill>
            </a:rPr>
            <a:t>Sortie</a:t>
          </a:r>
          <a:r>
            <a:rPr lang="fr-FR">
              <a:solidFill>
                <a:srgbClr val="FF0000"/>
              </a:solidFill>
            </a:rPr>
            <a:t> de 0.6 XMR à 270€</a:t>
          </a:r>
        </a:p>
        <a:p>
          <a:endParaRPr lang="fr-FR">
            <a:solidFill>
              <a:srgbClr val="FF0000"/>
            </a:solidFill>
          </a:endParaRPr>
        </a:p>
        <a:p>
          <a:r>
            <a:rPr lang="fr-FR">
              <a:solidFill>
                <a:srgbClr val="FF0000"/>
              </a:solidFill>
            </a:rPr>
            <a:t>Pour la sortie (Transaction 3) :</a:t>
          </a:r>
        </a:p>
        <a:p>
          <a:r>
            <a:rPr lang="fr-FR">
              <a:solidFill>
                <a:srgbClr val="FF0000"/>
              </a:solidFill>
            </a:rPr>
            <a:t>- On prend d'abord les 0.5 XMR de la Transaction 1 à 250€</a:t>
          </a:r>
        </a:p>
        <a:p>
          <a:r>
            <a:rPr lang="fr-FR">
              <a:solidFill>
                <a:srgbClr val="FF0000"/>
              </a:solidFill>
            </a:rPr>
            <a:t>- Puis 0.1 XMR de la Transaction 2 à 260€</a:t>
          </a:r>
        </a:p>
        <a:p>
          <a:r>
            <a:rPr lang="fr-FR">
              <a:solidFill>
                <a:srgbClr val="FF0000"/>
              </a:solidFill>
            </a:rPr>
            <a:t>- Prix d'acquisition moyen = (0.5×250 + 0.1×260) ÷ 0.6 = 251.67€</a:t>
          </a:r>
        </a:p>
        <a:p>
          <a:r>
            <a:rPr lang="fr-FR">
              <a:solidFill>
                <a:srgbClr val="FF0000"/>
              </a:solidFill>
            </a:rPr>
            <a:t>- Plus-value = (270 - 251.67) × 0.6 = 11€</a:t>
          </a:r>
        </a:p>
        <a:p>
          <a:endParaRPr lang="fr-FR" sz="1100" kern="1200"/>
        </a:p>
      </xdr:txBody>
    </xdr:sp>
    <xdr:clientData/>
  </xdr:twoCellAnchor>
  <xdr:twoCellAnchor>
    <xdr:from>
      <xdr:col>1</xdr:col>
      <xdr:colOff>816586</xdr:colOff>
      <xdr:row>31</xdr:row>
      <xdr:rowOff>55538</xdr:rowOff>
    </xdr:from>
    <xdr:to>
      <xdr:col>6</xdr:col>
      <xdr:colOff>187577</xdr:colOff>
      <xdr:row>51</xdr:row>
      <xdr:rowOff>20201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6C02D28-E58E-7014-4121-1C1860946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720295</xdr:colOff>
      <xdr:row>30</xdr:row>
      <xdr:rowOff>118614</xdr:rowOff>
    </xdr:from>
    <xdr:to>
      <xdr:col>11</xdr:col>
      <xdr:colOff>726655</xdr:colOff>
      <xdr:row>42</xdr:row>
      <xdr:rowOff>86808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2F3C4B21-5AA3-DC3F-2497-21F7F6CE93E1}"/>
            </a:ext>
          </a:extLst>
        </xdr:cNvPr>
        <xdr:cNvSpPr txBox="1"/>
      </xdr:nvSpPr>
      <xdr:spPr>
        <a:xfrm>
          <a:off x="3715224" y="5609318"/>
          <a:ext cx="6176946" cy="2136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CUMP vs</a:t>
          </a:r>
          <a:r>
            <a:rPr lang="fr-FR" b="1" baseline="0"/>
            <a:t> FIFO :</a:t>
          </a:r>
          <a:br>
            <a:rPr lang="fr-FR"/>
          </a:br>
          <a:r>
            <a:rPr lang="fr-FR"/>
            <a:t>La principale différence avec le FIFO se trouve dans le calcul du prix moyen. </a:t>
          </a:r>
          <a:br>
            <a:rPr lang="fr-FR"/>
          </a:br>
          <a:br>
            <a:rPr lang="fr-FR"/>
          </a:br>
          <a:r>
            <a:rPr lang="fr-FR" b="1"/>
            <a:t>En CUMP :</a:t>
          </a:r>
        </a:p>
        <a:p>
          <a:r>
            <a:rPr lang="fr-FR"/>
            <a:t>Pour une entrée : on calcule la moyenne pondérée ((ancien stock × ancien prix) + (nouvelle quantité × nouveau prix)) / (ancien stock + nouvelle quantité)</a:t>
          </a:r>
        </a:p>
        <a:p>
          <a:r>
            <a:rPr lang="fr-FR"/>
            <a:t>Pour une sortie : on garde le même prix moyen</a:t>
          </a:r>
          <a:br>
            <a:rPr lang="fr-FR"/>
          </a:br>
          <a:endParaRPr lang="fr-FR"/>
        </a:p>
        <a:p>
          <a:r>
            <a:rPr lang="fr-FR"/>
            <a:t>Cette méthode CUMP est effectivement plus appropriée pour la comptabilité crypto car :</a:t>
          </a:r>
        </a:p>
        <a:p>
          <a:r>
            <a:rPr lang="fr-FR"/>
            <a:t>-</a:t>
          </a:r>
          <a:r>
            <a:rPr lang="fr-FR" baseline="0"/>
            <a:t> </a:t>
          </a:r>
          <a:r>
            <a:rPr lang="fr-FR"/>
            <a:t>Elle reflète mieux la valeur moyenne réelle de votre portefeuille</a:t>
          </a:r>
        </a:p>
        <a:p>
          <a:r>
            <a:rPr lang="fr-FR"/>
            <a:t>- </a:t>
          </a:r>
          <a:r>
            <a:rPr lang="fr-FR" b="1"/>
            <a:t>Elle est plus simple à maintenir et à auditer</a:t>
          </a:r>
        </a:p>
        <a:p>
          <a:r>
            <a:rPr lang="fr-FR"/>
            <a:t>- Elle évite les problèmes de traçabilité des lots spécifiques du FIFO</a:t>
          </a:r>
        </a:p>
        <a:p>
          <a:endParaRPr lang="fr-FR" sz="1100"/>
        </a:p>
      </xdr:txBody>
    </xdr:sp>
    <xdr:clientData/>
  </xdr:twoCellAnchor>
  <xdr:twoCellAnchor>
    <xdr:from>
      <xdr:col>2</xdr:col>
      <xdr:colOff>292608</xdr:colOff>
      <xdr:row>40</xdr:row>
      <xdr:rowOff>171748</xdr:rowOff>
    </xdr:from>
    <xdr:to>
      <xdr:col>8</xdr:col>
      <xdr:colOff>915990</xdr:colOff>
      <xdr:row>50</xdr:row>
      <xdr:rowOff>19083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FCECC3A9-2DFA-2224-820B-41BEC9C3C718}"/>
            </a:ext>
          </a:extLst>
        </xdr:cNvPr>
        <xdr:cNvSpPr txBox="1"/>
      </xdr:nvSpPr>
      <xdr:spPr>
        <a:xfrm>
          <a:off x="1354902" y="5540469"/>
          <a:ext cx="5088835" cy="1692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FIFO : </a:t>
          </a:r>
          <a:r>
            <a:rPr lang="fr-FR" sz="1100"/>
            <a:t>beaucoup plus complexe, avec des "lots"</a:t>
          </a:r>
          <a:r>
            <a:rPr lang="fr-FR" sz="1100" baseline="0"/>
            <a:t> séparés à gérer</a:t>
          </a:r>
        </a:p>
        <a:p>
          <a:r>
            <a:rPr lang="fr-FR"/>
            <a:t># Colonnes nécessaires pour FIFO</a:t>
          </a:r>
        </a:p>
        <a:p>
          <a:r>
            <a:rPr lang="fr-FR"/>
            <a:t>- Date </a:t>
          </a:r>
        </a:p>
        <a:p>
          <a:r>
            <a:rPr lang="fr-FR"/>
            <a:t>- Type (Entrée/Sortie) </a:t>
          </a:r>
        </a:p>
        <a:p>
          <a:r>
            <a:rPr lang="fr-FR"/>
            <a:t>- Quantité -</a:t>
          </a:r>
        </a:p>
        <a:p>
          <a:r>
            <a:rPr lang="fr-FR"/>
            <a:t> Prix unitaire </a:t>
          </a:r>
        </a:p>
        <a:p>
          <a:r>
            <a:rPr lang="fr-FR"/>
            <a:t>- Lots disponibles (plusieurs colonnes ou une feuille séparée) </a:t>
          </a:r>
        </a:p>
        <a:p>
          <a:r>
            <a:rPr lang="fr-FR"/>
            <a:t>	Lot1_Quantité | Lot1_Prix Lot2_Quantité | Lot2_Prix etc.</a:t>
          </a:r>
        </a:p>
        <a:p>
          <a:r>
            <a:rPr lang="fr-FR" sz="1100"/>
            <a:t>....</a:t>
          </a:r>
        </a:p>
      </xdr:txBody>
    </xdr:sp>
    <xdr:clientData/>
  </xdr:twoCellAnchor>
  <xdr:twoCellAnchor>
    <xdr:from>
      <xdr:col>8</xdr:col>
      <xdr:colOff>572229</xdr:colOff>
      <xdr:row>39</xdr:row>
      <xdr:rowOff>114233</xdr:rowOff>
    </xdr:from>
    <xdr:to>
      <xdr:col>14</xdr:col>
      <xdr:colOff>248081</xdr:colOff>
      <xdr:row>54</xdr:row>
      <xdr:rowOff>171749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79D591F-45D4-4808-8458-F4FD7A4D4BA9}"/>
            </a:ext>
          </a:extLst>
        </xdr:cNvPr>
        <xdr:cNvSpPr txBox="1"/>
      </xdr:nvSpPr>
      <xdr:spPr>
        <a:xfrm>
          <a:off x="6099976" y="5298483"/>
          <a:ext cx="4834658" cy="2824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SARL</a:t>
          </a:r>
          <a:r>
            <a:rPr lang="fr-FR" b="1" baseline="0"/>
            <a:t> et SAS : même calculs </a:t>
          </a:r>
          <a:r>
            <a:rPr lang="fr-FR" b="1"/>
            <a:t>pour ces deux structures car soumises à l'IS</a:t>
          </a:r>
          <a:br>
            <a:rPr lang="fr-FR"/>
          </a:br>
          <a:br>
            <a:rPr lang="fr-FR"/>
          </a:br>
          <a:r>
            <a:rPr lang="fr-FR"/>
            <a:t>- À la clôture : les plus-values latentes ne sont pas imposées mais les moins-values latentes doivent être provisionnées </a:t>
          </a:r>
        </a:p>
        <a:p>
          <a:r>
            <a:rPr lang="fr-FR"/>
            <a:t>- Les plus-values réalisées sont imposées au taux de l'IS : </a:t>
          </a:r>
        </a:p>
        <a:p>
          <a:r>
            <a:rPr lang="fr-FR"/>
            <a:t>	15% jusqu'à 42 500€ de bénéfices (si CA &lt; 10M€)</a:t>
          </a:r>
        </a:p>
        <a:p>
          <a:r>
            <a:rPr lang="fr-FR"/>
            <a:t>	25% au-delà</a:t>
          </a:r>
        </a:p>
        <a:p>
          <a:endParaRPr lang="fr-FR" sz="1100"/>
        </a:p>
        <a:p>
          <a:r>
            <a:rPr lang="fr-FR" b="1"/>
            <a:t>Auto-entreprise :</a:t>
          </a:r>
          <a:endParaRPr lang="fr-FR"/>
        </a:p>
        <a:p>
          <a:r>
            <a:rPr lang="fr-FR"/>
            <a:t>- Les crypto-actifs sont considérés comme des immobilisations si leur détention est durable (&gt; 1 an)</a:t>
          </a:r>
        </a:p>
        <a:p>
          <a:r>
            <a:rPr lang="fr-FR"/>
            <a:t>- La plus-value se calcule à la revente : "Prix de vente - Prix d'achat (CUMP)"</a:t>
          </a:r>
        </a:p>
        <a:p>
          <a:endParaRPr lang="fr-FR"/>
        </a:p>
        <a:p>
          <a:r>
            <a:rPr lang="fr-FR"/>
            <a:t>- Imposition : régime micro-BIC si CA &lt; 176,2k€ (2024) avec abattement de 71%</a:t>
          </a:r>
        </a:p>
        <a:p>
          <a:r>
            <a:rPr lang="fr-FR"/>
            <a:t>-TVA : franchise en base si CA &lt; 36,8k€</a:t>
          </a:r>
        </a:p>
        <a:p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4F89F2-8AD8-42BB-8E23-3092FC3F17DD}" name="parametres_csv3" displayName="parametres_csv3" ref="B5:E15" headerRowCount="0" totalsRowShown="0">
  <tableColumns count="4">
    <tableColumn id="1" xr3:uid="{920940A5-63BC-4509-BF19-F1A3694B6C9B}" name="Column1" dataDxfId="39"/>
    <tableColumn id="2" xr3:uid="{E5FB2E4F-63FF-4082-B57E-18A6D14939FC}" name="Column2" dataDxfId="38"/>
    <tableColumn id="3" xr3:uid="{9C7810AE-530A-4929-92DB-7B5BD6D5F2D1}" name="Column3" dataDxfId="37"/>
    <tableColumn id="4" xr3:uid="{41BFDFC4-FCFE-49AA-A478-4498D2DF4D8E}" name="Colonne1" dataDxfId="36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E551D-FFE7-4080-BF49-D1EF62C59719}" name="parametres_csv32" displayName="parametres_csv32" ref="A1:D11" headerRowCount="0" totalsRowShown="0" tableBorderDxfId="35">
  <tableColumns count="4">
    <tableColumn id="1" xr3:uid="{87130CAB-4814-42CB-8F9F-7196AE76EED9}" name="Column1" dataDxfId="34"/>
    <tableColumn id="2" xr3:uid="{B7339772-BE4F-4A0F-A11E-6185BC8E9B6C}" name="Column2" dataDxfId="33"/>
    <tableColumn id="3" xr3:uid="{C910386D-C5EC-42D7-87E2-8C17A21D257A}" name="Column3" dataDxfId="32"/>
    <tableColumn id="4" xr3:uid="{2B01DEEB-51B4-4740-8BCC-0403BE042959}" name="Colonne1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pots.gouv.fr/sites/default/files/formulaires/2058-sd/2025/2058-sd_4923.pdf" TargetMode="External"/><Relationship Id="rId2" Type="http://schemas.openxmlformats.org/officeDocument/2006/relationships/hyperlink" Target="https://bank-exit.org/licence" TargetMode="External"/><Relationship Id="rId1" Type="http://schemas.openxmlformats.org/officeDocument/2006/relationships/hyperlink" Target="https://bank-exit.org/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33"/>
  <sheetViews>
    <sheetView showGridLines="0" topLeftCell="A11" zoomScaleNormal="100" workbookViewId="0">
      <selection activeCell="U30" sqref="U30"/>
    </sheetView>
  </sheetViews>
  <sheetFormatPr baseColWidth="10" defaultColWidth="8.796875" defaultRowHeight="14.4" x14ac:dyDescent="0.3"/>
  <cols>
    <col min="1" max="1" width="5.09765625" customWidth="1"/>
    <col min="2" max="2" width="17.3984375" customWidth="1"/>
    <col min="3" max="3" width="13.69921875" customWidth="1"/>
    <col min="4" max="4" width="26.69921875" customWidth="1"/>
    <col min="5" max="5" width="24.19921875" customWidth="1"/>
    <col min="12" max="12" width="4.09765625" customWidth="1"/>
    <col min="13" max="13" width="4.5" customWidth="1"/>
  </cols>
  <sheetData>
    <row r="2" spans="2:19" ht="21.35" customHeight="1" x14ac:dyDescent="0.45">
      <c r="B2" s="71" t="s">
        <v>241</v>
      </c>
      <c r="E2" s="72"/>
      <c r="F2" t="s">
        <v>308</v>
      </c>
      <c r="H2" s="69"/>
      <c r="M2" s="111"/>
    </row>
    <row r="3" spans="2:19" ht="14.4" customHeight="1" thickBot="1" x14ac:dyDescent="0.4">
      <c r="B3" s="73" t="s">
        <v>309</v>
      </c>
      <c r="C3" s="27"/>
      <c r="D3" s="27"/>
      <c r="E3" s="27"/>
      <c r="F3" s="173" t="s">
        <v>307</v>
      </c>
      <c r="G3" s="27"/>
      <c r="H3" s="173"/>
      <c r="I3" s="27"/>
      <c r="J3" s="27"/>
      <c r="K3" s="174" t="s">
        <v>301</v>
      </c>
      <c r="L3" s="27"/>
      <c r="M3" s="112" t="s">
        <v>270</v>
      </c>
      <c r="N3" s="27"/>
      <c r="O3" s="27"/>
      <c r="P3" s="27"/>
    </row>
    <row r="5" spans="2:19" ht="24.8" customHeight="1" thickBot="1" x14ac:dyDescent="0.35">
      <c r="B5" s="77" t="s">
        <v>237</v>
      </c>
      <c r="C5" s="78" t="s">
        <v>239</v>
      </c>
      <c r="D5" s="78" t="s">
        <v>238</v>
      </c>
      <c r="E5" s="77"/>
      <c r="O5" t="s">
        <v>302</v>
      </c>
      <c r="S5" s="175" t="s">
        <v>329</v>
      </c>
    </row>
    <row r="6" spans="2:19" ht="15.55" thickTop="1" thickBot="1" x14ac:dyDescent="0.35">
      <c r="B6" s="84" t="s">
        <v>3</v>
      </c>
      <c r="C6" s="85" t="s">
        <v>4</v>
      </c>
      <c r="D6" s="86" t="s">
        <v>322</v>
      </c>
      <c r="E6" s="87" t="s">
        <v>320</v>
      </c>
    </row>
    <row r="7" spans="2:19" ht="15.55" thickTop="1" thickBot="1" x14ac:dyDescent="0.35">
      <c r="B7" s="81" t="s">
        <v>6</v>
      </c>
      <c r="C7" s="80" t="s">
        <v>7</v>
      </c>
      <c r="D7" s="82" t="s">
        <v>7</v>
      </c>
      <c r="E7" s="79"/>
      <c r="O7" t="s">
        <v>303</v>
      </c>
    </row>
    <row r="8" spans="2:19" ht="15.55" thickTop="1" thickBot="1" x14ac:dyDescent="0.35">
      <c r="B8" s="84" t="s">
        <v>8</v>
      </c>
      <c r="C8" s="85" t="s">
        <v>295</v>
      </c>
      <c r="D8" s="86" t="s">
        <v>276</v>
      </c>
      <c r="E8" s="172" t="s">
        <v>310</v>
      </c>
      <c r="O8" t="s">
        <v>304</v>
      </c>
    </row>
    <row r="9" spans="2:19" ht="15.55" thickTop="1" thickBot="1" x14ac:dyDescent="0.35">
      <c r="B9" s="81" t="s">
        <v>11</v>
      </c>
      <c r="C9" s="80">
        <v>2024</v>
      </c>
      <c r="D9" s="83" t="s">
        <v>66</v>
      </c>
      <c r="E9" s="79"/>
      <c r="O9" t="s">
        <v>305</v>
      </c>
    </row>
    <row r="10" spans="2:19" ht="15.55" thickTop="1" thickBot="1" x14ac:dyDescent="0.35">
      <c r="B10" s="84" t="s">
        <v>13</v>
      </c>
      <c r="C10" s="85" t="s">
        <v>14</v>
      </c>
      <c r="D10" s="86" t="s">
        <v>325</v>
      </c>
      <c r="E10" s="87" t="s">
        <v>242</v>
      </c>
    </row>
    <row r="11" spans="2:19" ht="15.55" thickTop="1" thickBot="1" x14ac:dyDescent="0.35">
      <c r="B11" s="81" t="s">
        <v>113</v>
      </c>
      <c r="C11" s="170">
        <v>170</v>
      </c>
      <c r="D11" s="82" t="s">
        <v>225</v>
      </c>
      <c r="E11" s="176" t="s">
        <v>300</v>
      </c>
      <c r="G11" s="98"/>
      <c r="O11" t="s">
        <v>306</v>
      </c>
    </row>
    <row r="12" spans="2:19" ht="15.55" thickTop="1" thickBot="1" x14ac:dyDescent="0.35">
      <c r="B12" s="84" t="s">
        <v>114</v>
      </c>
      <c r="C12" s="171">
        <v>89000</v>
      </c>
      <c r="D12" s="86" t="s">
        <v>226</v>
      </c>
      <c r="E12" s="176" t="s">
        <v>300</v>
      </c>
      <c r="H12" s="11" t="s">
        <v>208</v>
      </c>
      <c r="O12" s="177" t="s">
        <v>335</v>
      </c>
    </row>
    <row r="13" spans="2:19" ht="15.55" thickTop="1" thickBot="1" x14ac:dyDescent="0.35">
      <c r="B13" s="81" t="s">
        <v>165</v>
      </c>
      <c r="C13" s="80">
        <v>5</v>
      </c>
      <c r="D13" s="82" t="s">
        <v>200</v>
      </c>
      <c r="E13" s="79"/>
      <c r="H13" s="64" t="s">
        <v>222</v>
      </c>
    </row>
    <row r="14" spans="2:19" ht="15.55" thickTop="1" thickBot="1" x14ac:dyDescent="0.35">
      <c r="B14" s="84" t="s">
        <v>115</v>
      </c>
      <c r="C14" s="85">
        <v>0</v>
      </c>
      <c r="D14" s="86" t="s">
        <v>201</v>
      </c>
      <c r="E14" s="87"/>
      <c r="O14" t="s">
        <v>311</v>
      </c>
    </row>
    <row r="15" spans="2:19" ht="15.55" thickTop="1" thickBot="1" x14ac:dyDescent="0.35">
      <c r="B15" s="81" t="s">
        <v>116</v>
      </c>
      <c r="C15" s="80">
        <v>85800</v>
      </c>
      <c r="D15" s="82" t="s">
        <v>117</v>
      </c>
      <c r="E15" s="79"/>
      <c r="O15" s="56" t="s">
        <v>327</v>
      </c>
    </row>
    <row r="16" spans="2:19" ht="15" thickTop="1" x14ac:dyDescent="0.3">
      <c r="O16" s="51" t="s">
        <v>330</v>
      </c>
    </row>
    <row r="17" spans="2:23" x14ac:dyDescent="0.3">
      <c r="O17" s="51" t="s">
        <v>331</v>
      </c>
    </row>
    <row r="18" spans="2:23" x14ac:dyDescent="0.3">
      <c r="B18" s="89" t="s">
        <v>257</v>
      </c>
      <c r="C18" s="21"/>
      <c r="D18" s="5"/>
      <c r="F18" s="191" t="s">
        <v>262</v>
      </c>
      <c r="G18" s="192"/>
      <c r="H18" s="192"/>
      <c r="I18" s="192"/>
      <c r="O18" s="56" t="s">
        <v>332</v>
      </c>
    </row>
    <row r="19" spans="2:23" ht="68.55" customHeight="1" x14ac:dyDescent="0.3">
      <c r="B19" s="188" t="s">
        <v>260</v>
      </c>
      <c r="C19" s="188"/>
      <c r="O19" s="189" t="s">
        <v>334</v>
      </c>
      <c r="P19" s="189"/>
      <c r="Q19" s="189"/>
      <c r="R19" s="189"/>
      <c r="S19" s="189"/>
      <c r="T19" s="189"/>
      <c r="U19" s="189"/>
      <c r="V19" s="189"/>
    </row>
    <row r="20" spans="2:23" ht="11.55" customHeight="1" x14ac:dyDescent="0.3">
      <c r="B20" s="93"/>
      <c r="C20" s="93"/>
      <c r="O20" s="190" t="s">
        <v>333</v>
      </c>
      <c r="P20" s="190"/>
      <c r="Q20" s="190"/>
      <c r="R20" s="190"/>
      <c r="S20" s="190"/>
      <c r="T20" s="190"/>
      <c r="U20" s="190"/>
    </row>
    <row r="21" spans="2:23" ht="55.9" customHeight="1" x14ac:dyDescent="0.3">
      <c r="B21" s="188" t="s">
        <v>261</v>
      </c>
      <c r="C21" s="188"/>
      <c r="O21" s="194" t="s">
        <v>328</v>
      </c>
      <c r="P21" s="194"/>
      <c r="Q21" s="194"/>
      <c r="R21" s="194"/>
      <c r="S21" s="194"/>
      <c r="T21" s="194"/>
    </row>
    <row r="22" spans="2:23" ht="9.4" customHeight="1" x14ac:dyDescent="0.3">
      <c r="H22" s="2"/>
    </row>
    <row r="23" spans="2:23" ht="14.4" customHeight="1" x14ac:dyDescent="0.3">
      <c r="B23" s="193" t="s">
        <v>326</v>
      </c>
      <c r="C23" s="193"/>
      <c r="O23" s="181" t="s">
        <v>321</v>
      </c>
    </row>
    <row r="24" spans="2:23" x14ac:dyDescent="0.3">
      <c r="B24" s="193"/>
      <c r="C24" s="193"/>
      <c r="O24" s="187" t="s">
        <v>324</v>
      </c>
      <c r="P24" s="187"/>
      <c r="Q24" s="187"/>
      <c r="R24" s="187"/>
      <c r="S24" s="187"/>
      <c r="T24" s="187"/>
      <c r="U24" s="187"/>
      <c r="V24" s="187"/>
      <c r="W24" s="187"/>
    </row>
    <row r="25" spans="2:23" x14ac:dyDescent="0.3">
      <c r="B25" s="193"/>
      <c r="C25" s="193"/>
      <c r="O25" s="187"/>
      <c r="P25" s="187"/>
      <c r="Q25" s="187"/>
      <c r="R25" s="187"/>
      <c r="S25" s="187"/>
      <c r="T25" s="187"/>
      <c r="U25" s="187"/>
      <c r="V25" s="187"/>
      <c r="W25" s="187"/>
    </row>
    <row r="26" spans="2:23" ht="15.55" customHeight="1" x14ac:dyDescent="0.3">
      <c r="O26" s="187" t="s">
        <v>323</v>
      </c>
      <c r="P26" s="187"/>
      <c r="Q26" s="187"/>
      <c r="R26" s="187"/>
      <c r="S26" s="187"/>
      <c r="T26" s="187"/>
      <c r="U26" s="187"/>
      <c r="V26" s="187"/>
      <c r="W26" s="187"/>
    </row>
    <row r="27" spans="2:23" ht="15.55" customHeight="1" x14ac:dyDescent="0.3">
      <c r="B27" s="99" t="s">
        <v>259</v>
      </c>
      <c r="C27" s="91"/>
      <c r="D27" s="92"/>
      <c r="E27" s="92"/>
      <c r="O27" s="187"/>
      <c r="P27" s="187"/>
      <c r="Q27" s="187"/>
      <c r="R27" s="187"/>
      <c r="S27" s="187"/>
      <c r="T27" s="187"/>
      <c r="U27" s="187"/>
      <c r="V27" s="187"/>
      <c r="W27" s="187"/>
    </row>
    <row r="28" spans="2:23" x14ac:dyDescent="0.3">
      <c r="B28" s="90" t="s">
        <v>237</v>
      </c>
      <c r="C28" s="131" t="s">
        <v>258</v>
      </c>
      <c r="D28" s="131" t="s">
        <v>263</v>
      </c>
      <c r="E28" s="133" t="s">
        <v>274</v>
      </c>
    </row>
    <row r="29" spans="2:23" x14ac:dyDescent="0.3">
      <c r="O29" s="2" t="s">
        <v>174</v>
      </c>
    </row>
    <row r="30" spans="2:23" ht="14.4" customHeight="1" thickBot="1" x14ac:dyDescent="0.35">
      <c r="O30" t="s">
        <v>175</v>
      </c>
    </row>
    <row r="31" spans="2:23" ht="31.7" customHeight="1" thickTop="1" x14ac:dyDescent="0.3">
      <c r="O31" s="94" t="s">
        <v>176</v>
      </c>
      <c r="P31" s="95"/>
    </row>
    <row r="32" spans="2:23" ht="15" thickBot="1" x14ac:dyDescent="0.35">
      <c r="O32" s="96" t="str">
        <f>IF(AND('02_Bitrequest_import'!AB6:AE14)=TRUE,"OK","Erreur")</f>
        <v>OK</v>
      </c>
      <c r="P32" s="97"/>
    </row>
    <row r="33" ht="15" thickTop="1" x14ac:dyDescent="0.3"/>
  </sheetData>
  <mergeCells count="9">
    <mergeCell ref="F18:I18"/>
    <mergeCell ref="B23:C25"/>
    <mergeCell ref="O21:T21"/>
    <mergeCell ref="O24:W25"/>
    <mergeCell ref="O26:W27"/>
    <mergeCell ref="B19:C19"/>
    <mergeCell ref="B21:C21"/>
    <mergeCell ref="O19:V19"/>
    <mergeCell ref="O20:U20"/>
  </mergeCells>
  <conditionalFormatting sqref="E25 O32">
    <cfRule type="cellIs" dxfId="31" priority="1" operator="equal">
      <formula>"Erreur"</formula>
    </cfRule>
    <cfRule type="cellIs" dxfId="30" priority="2" operator="equal">
      <formula>"OK"</formula>
    </cfRule>
  </conditionalFormatting>
  <hyperlinks>
    <hyperlink ref="C28" location="'02_Bitrequest_import'!A1" display="Bitrequest import" xr:uid="{2F56F84B-DDCC-451E-9EEB-895162B5B243}"/>
    <hyperlink ref="D28" location="'03_Tout_autre_wallet_import'!A1" display="Tout autre wallet import" xr:uid="{78D83251-492B-46BC-B91A-2EB261C2786A}"/>
    <hyperlink ref="E28" location="'04_Resultats_Comptables'!A1" display="Résultats comptables" xr:uid="{97B97A9B-208C-4662-9625-D225C3C5349E}"/>
    <hyperlink ref="K3" r:id="rId1" xr:uid="{307B2E09-20B1-4549-A3FC-62609BBC770E}"/>
    <hyperlink ref="O12" r:id="rId2" xr:uid="{A6E6C1CA-6C73-44A0-9B0F-325C90C054B5}"/>
    <hyperlink ref="O20" r:id="rId3" display="https://www.impots.gouv.fr/sites/default/files/formulaires/2058-sd/2025/2058-sd_4923.pdf" xr:uid="{319945B0-9E7F-4617-BE42-599F21203255}"/>
  </hyperlinks>
  <pageMargins left="0.7" right="0.7" top="0.75" bottom="0.75" header="0.3" footer="0.3"/>
  <ignoredErrors>
    <ignoredError sqref="C10 M3" numberStoredAsText="1"/>
  </ignoredErrors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BFA0-532D-4AD0-BA05-606A9AE955B6}">
  <dimension ref="A1:L23"/>
  <sheetViews>
    <sheetView zoomScaleNormal="100" workbookViewId="0">
      <selection activeCell="E31" sqref="E31"/>
    </sheetView>
  </sheetViews>
  <sheetFormatPr baseColWidth="10" defaultColWidth="8.796875" defaultRowHeight="14.4" x14ac:dyDescent="0.3"/>
  <cols>
    <col min="1" max="1" width="17.3984375" customWidth="1"/>
  </cols>
  <sheetData>
    <row r="1" spans="1:12" x14ac:dyDescent="0.3">
      <c r="A1" s="36" t="s">
        <v>0</v>
      </c>
      <c r="B1" s="36" t="s">
        <v>1</v>
      </c>
      <c r="C1" s="37" t="s">
        <v>2</v>
      </c>
      <c r="D1" s="38"/>
    </row>
    <row r="2" spans="1:12" x14ac:dyDescent="0.3">
      <c r="A2" t="s">
        <v>3</v>
      </c>
      <c r="B2" s="39" t="s">
        <v>4</v>
      </c>
      <c r="C2" s="40" t="s">
        <v>5</v>
      </c>
    </row>
    <row r="3" spans="1:12" x14ac:dyDescent="0.3">
      <c r="A3" t="s">
        <v>6</v>
      </c>
      <c r="B3" s="39" t="s">
        <v>7</v>
      </c>
      <c r="C3" s="40" t="s">
        <v>7</v>
      </c>
    </row>
    <row r="4" spans="1:12" x14ac:dyDescent="0.3">
      <c r="A4" t="s">
        <v>8</v>
      </c>
      <c r="B4" s="39" t="s">
        <v>9</v>
      </c>
      <c r="C4" s="40" t="s">
        <v>10</v>
      </c>
      <c r="D4" t="s">
        <v>15</v>
      </c>
    </row>
    <row r="5" spans="1:12" x14ac:dyDescent="0.3">
      <c r="A5" t="s">
        <v>11</v>
      </c>
      <c r="B5" s="39">
        <v>2024</v>
      </c>
      <c r="C5" s="41" t="s">
        <v>66</v>
      </c>
    </row>
    <row r="6" spans="1:12" x14ac:dyDescent="0.3">
      <c r="A6" t="s">
        <v>13</v>
      </c>
      <c r="B6" s="39" t="s">
        <v>14</v>
      </c>
      <c r="C6" s="40" t="s">
        <v>12</v>
      </c>
      <c r="D6" t="s">
        <v>16</v>
      </c>
      <c r="L6" s="3"/>
    </row>
    <row r="7" spans="1:12" x14ac:dyDescent="0.3">
      <c r="A7" t="s">
        <v>113</v>
      </c>
      <c r="B7" s="11">
        <v>190</v>
      </c>
      <c r="C7" s="40" t="s">
        <v>225</v>
      </c>
      <c r="D7" s="11" t="s">
        <v>231</v>
      </c>
      <c r="F7" s="11" t="s">
        <v>207</v>
      </c>
    </row>
    <row r="8" spans="1:12" x14ac:dyDescent="0.3">
      <c r="A8" t="s">
        <v>114</v>
      </c>
      <c r="B8" s="11"/>
      <c r="C8" s="40" t="s">
        <v>226</v>
      </c>
      <c r="G8" s="11" t="s">
        <v>208</v>
      </c>
    </row>
    <row r="9" spans="1:12" x14ac:dyDescent="0.3">
      <c r="A9" t="s">
        <v>165</v>
      </c>
      <c r="B9" s="42">
        <v>5</v>
      </c>
      <c r="C9" s="40" t="s">
        <v>200</v>
      </c>
      <c r="G9" s="64" t="s">
        <v>222</v>
      </c>
    </row>
    <row r="10" spans="1:12" x14ac:dyDescent="0.3">
      <c r="A10" t="s">
        <v>115</v>
      </c>
      <c r="B10" s="42">
        <v>0</v>
      </c>
      <c r="C10" s="40" t="s">
        <v>201</v>
      </c>
    </row>
    <row r="11" spans="1:12" x14ac:dyDescent="0.3">
      <c r="A11" t="s">
        <v>116</v>
      </c>
      <c r="B11">
        <v>85800</v>
      </c>
      <c r="C11" s="40" t="s">
        <v>117</v>
      </c>
    </row>
    <row r="14" spans="1:12" x14ac:dyDescent="0.3">
      <c r="B14" s="21"/>
      <c r="C14" s="5"/>
    </row>
    <row r="15" spans="1:12" x14ac:dyDescent="0.3">
      <c r="B15" s="2" t="s">
        <v>174</v>
      </c>
    </row>
    <row r="16" spans="1:12" x14ac:dyDescent="0.3">
      <c r="B16" t="s">
        <v>175</v>
      </c>
    </row>
    <row r="17" spans="1:3" ht="15" thickBot="1" x14ac:dyDescent="0.35"/>
    <row r="18" spans="1:3" x14ac:dyDescent="0.3">
      <c r="B18" s="34" t="s">
        <v>176</v>
      </c>
      <c r="C18" s="35"/>
    </row>
    <row r="19" spans="1:3" ht="15" thickBot="1" x14ac:dyDescent="0.35">
      <c r="B19" s="26" t="str">
        <f>IF(AND('02_Bitrequest_import'!AB6:AE14)=TRUE,"OK","Erreur")</f>
        <v>OK</v>
      </c>
      <c r="C19" s="28"/>
    </row>
    <row r="20" spans="1:3" x14ac:dyDescent="0.3">
      <c r="B20" s="6"/>
    </row>
    <row r="23" spans="1:3" x14ac:dyDescent="0.3">
      <c r="A23" s="62" t="s">
        <v>232</v>
      </c>
    </row>
  </sheetData>
  <conditionalFormatting sqref="B19">
    <cfRule type="cellIs" dxfId="29" priority="1" operator="equal">
      <formula>"Erreur"</formula>
    </cfRule>
    <cfRule type="cellIs" dxfId="28" priority="2" operator="equal">
      <formula>"OK"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7E5E-FCB7-448D-AC8D-BA47A8917B46}">
  <dimension ref="A1:AE32"/>
  <sheetViews>
    <sheetView showGridLines="0" topLeftCell="O1" zoomScale="130" zoomScaleNormal="130" workbookViewId="0">
      <selection activeCell="Z6" sqref="Z6"/>
    </sheetView>
  </sheetViews>
  <sheetFormatPr baseColWidth="10" defaultRowHeight="14.4" x14ac:dyDescent="0.3"/>
  <cols>
    <col min="1" max="1" width="4.19921875" customWidth="1"/>
    <col min="2" max="2" width="14.5" customWidth="1"/>
    <col min="3" max="3" width="17.796875" customWidth="1"/>
    <col min="8" max="8" width="15.8984375" customWidth="1"/>
    <col min="12" max="12" width="15.19921875" customWidth="1"/>
    <col min="15" max="15" width="5.296875" customWidth="1"/>
    <col min="16" max="16" width="15.19921875" bestFit="1" customWidth="1"/>
    <col min="26" max="26" width="9.19921875" customWidth="1"/>
  </cols>
  <sheetData>
    <row r="1" spans="1:31" ht="5.8" customHeight="1" x14ac:dyDescent="0.3">
      <c r="N1" s="111"/>
    </row>
    <row r="2" spans="1:31" ht="17.3" x14ac:dyDescent="0.3">
      <c r="B2" s="70" t="s">
        <v>275</v>
      </c>
      <c r="N2" s="111"/>
    </row>
    <row r="3" spans="1:31" ht="18.45" thickBot="1" x14ac:dyDescent="0.4">
      <c r="B3" s="120" t="s">
        <v>273</v>
      </c>
      <c r="C3" s="27"/>
      <c r="D3" s="27"/>
      <c r="E3" s="27"/>
      <c r="F3" s="27"/>
      <c r="G3" s="27"/>
      <c r="H3" s="74"/>
      <c r="I3" s="27"/>
      <c r="J3" s="27"/>
      <c r="K3" s="27"/>
      <c r="L3" s="27"/>
      <c r="M3" s="27"/>
      <c r="N3" s="112" t="s">
        <v>271</v>
      </c>
    </row>
    <row r="5" spans="1:31" s="2" customFormat="1" ht="17.850000000000001" customHeight="1" x14ac:dyDescent="0.3">
      <c r="A5" s="116"/>
      <c r="B5" s="114" t="s">
        <v>17</v>
      </c>
      <c r="C5" s="115" t="s">
        <v>18</v>
      </c>
      <c r="D5" s="115" t="s">
        <v>19</v>
      </c>
      <c r="E5" s="115" t="s">
        <v>20</v>
      </c>
      <c r="F5" s="115" t="s">
        <v>21</v>
      </c>
      <c r="G5" s="115" t="s">
        <v>22</v>
      </c>
      <c r="H5" s="115" t="s">
        <v>23</v>
      </c>
      <c r="I5" s="114" t="s">
        <v>24</v>
      </c>
      <c r="J5" s="114" t="s">
        <v>25</v>
      </c>
      <c r="K5" s="115" t="s">
        <v>26</v>
      </c>
      <c r="L5" s="115" t="s">
        <v>27</v>
      </c>
      <c r="M5" s="115" t="s">
        <v>28</v>
      </c>
      <c r="N5" s="118" t="s">
        <v>29</v>
      </c>
      <c r="O5"/>
      <c r="P5" s="2" t="s">
        <v>85</v>
      </c>
      <c r="Q5" s="2" t="s">
        <v>84</v>
      </c>
      <c r="R5" s="2" t="s">
        <v>53</v>
      </c>
      <c r="S5" s="2" t="s">
        <v>82</v>
      </c>
      <c r="T5" s="2" t="s">
        <v>54</v>
      </c>
      <c r="U5" s="29" t="s">
        <v>55</v>
      </c>
      <c r="V5" s="2" t="s">
        <v>56</v>
      </c>
      <c r="W5" s="2" t="s">
        <v>57</v>
      </c>
      <c r="X5" s="2" t="s">
        <v>58</v>
      </c>
      <c r="Y5" s="54" t="s">
        <v>59</v>
      </c>
      <c r="Z5" s="56" t="s">
        <v>86</v>
      </c>
      <c r="AB5" s="100" t="s">
        <v>88</v>
      </c>
      <c r="AC5" s="101" t="s">
        <v>89</v>
      </c>
      <c r="AD5" s="101" t="s">
        <v>184</v>
      </c>
      <c r="AE5" s="101" t="s">
        <v>179</v>
      </c>
    </row>
    <row r="6" spans="1:31" x14ac:dyDescent="0.3">
      <c r="A6" s="119">
        <v>1</v>
      </c>
      <c r="B6" s="75" t="s">
        <v>30</v>
      </c>
      <c r="C6" s="76" t="s">
        <v>31</v>
      </c>
      <c r="D6" s="76" t="s">
        <v>32</v>
      </c>
      <c r="E6" s="104" t="s">
        <v>33</v>
      </c>
      <c r="F6" s="76" t="s">
        <v>12</v>
      </c>
      <c r="G6" s="76" t="s">
        <v>34</v>
      </c>
      <c r="H6" s="107">
        <v>45292.385416666664</v>
      </c>
      <c r="I6" s="75" t="s">
        <v>44</v>
      </c>
      <c r="J6" s="108" t="s">
        <v>35</v>
      </c>
      <c r="K6" s="76" t="s">
        <v>189</v>
      </c>
      <c r="L6" s="110">
        <v>45292.385416666664</v>
      </c>
      <c r="M6" s="104" t="s">
        <v>36</v>
      </c>
      <c r="N6" s="119" t="s">
        <v>37</v>
      </c>
      <c r="P6" s="31">
        <f t="shared" ref="P6:P14" si="0">DATE( YEAR(H6), MONTH(H6),DAY(H6))</f>
        <v>45292</v>
      </c>
      <c r="Q6" s="10">
        <f>_xlfn.NUMBERVALUE(SUBSTITUTE(SUBSTITUTE(I6," xmr",""),".",","))</f>
        <v>0.25</v>
      </c>
      <c r="R6" t="str">
        <f>IF(G6="incoming","Entrée",IF(G6="outgoing","Sortie","ERREUR"))</f>
        <v>Entrée</v>
      </c>
      <c r="S6" s="9">
        <f>T6/Q6</f>
        <v>154</v>
      </c>
      <c r="T6" s="10">
        <f>_xlfn.NUMBERVALUE(SUBSTITUTE(SUBSTITUTE(K6," EUR",""),".",","))</f>
        <v>38.5</v>
      </c>
      <c r="U6" s="30" t="str">
        <f>CONCATENATE(YEAR(P6),"-",ROW(P6)-5)</f>
        <v>2024-1</v>
      </c>
      <c r="V6" s="11">
        <f>IF(R6="Entrée",Q6,0)</f>
        <v>0.25</v>
      </c>
      <c r="W6" s="50">
        <f>IF(R6="Sortie",VLOOKUP(P6,CUMP_Calculs!B:G,6,TRUE), S6)</f>
        <v>154</v>
      </c>
      <c r="X6" s="10">
        <f>IF(R6="Sortie",Q6*W6,IF(R6="Entrée",0,"ERREUR"))</f>
        <v>0</v>
      </c>
      <c r="Y6" s="55">
        <f t="shared" ref="Y6:Y9" si="1">IF(R6="Sortie",T6-X6,IF(R6="Entrée",0,"ERREUR"))</f>
        <v>0</v>
      </c>
      <c r="Z6" s="51" t="s">
        <v>87</v>
      </c>
      <c r="AB6" s="102" t="b">
        <f>AND(ISNUMBER(Q6),Q6&gt;0)</f>
        <v>1</v>
      </c>
      <c r="AC6" s="5" t="b">
        <f>AND(ISNUMBER(S6),S6&gt;0)</f>
        <v>1</v>
      </c>
      <c r="AD6" s="5" t="b">
        <f>IF(AND(P6&gt;P5,ROW()&gt;5),TRUE,IF(ROW()=6,TRUE,FALSE))</f>
        <v>1</v>
      </c>
      <c r="AE6" s="5" t="b">
        <f t="shared" ref="AE6:AE14" si="2">IF(X6="ERREUR",FALSE,TRUE)</f>
        <v>1</v>
      </c>
    </row>
    <row r="7" spans="1:31" x14ac:dyDescent="0.3">
      <c r="A7" s="119">
        <f>IF(B7&lt;&gt;"",A6+1,"")</f>
        <v>2</v>
      </c>
      <c r="B7" s="75" t="s">
        <v>38</v>
      </c>
      <c r="C7" s="76" t="s">
        <v>39</v>
      </c>
      <c r="D7" s="76" t="s">
        <v>32</v>
      </c>
      <c r="E7" s="104" t="s">
        <v>33</v>
      </c>
      <c r="F7" s="76" t="s">
        <v>12</v>
      </c>
      <c r="G7" s="76" t="s">
        <v>34</v>
      </c>
      <c r="H7" s="107">
        <v>45306.604166666664</v>
      </c>
      <c r="I7" s="75" t="s">
        <v>40</v>
      </c>
      <c r="J7" s="108" t="s">
        <v>40</v>
      </c>
      <c r="K7" s="76" t="s">
        <v>190</v>
      </c>
      <c r="L7" s="110">
        <v>45306.604166666664</v>
      </c>
      <c r="M7" s="104" t="s">
        <v>36</v>
      </c>
      <c r="N7" s="119" t="s">
        <v>41</v>
      </c>
      <c r="P7" s="31">
        <f t="shared" si="0"/>
        <v>45306</v>
      </c>
      <c r="Q7" s="10">
        <f t="shared" ref="Q7:Q14" si="3">_xlfn.NUMBERVALUE(SUBSTITUTE(SUBSTITUTE(I7," xmr",""),".",","))</f>
        <v>0.15</v>
      </c>
      <c r="R7" t="str">
        <f t="shared" ref="R7:R14" si="4">IF(G7="incoming","Entrée",IF(G7="outgoing","Sortie","ERREUR"))</f>
        <v>Entrée</v>
      </c>
      <c r="S7" s="9">
        <f t="shared" ref="S7:S14" si="5">T7/Q7</f>
        <v>148.33333333333334</v>
      </c>
      <c r="T7" s="10">
        <f t="shared" ref="T7:T14" si="6">_xlfn.NUMBERVALUE(SUBSTITUTE(SUBSTITUTE(K7," EUR",""),".",","))</f>
        <v>22.25</v>
      </c>
      <c r="U7" s="30" t="str">
        <f t="shared" ref="U7:U14" si="7">CONCATENATE(YEAR(P7),"-",ROW(P7)-5)</f>
        <v>2024-2</v>
      </c>
      <c r="V7">
        <f>IF(R7="Entrée",V6+Q7,V6-Q7)</f>
        <v>0.4</v>
      </c>
      <c r="W7" s="50">
        <f>IF(R7="Sortie",VLOOKUP(P7,CUMP_Calculs!B:G,6,TRUE), S7)</f>
        <v>148.33333333333334</v>
      </c>
      <c r="X7" s="10">
        <f t="shared" ref="X7:X14" si="8">IF(R7="Sortie",Q7*W7,IF(R7="Entrée",0,"ERREUR"))</f>
        <v>0</v>
      </c>
      <c r="Y7" s="55">
        <f t="shared" si="1"/>
        <v>0</v>
      </c>
      <c r="Z7" s="51"/>
      <c r="AB7" s="102" t="b">
        <f t="shared" ref="AB7:AB14" si="9">AND(ISNUMBER(Q7),Q7&gt;0)</f>
        <v>1</v>
      </c>
      <c r="AC7" s="5" t="b">
        <f t="shared" ref="AC7:AC14" si="10">AND(ISNUMBER(S7),S7&gt;0)</f>
        <v>1</v>
      </c>
      <c r="AD7" s="5" t="b">
        <f t="shared" ref="AD7:AD14" si="11">IF(AND(P7&gt;P6,ROW()&gt;5),TRUE,IF(ROW()=6,TRUE,FALSE))</f>
        <v>1</v>
      </c>
      <c r="AE7" s="5" t="b">
        <f t="shared" si="2"/>
        <v>1</v>
      </c>
    </row>
    <row r="8" spans="1:31" x14ac:dyDescent="0.3">
      <c r="A8" s="119">
        <f t="shared" ref="A8:A16" si="12">IF(B8&lt;&gt;"",A7+1,"")</f>
        <v>3</v>
      </c>
      <c r="B8" s="75" t="s">
        <v>42</v>
      </c>
      <c r="C8" s="76" t="s">
        <v>43</v>
      </c>
      <c r="D8" s="76" t="s">
        <v>32</v>
      </c>
      <c r="E8" s="104" t="s">
        <v>33</v>
      </c>
      <c r="F8" s="76" t="s">
        <v>12</v>
      </c>
      <c r="G8" s="76" t="s">
        <v>49</v>
      </c>
      <c r="H8" s="107">
        <v>45323.416666666664</v>
      </c>
      <c r="I8" s="75" t="s">
        <v>44</v>
      </c>
      <c r="J8" s="108" t="s">
        <v>44</v>
      </c>
      <c r="K8" s="76" t="s">
        <v>45</v>
      </c>
      <c r="L8" s="110">
        <v>45323.416666666664</v>
      </c>
      <c r="M8" s="104" t="s">
        <v>36</v>
      </c>
      <c r="N8" s="119" t="s">
        <v>46</v>
      </c>
      <c r="P8" s="31">
        <f t="shared" si="0"/>
        <v>45323</v>
      </c>
      <c r="Q8" s="10">
        <f t="shared" si="3"/>
        <v>0.25</v>
      </c>
      <c r="R8" t="str">
        <f t="shared" si="4"/>
        <v>Sortie</v>
      </c>
      <c r="S8" s="9">
        <f t="shared" si="5"/>
        <v>260</v>
      </c>
      <c r="T8" s="10">
        <f t="shared" si="6"/>
        <v>65</v>
      </c>
      <c r="U8" s="30" t="str">
        <f t="shared" si="7"/>
        <v>2024-3</v>
      </c>
      <c r="V8">
        <f t="shared" ref="V8:V14" si="13">IF(R8="Entrée",V7+Q8,V7-Q8)</f>
        <v>0.15000000000000002</v>
      </c>
      <c r="W8" s="50">
        <f>IF(R8="Sortie",VLOOKUP(P8,CUMP_Calculs!B:G,6,TRUE), S8)</f>
        <v>151.875</v>
      </c>
      <c r="X8" s="10">
        <f>IF(R8="Sortie",Q8*W8,IF(R8="Entrée",0,"ERREUR"))</f>
        <v>37.96875</v>
      </c>
      <c r="Y8" s="55">
        <f t="shared" si="1"/>
        <v>27.03125</v>
      </c>
      <c r="Z8" s="51"/>
      <c r="AB8" s="102" t="b">
        <f t="shared" si="9"/>
        <v>1</v>
      </c>
      <c r="AC8" s="5" t="b">
        <f t="shared" si="10"/>
        <v>1</v>
      </c>
      <c r="AD8" s="5" t="b">
        <f t="shared" si="11"/>
        <v>1</v>
      </c>
      <c r="AE8" s="5" t="b">
        <f t="shared" si="2"/>
        <v>1</v>
      </c>
    </row>
    <row r="9" spans="1:31" x14ac:dyDescent="0.3">
      <c r="A9" s="119">
        <f t="shared" si="12"/>
        <v>4</v>
      </c>
      <c r="B9" s="75" t="s">
        <v>47</v>
      </c>
      <c r="C9" s="76" t="s">
        <v>48</v>
      </c>
      <c r="D9" s="76" t="s">
        <v>32</v>
      </c>
      <c r="E9" s="104" t="s">
        <v>33</v>
      </c>
      <c r="F9" s="76" t="s">
        <v>12</v>
      </c>
      <c r="G9" s="76" t="s">
        <v>34</v>
      </c>
      <c r="H9" s="107">
        <v>45337.697916666664</v>
      </c>
      <c r="I9" s="75" t="s">
        <v>50</v>
      </c>
      <c r="J9" s="108" t="s">
        <v>50</v>
      </c>
      <c r="K9" s="76" t="s">
        <v>51</v>
      </c>
      <c r="L9" s="110">
        <v>45337.697916666664</v>
      </c>
      <c r="M9" s="104" t="s">
        <v>36</v>
      </c>
      <c r="N9" s="119" t="s">
        <v>52</v>
      </c>
      <c r="P9" s="31">
        <f t="shared" si="0"/>
        <v>45337</v>
      </c>
      <c r="Q9" s="10">
        <f t="shared" si="3"/>
        <v>0.3</v>
      </c>
      <c r="R9" t="str">
        <f t="shared" si="4"/>
        <v>Entrée</v>
      </c>
      <c r="S9" s="9">
        <f t="shared" si="5"/>
        <v>270</v>
      </c>
      <c r="T9" s="10">
        <f t="shared" si="6"/>
        <v>81</v>
      </c>
      <c r="U9" s="30" t="str">
        <f t="shared" si="7"/>
        <v>2024-4</v>
      </c>
      <c r="V9">
        <f t="shared" si="13"/>
        <v>0.45</v>
      </c>
      <c r="W9" s="50">
        <f>IF(R9="Sortie",VLOOKUP(P9,CUMP_Calculs!B:G,6,TRUE), S9)</f>
        <v>270</v>
      </c>
      <c r="X9" s="10">
        <f t="shared" si="8"/>
        <v>0</v>
      </c>
      <c r="Y9" s="55">
        <f t="shared" si="1"/>
        <v>0</v>
      </c>
      <c r="Z9" s="51"/>
      <c r="AB9" s="102" t="b">
        <f t="shared" si="9"/>
        <v>1</v>
      </c>
      <c r="AC9" s="5" t="b">
        <f t="shared" si="10"/>
        <v>1</v>
      </c>
      <c r="AD9" s="5" t="b">
        <f t="shared" si="11"/>
        <v>1</v>
      </c>
      <c r="AE9" s="5" t="b">
        <f t="shared" si="2"/>
        <v>1</v>
      </c>
    </row>
    <row r="10" spans="1:31" x14ac:dyDescent="0.3">
      <c r="A10" s="119">
        <f t="shared" si="12"/>
        <v>5</v>
      </c>
      <c r="B10" s="75" t="s">
        <v>266</v>
      </c>
      <c r="C10" s="76" t="s">
        <v>67</v>
      </c>
      <c r="D10" s="106" t="s">
        <v>32</v>
      </c>
      <c r="E10" s="105" t="s">
        <v>68</v>
      </c>
      <c r="F10" s="76"/>
      <c r="G10" s="106" t="s">
        <v>49</v>
      </c>
      <c r="H10" s="107">
        <v>45358.032638888886</v>
      </c>
      <c r="I10" s="75" t="s">
        <v>69</v>
      </c>
      <c r="J10" s="108" t="s">
        <v>70</v>
      </c>
      <c r="K10" s="76" t="s">
        <v>186</v>
      </c>
      <c r="L10" s="110">
        <v>45358.032638888886</v>
      </c>
      <c r="M10" s="104" t="s">
        <v>71</v>
      </c>
      <c r="N10" s="119" t="s">
        <v>166</v>
      </c>
      <c r="P10" s="31">
        <f t="shared" si="0"/>
        <v>45358</v>
      </c>
      <c r="Q10" s="10">
        <f t="shared" si="3"/>
        <v>0.08</v>
      </c>
      <c r="R10" t="str">
        <f t="shared" si="4"/>
        <v>Sortie</v>
      </c>
      <c r="S10" s="9">
        <f t="shared" si="5"/>
        <v>170</v>
      </c>
      <c r="T10" s="10">
        <f t="shared" si="6"/>
        <v>13.6</v>
      </c>
      <c r="U10" s="30" t="str">
        <f t="shared" si="7"/>
        <v>2024-5</v>
      </c>
      <c r="V10">
        <f t="shared" si="13"/>
        <v>0.37</v>
      </c>
      <c r="W10" s="50">
        <f>IF(R10="Sortie",VLOOKUP(P10,CUMP_Calculs!B:G,6,TRUE), S10)</f>
        <v>230.625</v>
      </c>
      <c r="X10" s="10">
        <f t="shared" si="8"/>
        <v>18.45</v>
      </c>
      <c r="Y10" s="55">
        <f>IF(R10="Sortie",T10-X10,IF(R10="Entrée",0,"ERREUR"))</f>
        <v>-4.8499999999999996</v>
      </c>
      <c r="Z10" s="51" t="s">
        <v>180</v>
      </c>
      <c r="AB10" s="102" t="b">
        <f t="shared" si="9"/>
        <v>1</v>
      </c>
      <c r="AC10" s="5" t="b">
        <f t="shared" si="10"/>
        <v>1</v>
      </c>
      <c r="AD10" s="5" t="b">
        <f t="shared" si="11"/>
        <v>1</v>
      </c>
      <c r="AE10" s="5" t="b">
        <f t="shared" si="2"/>
        <v>1</v>
      </c>
    </row>
    <row r="11" spans="1:31" x14ac:dyDescent="0.3">
      <c r="A11" s="119">
        <f t="shared" si="12"/>
        <v>6</v>
      </c>
      <c r="B11" s="75" t="s">
        <v>72</v>
      </c>
      <c r="C11" s="76" t="s">
        <v>73</v>
      </c>
      <c r="D11" s="76" t="s">
        <v>32</v>
      </c>
      <c r="E11" s="104" t="s">
        <v>74</v>
      </c>
      <c r="F11" s="76"/>
      <c r="G11" s="76" t="s">
        <v>49</v>
      </c>
      <c r="H11" s="107">
        <v>45383.836805555555</v>
      </c>
      <c r="I11" s="75" t="s">
        <v>75</v>
      </c>
      <c r="J11" s="108" t="s">
        <v>75</v>
      </c>
      <c r="K11" s="76" t="s">
        <v>187</v>
      </c>
      <c r="L11" s="110">
        <v>45383.836805555555</v>
      </c>
      <c r="M11" s="104" t="s">
        <v>71</v>
      </c>
      <c r="N11" s="119" t="s">
        <v>167</v>
      </c>
      <c r="P11" s="31">
        <f t="shared" si="0"/>
        <v>45383</v>
      </c>
      <c r="Q11" s="10">
        <f t="shared" si="3"/>
        <v>0.01</v>
      </c>
      <c r="R11" t="str">
        <f t="shared" si="4"/>
        <v>Sortie</v>
      </c>
      <c r="S11" s="9">
        <f t="shared" si="5"/>
        <v>150</v>
      </c>
      <c r="T11" s="10">
        <f t="shared" si="6"/>
        <v>1.5</v>
      </c>
      <c r="U11" s="30" t="str">
        <f t="shared" si="7"/>
        <v>2024-6</v>
      </c>
      <c r="V11">
        <f t="shared" si="13"/>
        <v>0.36</v>
      </c>
      <c r="W11" s="50">
        <f>IF(R11="Sortie",VLOOKUP(P11,CUMP_Calculs!B:G,6,TRUE), S11)</f>
        <v>230.625</v>
      </c>
      <c r="X11" s="10">
        <f t="shared" si="8"/>
        <v>2.3062499999999999</v>
      </c>
      <c r="Y11" s="55">
        <f t="shared" ref="Y11:Y14" si="14">IF(R11="Sortie",T11-X11,IF(R11="Entrée",0,"ERREUR"))</f>
        <v>-0.80624999999999991</v>
      </c>
      <c r="Z11" s="51"/>
      <c r="AB11" s="102" t="b">
        <f t="shared" si="9"/>
        <v>1</v>
      </c>
      <c r="AC11" s="5" t="b">
        <f t="shared" si="10"/>
        <v>1</v>
      </c>
      <c r="AD11" s="5" t="b">
        <f t="shared" si="11"/>
        <v>1</v>
      </c>
      <c r="AE11" s="5" t="b">
        <f t="shared" si="2"/>
        <v>1</v>
      </c>
    </row>
    <row r="12" spans="1:31" x14ac:dyDescent="0.3">
      <c r="A12" s="119">
        <f t="shared" si="12"/>
        <v>7</v>
      </c>
      <c r="B12" s="75" t="s">
        <v>76</v>
      </c>
      <c r="C12" s="76" t="s">
        <v>77</v>
      </c>
      <c r="D12" s="76" t="s">
        <v>32</v>
      </c>
      <c r="E12" s="104" t="s">
        <v>74</v>
      </c>
      <c r="F12" s="76"/>
      <c r="G12" s="76" t="s">
        <v>34</v>
      </c>
      <c r="H12" s="107">
        <v>45432.427083333336</v>
      </c>
      <c r="I12" s="75" t="s">
        <v>78</v>
      </c>
      <c r="J12" s="108" t="s">
        <v>78</v>
      </c>
      <c r="K12" s="76" t="s">
        <v>188</v>
      </c>
      <c r="L12" s="110">
        <v>45432.427083333336</v>
      </c>
      <c r="M12" s="104" t="s">
        <v>71</v>
      </c>
      <c r="N12" s="119" t="s">
        <v>168</v>
      </c>
      <c r="P12" s="31">
        <f t="shared" si="0"/>
        <v>45432</v>
      </c>
      <c r="Q12" s="10">
        <f t="shared" si="3"/>
        <v>0.02</v>
      </c>
      <c r="R12" t="str">
        <f t="shared" si="4"/>
        <v>Entrée</v>
      </c>
      <c r="S12" s="9">
        <f t="shared" si="5"/>
        <v>20</v>
      </c>
      <c r="T12" s="10">
        <f t="shared" si="6"/>
        <v>0.4</v>
      </c>
      <c r="U12" s="30" t="str">
        <f t="shared" si="7"/>
        <v>2024-7</v>
      </c>
      <c r="V12">
        <f t="shared" si="13"/>
        <v>0.38</v>
      </c>
      <c r="W12" s="50">
        <f>IF(R12="Sortie",VLOOKUP(P12,CUMP_Calculs!B:G,6,TRUE), S12)</f>
        <v>20</v>
      </c>
      <c r="X12" s="10">
        <f t="shared" si="8"/>
        <v>0</v>
      </c>
      <c r="Y12" s="55">
        <f t="shared" si="14"/>
        <v>0</v>
      </c>
      <c r="Z12" s="51"/>
      <c r="AB12" s="102" t="b">
        <f t="shared" si="9"/>
        <v>1</v>
      </c>
      <c r="AC12" s="5" t="b">
        <f t="shared" si="10"/>
        <v>1</v>
      </c>
      <c r="AD12" s="5" t="b">
        <f t="shared" si="11"/>
        <v>1</v>
      </c>
      <c r="AE12" s="5" t="b">
        <f t="shared" si="2"/>
        <v>1</v>
      </c>
    </row>
    <row r="13" spans="1:31" x14ac:dyDescent="0.3">
      <c r="A13" s="119">
        <f t="shared" si="12"/>
        <v>8</v>
      </c>
      <c r="B13" s="75" t="s">
        <v>267</v>
      </c>
      <c r="C13" s="76" t="s">
        <v>79</v>
      </c>
      <c r="D13" s="76" t="s">
        <v>32</v>
      </c>
      <c r="E13" s="104" t="s">
        <v>74</v>
      </c>
      <c r="F13" s="76"/>
      <c r="G13" s="76" t="s">
        <v>49</v>
      </c>
      <c r="H13" s="107">
        <v>45560.930555555555</v>
      </c>
      <c r="I13" s="75" t="s">
        <v>40</v>
      </c>
      <c r="J13" s="108" t="s">
        <v>40</v>
      </c>
      <c r="K13" s="76" t="s">
        <v>195</v>
      </c>
      <c r="L13" s="110">
        <v>45560.930555555555</v>
      </c>
      <c r="M13" s="104" t="s">
        <v>71</v>
      </c>
      <c r="N13" s="119" t="s">
        <v>169</v>
      </c>
      <c r="P13" s="31">
        <f t="shared" si="0"/>
        <v>45560</v>
      </c>
      <c r="Q13" s="10">
        <f t="shared" si="3"/>
        <v>0.15</v>
      </c>
      <c r="R13" t="str">
        <f t="shared" si="4"/>
        <v>Sortie</v>
      </c>
      <c r="S13" s="9">
        <f t="shared" si="5"/>
        <v>333.33333333333337</v>
      </c>
      <c r="T13" s="10">
        <f t="shared" si="6"/>
        <v>50</v>
      </c>
      <c r="U13" s="30" t="str">
        <f t="shared" si="7"/>
        <v>2024-8</v>
      </c>
      <c r="V13">
        <f t="shared" si="13"/>
        <v>0.23</v>
      </c>
      <c r="W13" s="50">
        <f>IF(R13="Sortie",VLOOKUP(P13,CUMP_Calculs!B:G,6,TRUE), S13)</f>
        <v>219.53947368421052</v>
      </c>
      <c r="X13" s="10">
        <f t="shared" si="8"/>
        <v>32.930921052631575</v>
      </c>
      <c r="Y13" s="55">
        <f t="shared" si="14"/>
        <v>17.069078947368425</v>
      </c>
      <c r="Z13" s="51"/>
      <c r="AB13" s="102" t="b">
        <f t="shared" si="9"/>
        <v>1</v>
      </c>
      <c r="AC13" s="5" t="b">
        <f t="shared" si="10"/>
        <v>1</v>
      </c>
      <c r="AD13" s="5" t="b">
        <f t="shared" si="11"/>
        <v>1</v>
      </c>
      <c r="AE13" s="5" t="b">
        <f t="shared" si="2"/>
        <v>1</v>
      </c>
    </row>
    <row r="14" spans="1:31" x14ac:dyDescent="0.3">
      <c r="A14" s="119">
        <f t="shared" si="12"/>
        <v>9</v>
      </c>
      <c r="B14" s="75" t="s">
        <v>76</v>
      </c>
      <c r="C14" s="76" t="s">
        <v>80</v>
      </c>
      <c r="D14" s="76" t="s">
        <v>32</v>
      </c>
      <c r="E14" s="104" t="s">
        <v>74</v>
      </c>
      <c r="F14" s="76"/>
      <c r="G14" s="76" t="s">
        <v>49</v>
      </c>
      <c r="H14" s="107">
        <v>45561.384027777778</v>
      </c>
      <c r="I14" s="75" t="s">
        <v>191</v>
      </c>
      <c r="J14" s="108" t="s">
        <v>81</v>
      </c>
      <c r="K14" s="109" t="s">
        <v>192</v>
      </c>
      <c r="L14" s="110">
        <v>45561.384027777778</v>
      </c>
      <c r="M14" s="104" t="s">
        <v>71</v>
      </c>
      <c r="N14" s="119" t="s">
        <v>170</v>
      </c>
      <c r="P14" s="31">
        <f t="shared" si="0"/>
        <v>45561</v>
      </c>
      <c r="Q14" s="10">
        <f t="shared" si="3"/>
        <v>0.06</v>
      </c>
      <c r="R14" t="str">
        <f t="shared" si="4"/>
        <v>Sortie</v>
      </c>
      <c r="S14" s="9">
        <f t="shared" si="5"/>
        <v>343.33333333333337</v>
      </c>
      <c r="T14" s="10">
        <f t="shared" si="6"/>
        <v>20.6</v>
      </c>
      <c r="U14" s="30" t="str">
        <f t="shared" si="7"/>
        <v>2024-9</v>
      </c>
      <c r="V14">
        <f t="shared" si="13"/>
        <v>0.17</v>
      </c>
      <c r="W14" s="50">
        <f>IF(R14="Sortie",VLOOKUP(P14,CUMP_Calculs!B:G,6,TRUE), S14)</f>
        <v>219.53947368421052</v>
      </c>
      <c r="X14" s="10">
        <f t="shared" si="8"/>
        <v>13.172368421052632</v>
      </c>
      <c r="Y14" s="55">
        <f t="shared" si="14"/>
        <v>7.4276315789473699</v>
      </c>
      <c r="Z14" s="51"/>
      <c r="AB14" s="102" t="b">
        <f t="shared" si="9"/>
        <v>1</v>
      </c>
      <c r="AC14" s="5" t="b">
        <f t="shared" si="10"/>
        <v>1</v>
      </c>
      <c r="AD14" s="5" t="b">
        <f t="shared" si="11"/>
        <v>1</v>
      </c>
      <c r="AE14" s="5" t="b">
        <f t="shared" si="2"/>
        <v>1</v>
      </c>
    </row>
    <row r="15" spans="1:31" x14ac:dyDescent="0.3">
      <c r="A15" s="182" t="str">
        <f t="shared" si="12"/>
        <v/>
      </c>
      <c r="B15" s="75"/>
      <c r="C15" s="76"/>
      <c r="D15" s="76"/>
      <c r="E15" s="104"/>
      <c r="F15" s="76"/>
      <c r="G15" s="76"/>
      <c r="H15" s="1"/>
      <c r="I15" s="75"/>
      <c r="J15" s="108"/>
      <c r="K15" s="109"/>
      <c r="L15" s="110"/>
      <c r="M15" s="104"/>
      <c r="N15" s="119"/>
      <c r="P15" s="31"/>
      <c r="Q15" s="10"/>
      <c r="S15" s="9"/>
      <c r="T15" s="10"/>
      <c r="U15" s="30"/>
      <c r="W15" s="50"/>
      <c r="X15" s="10"/>
      <c r="Y15" s="55"/>
      <c r="Z15" s="51"/>
      <c r="AB15" s="5"/>
      <c r="AC15" s="5"/>
      <c r="AD15" s="5"/>
      <c r="AE15" s="5"/>
    </row>
    <row r="16" spans="1:31" x14ac:dyDescent="0.3">
      <c r="A16" s="182" t="str">
        <f t="shared" si="12"/>
        <v/>
      </c>
      <c r="B16" s="75"/>
      <c r="C16" s="76"/>
      <c r="E16" s="57"/>
      <c r="H16" s="1"/>
      <c r="J16" s="108"/>
      <c r="K16" s="109"/>
      <c r="L16" s="110"/>
      <c r="M16" s="57"/>
      <c r="N16" s="119"/>
      <c r="P16" s="31"/>
      <c r="Q16" s="10"/>
      <c r="T16" s="10"/>
      <c r="U16" s="30"/>
      <c r="W16" s="50"/>
      <c r="X16" s="10"/>
      <c r="Y16" s="55"/>
      <c r="Z16" s="51"/>
    </row>
    <row r="17" spans="1:25" ht="19.600000000000001" customHeight="1" x14ac:dyDescent="0.3">
      <c r="A17" s="117"/>
      <c r="B17" s="195" t="s">
        <v>268</v>
      </c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6"/>
      <c r="T17" s="4" t="s">
        <v>185</v>
      </c>
      <c r="Y17" s="53" t="s">
        <v>181</v>
      </c>
    </row>
    <row r="18" spans="1:25" x14ac:dyDescent="0.3">
      <c r="B18" s="183" t="s">
        <v>336</v>
      </c>
      <c r="C18" s="184">
        <f>COUNTA(B6:B16)</f>
        <v>9</v>
      </c>
      <c r="G18" s="163" t="s">
        <v>264</v>
      </c>
      <c r="I18" s="103" t="s">
        <v>272</v>
      </c>
      <c r="K18" s="121" t="s">
        <v>265</v>
      </c>
      <c r="P18" s="4" t="s">
        <v>83</v>
      </c>
      <c r="Q18" s="4" t="s">
        <v>90</v>
      </c>
      <c r="R18" s="2"/>
      <c r="S18" s="43" t="s">
        <v>177</v>
      </c>
      <c r="V18" s="6"/>
      <c r="W18" s="49" t="s">
        <v>171</v>
      </c>
      <c r="Y18" s="52" t="s">
        <v>196</v>
      </c>
    </row>
    <row r="19" spans="1:25" x14ac:dyDescent="0.3">
      <c r="K19" s="60"/>
      <c r="W19" s="44" t="s">
        <v>178</v>
      </c>
      <c r="X19" s="45" t="s">
        <v>178</v>
      </c>
    </row>
    <row r="20" spans="1:25" x14ac:dyDescent="0.3">
      <c r="B20" s="51" t="s">
        <v>193</v>
      </c>
      <c r="H20" s="51" t="s">
        <v>269</v>
      </c>
      <c r="K20" s="60"/>
      <c r="P20" s="1"/>
    </row>
    <row r="21" spans="1:25" x14ac:dyDescent="0.3">
      <c r="H21" s="51"/>
      <c r="I21" s="57"/>
      <c r="K21" s="60"/>
      <c r="P21" s="67" t="s">
        <v>209</v>
      </c>
      <c r="Q21" s="67" t="s">
        <v>210</v>
      </c>
      <c r="R21" s="67" t="s">
        <v>211</v>
      </c>
      <c r="S21" s="46" t="s">
        <v>212</v>
      </c>
      <c r="T21" s="67" t="s">
        <v>213</v>
      </c>
      <c r="U21" s="46" t="s">
        <v>214</v>
      </c>
      <c r="V21" s="46" t="s">
        <v>215</v>
      </c>
      <c r="W21" s="46" t="s">
        <v>216</v>
      </c>
    </row>
    <row r="22" spans="1:25" ht="15" thickBot="1" x14ac:dyDescent="0.35">
      <c r="H22" s="57"/>
      <c r="I22" s="57"/>
      <c r="K22" s="60"/>
      <c r="P22" t="s">
        <v>217</v>
      </c>
    </row>
    <row r="23" spans="1:25" x14ac:dyDescent="0.3">
      <c r="H23" s="57"/>
      <c r="I23" s="57"/>
      <c r="K23" s="60"/>
      <c r="P23" s="25" t="s">
        <v>22</v>
      </c>
      <c r="Q23" s="25" t="s">
        <v>23</v>
      </c>
      <c r="R23" s="25" t="s">
        <v>24</v>
      </c>
      <c r="S23" s="25" t="s">
        <v>26</v>
      </c>
    </row>
    <row r="24" spans="1:25" x14ac:dyDescent="0.3">
      <c r="B24" s="113" t="s">
        <v>259</v>
      </c>
      <c r="C24" s="91"/>
      <c r="D24" s="92"/>
      <c r="E24" s="92"/>
      <c r="H24" s="57"/>
      <c r="I24" s="57"/>
      <c r="P24" s="7"/>
    </row>
    <row r="25" spans="1:25" ht="16.7" customHeight="1" x14ac:dyDescent="0.3">
      <c r="B25" s="131" t="s">
        <v>237</v>
      </c>
      <c r="C25" s="90" t="s">
        <v>258</v>
      </c>
      <c r="D25" s="197" t="s">
        <v>263</v>
      </c>
      <c r="E25" s="198"/>
      <c r="F25" s="199" t="s">
        <v>274</v>
      </c>
      <c r="G25" s="199"/>
      <c r="H25" s="57"/>
      <c r="I25" s="57"/>
    </row>
    <row r="26" spans="1:25" x14ac:dyDescent="0.3">
      <c r="H26" s="57"/>
      <c r="I26" s="57"/>
      <c r="Q26" s="2"/>
    </row>
    <row r="27" spans="1:25" ht="19.05" customHeight="1" x14ac:dyDescent="0.3">
      <c r="H27" s="57"/>
      <c r="I27" s="57"/>
      <c r="R27" s="6"/>
    </row>
    <row r="28" spans="1:25" x14ac:dyDescent="0.3">
      <c r="H28" s="57"/>
      <c r="I28" s="57"/>
      <c r="Q28" s="33"/>
      <c r="R28" s="32"/>
    </row>
    <row r="31" spans="1:25" x14ac:dyDescent="0.3">
      <c r="V31" s="2" t="s">
        <v>172</v>
      </c>
    </row>
    <row r="32" spans="1:25" x14ac:dyDescent="0.3">
      <c r="V32" s="11" t="s">
        <v>173</v>
      </c>
    </row>
  </sheetData>
  <sheetProtection selectLockedCells="1"/>
  <mergeCells count="3">
    <mergeCell ref="B17:N17"/>
    <mergeCell ref="D25:E25"/>
    <mergeCell ref="F25:G25"/>
  </mergeCells>
  <phoneticPr fontId="17" type="noConversion"/>
  <conditionalFormatting sqref="G5:G16 G18:G24 G29:G1048576">
    <cfRule type="cellIs" dxfId="27" priority="14" operator="equal">
      <formula>"outgoing"</formula>
    </cfRule>
    <cfRule type="cellIs" dxfId="26" priority="15" operator="equal">
      <formula>"incoming"</formula>
    </cfRule>
  </conditionalFormatting>
  <conditionalFormatting sqref="P23">
    <cfRule type="cellIs" dxfId="25" priority="4" operator="equal">
      <formula>"outgoing"</formula>
    </cfRule>
    <cfRule type="cellIs" dxfId="24" priority="5" operator="equal">
      <formula>"incoming"</formula>
    </cfRule>
  </conditionalFormatting>
  <conditionalFormatting sqref="R5:R22 S21:W21 R24:R27 R29:R1048576">
    <cfRule type="cellIs" dxfId="23" priority="11" operator="equal">
      <formula>"ERREUR"</formula>
    </cfRule>
    <cfRule type="containsText" dxfId="22" priority="12" operator="containsText" text="Entrée">
      <formula>NOT(ISERROR(SEARCH("Entrée",R5)))</formula>
    </cfRule>
    <cfRule type="cellIs" dxfId="21" priority="13" operator="equal">
      <formula>"Sortie"</formula>
    </cfRule>
  </conditionalFormatting>
  <conditionalFormatting sqref="S6:S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ellIs" dxfId="20" priority="1" operator="equal">
      <formula>"ERREUR"</formula>
    </cfRule>
    <cfRule type="containsText" dxfId="19" priority="2" operator="containsText" text="Entrée">
      <formula>NOT(ISERROR(SEARCH("Entrée",S16)))</formula>
    </cfRule>
    <cfRule type="cellIs" dxfId="18" priority="3" operator="equal">
      <formula>"Sortie"</formula>
    </cfRule>
  </conditionalFormatting>
  <conditionalFormatting sqref="V7:V16">
    <cfRule type="cellIs" dxfId="17" priority="8" operator="lessThan">
      <formula>0</formula>
    </cfRule>
    <cfRule type="cellIs" dxfId="16" priority="9" operator="greaterThan">
      <formula>0</formula>
    </cfRule>
  </conditionalFormatting>
  <conditionalFormatting sqref="X5:Y16">
    <cfRule type="cellIs" dxfId="15" priority="6" operator="equal">
      <formula>0</formula>
    </cfRule>
  </conditionalFormatting>
  <conditionalFormatting sqref="AB6:AC15 AE6:AE15">
    <cfRule type="cellIs" dxfId="14" priority="7" operator="equal">
      <formula>FALSE</formula>
    </cfRule>
  </conditionalFormatting>
  <hyperlinks>
    <hyperlink ref="B25" location="'01_Parametres'!A1" display="Paramètres" xr:uid="{6DDC4D82-7BEE-49C1-B5BF-6021F887BA81}"/>
    <hyperlink ref="F25:G25" location="'04_Resultats_Comptables'!A1" display="Résultats comptables" xr:uid="{1774D051-4C1F-47FF-B6F6-AEE2E74E22F1}"/>
  </hyperlinks>
  <pageMargins left="0.7" right="0.7" top="0.75" bottom="0.75" header="0.3" footer="0.3"/>
  <ignoredErrors>
    <ignoredError sqref="N3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0185-9392-4B41-9B79-1104B64F612D}">
  <dimension ref="A1:AA23"/>
  <sheetViews>
    <sheetView showGridLines="0" zoomScale="115" zoomScaleNormal="115" workbookViewId="0">
      <selection activeCell="B2" sqref="B2:C3"/>
    </sheetView>
  </sheetViews>
  <sheetFormatPr baseColWidth="10" defaultRowHeight="14.4" x14ac:dyDescent="0.3"/>
  <cols>
    <col min="1" max="1" width="5.5" customWidth="1"/>
    <col min="3" max="3" width="14.8984375" customWidth="1"/>
    <col min="5" max="5" width="17.5" customWidth="1"/>
    <col min="6" max="6" width="17.69921875" customWidth="1"/>
    <col min="8" max="8" width="13" customWidth="1"/>
    <col min="9" max="9" width="16.59765625" customWidth="1"/>
    <col min="10" max="10" width="16.09765625" customWidth="1"/>
    <col min="11" max="11" width="5.19921875" customWidth="1"/>
    <col min="12" max="12" width="2.69921875" customWidth="1"/>
    <col min="13" max="13" width="2" customWidth="1"/>
    <col min="14" max="14" width="2.19921875" customWidth="1"/>
    <col min="15" max="15" width="1.8984375" customWidth="1"/>
  </cols>
  <sheetData>
    <row r="1" spans="1:27" ht="7.5" customHeight="1" x14ac:dyDescent="0.3">
      <c r="K1" s="111"/>
    </row>
    <row r="2" spans="1:27" ht="17.3" x14ac:dyDescent="0.3">
      <c r="B2" s="70" t="s">
        <v>288</v>
      </c>
      <c r="K2" s="111"/>
    </row>
    <row r="3" spans="1:27" ht="17.3" customHeight="1" thickBot="1" x14ac:dyDescent="0.35">
      <c r="B3" s="155" t="s">
        <v>286</v>
      </c>
      <c r="C3" s="155"/>
      <c r="D3" s="155"/>
      <c r="E3" s="155"/>
      <c r="F3" s="155"/>
      <c r="G3" s="155"/>
      <c r="H3" s="155"/>
      <c r="I3" s="155"/>
      <c r="J3" s="155"/>
      <c r="K3" s="112" t="s">
        <v>287</v>
      </c>
    </row>
    <row r="4" spans="1:27" ht="19.05" customHeight="1" x14ac:dyDescent="0.3">
      <c r="G4" s="51" t="s">
        <v>221</v>
      </c>
    </row>
    <row r="5" spans="1:27" ht="18.45" customHeight="1" x14ac:dyDescent="0.3">
      <c r="A5" s="152"/>
      <c r="B5" s="146" t="s">
        <v>22</v>
      </c>
      <c r="C5" s="148" t="s">
        <v>105</v>
      </c>
      <c r="D5" s="148" t="s">
        <v>199</v>
      </c>
      <c r="E5" s="149" t="s">
        <v>284</v>
      </c>
      <c r="F5" s="148" t="s">
        <v>218</v>
      </c>
      <c r="G5" s="150" t="s">
        <v>202</v>
      </c>
      <c r="H5" s="151" t="s">
        <v>203</v>
      </c>
      <c r="I5" s="151" t="s">
        <v>18</v>
      </c>
      <c r="J5" s="161" t="s">
        <v>219</v>
      </c>
      <c r="K5" s="153"/>
      <c r="L5" t="s">
        <v>337</v>
      </c>
      <c r="P5" s="2" t="s">
        <v>85</v>
      </c>
      <c r="Q5" s="2" t="s">
        <v>84</v>
      </c>
      <c r="R5" s="2" t="s">
        <v>53</v>
      </c>
      <c r="S5" s="2" t="s">
        <v>82</v>
      </c>
      <c r="T5" s="2" t="s">
        <v>54</v>
      </c>
      <c r="U5" s="29" t="s">
        <v>55</v>
      </c>
      <c r="V5" s="2" t="s">
        <v>56</v>
      </c>
      <c r="W5" s="2" t="s">
        <v>57</v>
      </c>
      <c r="X5" s="2" t="s">
        <v>58</v>
      </c>
      <c r="Y5" s="54" t="s">
        <v>59</v>
      </c>
      <c r="Z5" s="56" t="s">
        <v>86</v>
      </c>
      <c r="AA5" s="2"/>
    </row>
    <row r="6" spans="1:27" x14ac:dyDescent="0.3">
      <c r="A6" s="152"/>
      <c r="B6" s="147" t="s">
        <v>198</v>
      </c>
      <c r="C6" s="63">
        <v>0.01</v>
      </c>
      <c r="D6" t="s">
        <v>200</v>
      </c>
      <c r="E6" s="55">
        <v>3.2</v>
      </c>
      <c r="F6" s="66">
        <v>45667</v>
      </c>
      <c r="G6" s="65">
        <v>0</v>
      </c>
      <c r="H6" t="s">
        <v>204</v>
      </c>
      <c r="I6" t="s">
        <v>205</v>
      </c>
      <c r="J6" s="55">
        <f>E6/Q6</f>
        <v>320</v>
      </c>
      <c r="K6" s="154" t="s">
        <v>220</v>
      </c>
      <c r="P6" s="66">
        <f>DATE( YEAR(F6), MONTH(F6),DAY(F6))</f>
        <v>45667</v>
      </c>
      <c r="Q6">
        <f>_xlfn.NUMBERVALUE(SUBSTITUTE(SUBSTITUTE(C6," XMR",""),".",","))</f>
        <v>0.01</v>
      </c>
      <c r="R6" t="str">
        <f>IF(B6="reçu","Entrée",IF(B6="envoyé","Sortie","ERREUR"))</f>
        <v>Entrée</v>
      </c>
      <c r="S6" s="10">
        <f>T6/Q6</f>
        <v>320</v>
      </c>
      <c r="T6" s="10">
        <f>_xlfn.NUMBERVALUE(SUBSTITUTE(SUBSTITUTE(E6," EUR",""),".",","))</f>
        <v>3.2</v>
      </c>
      <c r="U6" t="str">
        <f>CONCATENATE(YEAR(P6),"-",ROW(P6)-5)</f>
        <v>2025-1</v>
      </c>
      <c r="V6">
        <f>IF(R6="Entrée",Q6,0)</f>
        <v>0.01</v>
      </c>
    </row>
    <row r="7" spans="1:27" x14ac:dyDescent="0.3">
      <c r="A7" s="152"/>
      <c r="B7" s="63" t="s">
        <v>197</v>
      </c>
      <c r="C7" s="63">
        <v>2.3E-2</v>
      </c>
      <c r="D7" t="s">
        <v>200</v>
      </c>
      <c r="E7" s="55">
        <v>5.72</v>
      </c>
      <c r="F7" s="66">
        <v>45669</v>
      </c>
      <c r="J7" s="55">
        <f t="shared" ref="J7:J9" si="0">E7/C7</f>
        <v>248.69565217391303</v>
      </c>
      <c r="K7" s="154" t="s">
        <v>220</v>
      </c>
      <c r="P7" s="66">
        <f>DATE( YEAR(F7), MONTH(F7),DAY(F7))</f>
        <v>45669</v>
      </c>
      <c r="Q7">
        <f>_xlfn.NUMBERVALUE(SUBSTITUTE(SUBSTITUTE(C7," XMR",""),".",","))</f>
        <v>2.3E-2</v>
      </c>
      <c r="R7" t="str">
        <f>IF(B7="reçu","Entrée",IF(B7="envoyé","Sortie","ERREUR"))</f>
        <v>Sortie</v>
      </c>
      <c r="S7" s="10">
        <f>T7/Q7</f>
        <v>248.69565217391303</v>
      </c>
      <c r="T7" s="10">
        <f>_xlfn.NUMBERVALUE(SUBSTITUTE(SUBSTITUTE(E7," EUR",""),".",","))</f>
        <v>5.72</v>
      </c>
      <c r="U7" t="str">
        <f>CONCATENATE(YEAR(P7),"-",ROW(P7)-5)</f>
        <v>2025-2</v>
      </c>
      <c r="V7">
        <f>IF(R7="Entrée",V6+Q7,V6-Q7)</f>
        <v>-1.2999999999999999E-2</v>
      </c>
    </row>
    <row r="8" spans="1:27" x14ac:dyDescent="0.3">
      <c r="A8" s="152"/>
      <c r="B8" s="63" t="s">
        <v>198</v>
      </c>
      <c r="C8" s="63">
        <v>0.4</v>
      </c>
      <c r="D8" t="s">
        <v>200</v>
      </c>
      <c r="E8" s="55">
        <v>75</v>
      </c>
      <c r="J8" s="55">
        <f t="shared" si="0"/>
        <v>187.5</v>
      </c>
      <c r="K8" s="154" t="s">
        <v>220</v>
      </c>
      <c r="S8" s="10"/>
      <c r="T8" s="10"/>
      <c r="V8">
        <f>IF(R8="Entrée",V7+Q8,V7-Q8)</f>
        <v>-1.2999999999999999E-2</v>
      </c>
    </row>
    <row r="9" spans="1:27" x14ac:dyDescent="0.3">
      <c r="A9" s="152"/>
      <c r="B9" s="63" t="s">
        <v>198</v>
      </c>
      <c r="C9" s="63">
        <v>0.3</v>
      </c>
      <c r="D9" t="s">
        <v>201</v>
      </c>
      <c r="E9" s="55">
        <v>230</v>
      </c>
      <c r="J9" s="55">
        <f t="shared" si="0"/>
        <v>766.66666666666674</v>
      </c>
      <c r="K9" s="154" t="s">
        <v>220</v>
      </c>
      <c r="S9" s="10"/>
      <c r="T9" s="10"/>
    </row>
    <row r="10" spans="1:27" x14ac:dyDescent="0.3">
      <c r="A10" s="152"/>
      <c r="B10" s="63"/>
      <c r="C10" s="63"/>
      <c r="D10" s="63"/>
      <c r="E10" s="63"/>
      <c r="K10" s="152"/>
      <c r="S10" s="10"/>
      <c r="T10" s="10"/>
    </row>
    <row r="11" spans="1:27" x14ac:dyDescent="0.3">
      <c r="A11" s="152"/>
      <c r="K11" s="152"/>
      <c r="S11" s="10"/>
      <c r="T11" s="10"/>
    </row>
    <row r="12" spans="1:27" x14ac:dyDescent="0.3">
      <c r="A12" s="152"/>
      <c r="K12" s="152"/>
      <c r="S12" s="10"/>
      <c r="T12" s="10"/>
    </row>
    <row r="13" spans="1:27" x14ac:dyDescent="0.3">
      <c r="A13" s="152"/>
      <c r="K13" s="152"/>
      <c r="S13" s="10"/>
      <c r="T13" s="10"/>
    </row>
    <row r="14" spans="1:27" x14ac:dyDescent="0.3">
      <c r="A14" s="152"/>
      <c r="K14" s="152"/>
      <c r="S14" s="10"/>
      <c r="T14" s="10"/>
    </row>
    <row r="15" spans="1:27" x14ac:dyDescent="0.3">
      <c r="A15" s="152"/>
      <c r="K15" s="152"/>
      <c r="S15" s="10"/>
      <c r="T15" s="10"/>
    </row>
    <row r="16" spans="1:27" x14ac:dyDescent="0.3">
      <c r="A16" s="152"/>
      <c r="K16" s="152"/>
      <c r="S16" s="10"/>
      <c r="T16" s="10"/>
    </row>
    <row r="17" spans="1:20" ht="17.850000000000001" customHeight="1" x14ac:dyDescent="0.3">
      <c r="A17" s="152"/>
      <c r="B17" s="195" t="s">
        <v>285</v>
      </c>
      <c r="C17" s="195"/>
      <c r="D17" s="195"/>
      <c r="E17" s="195"/>
      <c r="F17" s="195"/>
      <c r="G17" s="195"/>
      <c r="H17" s="195"/>
      <c r="I17" s="195"/>
      <c r="J17" s="195"/>
      <c r="K17" s="202"/>
      <c r="S17" s="10"/>
      <c r="T17" s="10"/>
    </row>
    <row r="18" spans="1:20" x14ac:dyDescent="0.3">
      <c r="B18" s="51" t="s">
        <v>338</v>
      </c>
      <c r="T18" s="10"/>
    </row>
    <row r="19" spans="1:20" x14ac:dyDescent="0.3">
      <c r="E19" s="2" t="s">
        <v>206</v>
      </c>
      <c r="T19" s="10"/>
    </row>
    <row r="20" spans="1:20" x14ac:dyDescent="0.3">
      <c r="E20" s="2"/>
    </row>
    <row r="22" spans="1:20" x14ac:dyDescent="0.3">
      <c r="B22" s="113" t="s">
        <v>259</v>
      </c>
      <c r="C22" s="91"/>
      <c r="D22" s="92"/>
      <c r="E22" s="92"/>
    </row>
    <row r="23" spans="1:20" ht="17.3" customHeight="1" x14ac:dyDescent="0.3">
      <c r="B23" s="131" t="s">
        <v>237</v>
      </c>
      <c r="C23" s="131" t="s">
        <v>258</v>
      </c>
      <c r="D23" s="200" t="s">
        <v>263</v>
      </c>
      <c r="E23" s="201"/>
      <c r="F23" s="199" t="s">
        <v>274</v>
      </c>
      <c r="G23" s="199"/>
    </row>
  </sheetData>
  <mergeCells count="3">
    <mergeCell ref="D23:E23"/>
    <mergeCell ref="F23:G23"/>
    <mergeCell ref="B17:K17"/>
  </mergeCells>
  <conditionalFormatting sqref="D1:D1048576">
    <cfRule type="containsText" dxfId="13" priority="7" operator="containsText" text="BTC">
      <formula>NOT(ISERROR(SEARCH("BTC",D1)))</formula>
    </cfRule>
    <cfRule type="containsText" dxfId="12" priority="8" operator="containsText" text="XMR">
      <formula>NOT(ISERROR(SEARCH("XMR",D1)))</formula>
    </cfRule>
  </conditionalFormatting>
  <conditionalFormatting sqref="E4">
    <cfRule type="containsText" dxfId="11" priority="5" operator="containsText" text="BTC">
      <formula>NOT(ISERROR(SEARCH("BTC",E4)))</formula>
    </cfRule>
    <cfRule type="containsText" dxfId="10" priority="6" operator="containsText" text="XMR">
      <formula>NOT(ISERROR(SEARCH("XMR",E4)))</formula>
    </cfRule>
  </conditionalFormatting>
  <conditionalFormatting sqref="G22">
    <cfRule type="cellIs" dxfId="9" priority="9" operator="equal">
      <formula>"outgoing"</formula>
    </cfRule>
    <cfRule type="cellIs" dxfId="8" priority="10" operator="equal">
      <formula>"incoming"</formula>
    </cfRule>
  </conditionalFormatting>
  <conditionalFormatting sqref="R5">
    <cfRule type="cellIs" dxfId="7" priority="2" operator="equal">
      <formula>"ERREUR"</formula>
    </cfRule>
    <cfRule type="containsText" dxfId="6" priority="3" operator="containsText" text="Entrée">
      <formula>NOT(ISERROR(SEARCH("Entrée",R5)))</formula>
    </cfRule>
    <cfRule type="cellIs" dxfId="5" priority="4" operator="equal">
      <formula>"Sortie"</formula>
    </cfRule>
  </conditionalFormatting>
  <conditionalFormatting sqref="X5:Y5">
    <cfRule type="cellIs" dxfId="4" priority="1" operator="equal">
      <formula>0</formula>
    </cfRule>
  </conditionalFormatting>
  <hyperlinks>
    <hyperlink ref="D23:E23" location="'03_Tout_autre_wallet_import'!A1" display="Tout autre wallet import" xr:uid="{2D61E49F-FB40-4B52-B0C6-FD93E00D4920}"/>
    <hyperlink ref="C23" location="'02_Bitrequest_import'!A1" display="Bitrequest import" xr:uid="{A08543C2-C2DB-4214-8A9F-6A48BE90ED19}"/>
    <hyperlink ref="B23" location="'01_Parametres'!A1" display="Paramètres" xr:uid="{B466049D-CE8F-4AD2-8A9E-7821451EDD15}"/>
    <hyperlink ref="F23:G23" location="'04_Resultats_Comptables'!A1" display="Résultats comptables" xr:uid="{5FB39B3F-D5BF-4974-AE5C-356B604D62B7}"/>
  </hyperlinks>
  <pageMargins left="0.7" right="0.7" top="0.75" bottom="0.75" header="0.3" footer="0.3"/>
  <ignoredErrors>
    <ignoredError sqref="K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60B3-DB37-49A4-8610-14D29F5B7799}">
  <dimension ref="B1:I35"/>
  <sheetViews>
    <sheetView showGridLines="0" tabSelected="1" zoomScale="85" zoomScaleNormal="85" workbookViewId="0">
      <selection activeCell="H6" sqref="H6"/>
    </sheetView>
  </sheetViews>
  <sheetFormatPr baseColWidth="10" defaultRowHeight="14.4" x14ac:dyDescent="0.3"/>
  <cols>
    <col min="1" max="1" width="5.69921875" customWidth="1"/>
    <col min="2" max="2" width="36.09765625" customWidth="1"/>
    <col min="3" max="3" width="26.5" customWidth="1"/>
    <col min="4" max="4" width="28.3984375" customWidth="1"/>
    <col min="5" max="5" width="28.19921875" customWidth="1"/>
    <col min="6" max="6" width="3.796875" customWidth="1"/>
  </cols>
  <sheetData>
    <row r="1" spans="2:9" ht="7.5" customHeight="1" x14ac:dyDescent="0.3"/>
    <row r="2" spans="2:9" ht="24.2" customHeight="1" x14ac:dyDescent="0.45">
      <c r="B2" s="71" t="s">
        <v>277</v>
      </c>
      <c r="F2" s="111"/>
    </row>
    <row r="3" spans="2:9" ht="18.45" thickBot="1" x14ac:dyDescent="0.4">
      <c r="B3" s="134" t="str">
        <f>_xlfn.CONCAT("EXERCICE ",'01_Parametres'!C9)</f>
        <v>EXERCICE 2024</v>
      </c>
      <c r="C3" s="27"/>
      <c r="D3" s="162" t="s">
        <v>283</v>
      </c>
      <c r="E3" s="27"/>
      <c r="F3" s="112" t="s">
        <v>278</v>
      </c>
    </row>
    <row r="4" spans="2:9" ht="17.850000000000001" x14ac:dyDescent="0.35">
      <c r="B4" s="203"/>
      <c r="C4" s="204"/>
      <c r="D4" s="205"/>
      <c r="E4" s="204"/>
    </row>
    <row r="5" spans="2:9" ht="16.149999999999999" x14ac:dyDescent="0.35">
      <c r="B5" s="208" t="s">
        <v>348</v>
      </c>
      <c r="C5" s="206" t="s">
        <v>342</v>
      </c>
      <c r="D5" s="207" t="s">
        <v>347</v>
      </c>
    </row>
    <row r="6" spans="2:9" x14ac:dyDescent="0.3">
      <c r="B6" t="s">
        <v>12</v>
      </c>
      <c r="C6" s="122"/>
      <c r="D6" t="s">
        <v>12</v>
      </c>
      <c r="E6" t="s">
        <v>12</v>
      </c>
    </row>
    <row r="7" spans="2:9" ht="15" thickBot="1" x14ac:dyDescent="0.35">
      <c r="B7" s="136" t="s">
        <v>92</v>
      </c>
      <c r="C7" s="137" t="s">
        <v>93</v>
      </c>
      <c r="D7" s="137" t="s">
        <v>94</v>
      </c>
      <c r="E7" s="123" t="s">
        <v>95</v>
      </c>
    </row>
    <row r="8" spans="2:9" ht="15.55" thickTop="1" thickBot="1" x14ac:dyDescent="0.35">
      <c r="B8" s="87" t="s">
        <v>96</v>
      </c>
      <c r="C8" s="127">
        <v>0</v>
      </c>
      <c r="D8" s="127">
        <v>0</v>
      </c>
      <c r="E8" s="127">
        <v>0</v>
      </c>
    </row>
    <row r="9" spans="2:9" ht="15.55" thickTop="1" thickBot="1" x14ac:dyDescent="0.35">
      <c r="B9" t="s">
        <v>312</v>
      </c>
      <c r="C9" s="128">
        <f>SUMIF('02_Bitrequest_import'!R:R,"Entrée",'02_Bitrequest_import'!T:T)</f>
        <v>142.15</v>
      </c>
      <c r="D9" s="128">
        <v>0</v>
      </c>
      <c r="E9" t="s">
        <v>12</v>
      </c>
    </row>
    <row r="10" spans="2:9" ht="15.55" thickTop="1" thickBot="1" x14ac:dyDescent="0.35">
      <c r="B10" s="87" t="s">
        <v>313</v>
      </c>
      <c r="C10" s="127">
        <v>0</v>
      </c>
      <c r="D10" s="127">
        <f>SUMIF(CUMP_Calculs!C:C,"Sortie",CUMP_Calculs!H:H)</f>
        <v>104.82828947368421</v>
      </c>
      <c r="E10" s="127" t="s">
        <v>12</v>
      </c>
      <c r="G10" s="6"/>
    </row>
    <row r="11" spans="2:9" ht="15" thickTop="1" x14ac:dyDescent="0.3">
      <c r="B11" s="178" t="s">
        <v>315</v>
      </c>
      <c r="C11" s="179"/>
      <c r="D11" s="179"/>
      <c r="E11" s="179"/>
      <c r="G11" s="6" t="s">
        <v>318</v>
      </c>
    </row>
    <row r="12" spans="2:9" x14ac:dyDescent="0.3">
      <c r="B12" s="178" t="s">
        <v>316</v>
      </c>
      <c r="C12" s="179"/>
      <c r="D12" s="179"/>
      <c r="E12" s="179"/>
      <c r="G12" s="6" t="s">
        <v>319</v>
      </c>
    </row>
    <row r="13" spans="2:9" x14ac:dyDescent="0.3">
      <c r="B13" s="2" t="s">
        <v>97</v>
      </c>
      <c r="C13" s="128" t="s">
        <v>12</v>
      </c>
      <c r="D13" s="128" t="s">
        <v>12</v>
      </c>
      <c r="E13" s="124">
        <f>C8+C9-D10</f>
        <v>37.321710526315798</v>
      </c>
      <c r="G13" s="51" t="s">
        <v>317</v>
      </c>
      <c r="H13" s="180">
        <f>CUMP_Calculs!F14*CUMP_Calculs!G14</f>
        <v>37.32171052631579</v>
      </c>
      <c r="I13" s="2" t="str">
        <f>IF(E13=H13,"OK","Erreur")</f>
        <v>OK</v>
      </c>
    </row>
    <row r="14" spans="2:9" x14ac:dyDescent="0.3">
      <c r="B14" t="s">
        <v>12</v>
      </c>
      <c r="C14" t="s">
        <v>12</v>
      </c>
      <c r="D14" t="s">
        <v>12</v>
      </c>
      <c r="E14" t="s">
        <v>12</v>
      </c>
    </row>
    <row r="15" spans="2:9" ht="15" thickBot="1" x14ac:dyDescent="0.35">
      <c r="B15" s="136" t="s">
        <v>98</v>
      </c>
      <c r="C15" s="136" t="s">
        <v>99</v>
      </c>
      <c r="D15" s="123" t="s">
        <v>60</v>
      </c>
    </row>
    <row r="16" spans="2:9" ht="15.55" thickTop="1" thickBot="1" x14ac:dyDescent="0.35">
      <c r="B16" s="87" t="s">
        <v>100</v>
      </c>
      <c r="C16" s="127">
        <f>SUMIF('02_Bitrequest_import'!Y:Y,"&gt;0")</f>
        <v>51.527960526315795</v>
      </c>
      <c r="D16" t="s">
        <v>101</v>
      </c>
    </row>
    <row r="17" spans="2:6" ht="15.55" thickTop="1" thickBot="1" x14ac:dyDescent="0.35">
      <c r="B17" t="s">
        <v>102</v>
      </c>
      <c r="C17" s="55">
        <f>SUMIF('02_Bitrequest_import'!Y:Y,"&lt;0")</f>
        <v>-5.65625</v>
      </c>
      <c r="D17" t="s">
        <v>101</v>
      </c>
    </row>
    <row r="18" spans="2:6" ht="15.55" thickTop="1" thickBot="1" x14ac:dyDescent="0.35">
      <c r="B18" s="130" t="s">
        <v>103</v>
      </c>
      <c r="C18" s="129">
        <f>C16+C17</f>
        <v>45.871710526315795</v>
      </c>
      <c r="D18" t="s">
        <v>12</v>
      </c>
    </row>
    <row r="19" spans="2:6" ht="15" thickTop="1" x14ac:dyDescent="0.3">
      <c r="B19" t="s">
        <v>12</v>
      </c>
      <c r="C19" t="s">
        <v>12</v>
      </c>
      <c r="D19" t="s">
        <v>12</v>
      </c>
    </row>
    <row r="20" spans="2:6" ht="15" thickBot="1" x14ac:dyDescent="0.35">
      <c r="B20" s="136" t="s">
        <v>104</v>
      </c>
      <c r="C20" s="136" t="s">
        <v>279</v>
      </c>
      <c r="D20" s="136" t="s">
        <v>280</v>
      </c>
    </row>
    <row r="21" spans="2:6" ht="15.55" thickTop="1" thickBot="1" x14ac:dyDescent="0.35">
      <c r="B21" s="87" t="s">
        <v>229</v>
      </c>
      <c r="C21" s="141" t="str">
        <f>_xlfn.CONCAT('01_Parametres'!C13," XMR")</f>
        <v>5 XMR</v>
      </c>
      <c r="D21" s="141"/>
      <c r="E21" s="51" t="s">
        <v>228</v>
      </c>
    </row>
    <row r="22" spans="2:6" ht="15.55" thickTop="1" thickBot="1" x14ac:dyDescent="0.35">
      <c r="B22" t="s">
        <v>230</v>
      </c>
      <c r="C22" s="142" t="str">
        <f>_xlfn.CONCAT(VLOOKUP(MAX(CUMP_Calculs!B:B),CUMP_Calculs!B:F,5,FALSE)," XMR")</f>
        <v>0,17 XMR</v>
      </c>
      <c r="D22" s="142"/>
      <c r="E22" t="s">
        <v>106</v>
      </c>
      <c r="F22" s="61" t="s">
        <v>194</v>
      </c>
    </row>
    <row r="23" spans="2:6" ht="15.55" thickTop="1" thickBot="1" x14ac:dyDescent="0.35">
      <c r="B23" s="87" t="s">
        <v>107</v>
      </c>
      <c r="C23" s="126">
        <f>'01_Parametres'!C11</f>
        <v>170</v>
      </c>
      <c r="D23" s="126"/>
      <c r="E23" s="51" t="s">
        <v>227</v>
      </c>
    </row>
    <row r="24" spans="2:6" ht="15.55" thickTop="1" thickBot="1" x14ac:dyDescent="0.35">
      <c r="B24" s="144" t="s">
        <v>281</v>
      </c>
      <c r="C24" s="124">
        <f>_xlfn.TEXTBEFORE(C22," ")*C23</f>
        <v>28.900000000000002</v>
      </c>
      <c r="D24" s="145"/>
      <c r="E24" s="143" t="s">
        <v>282</v>
      </c>
    </row>
    <row r="25" spans="2:6" ht="15" thickTop="1" x14ac:dyDescent="0.3">
      <c r="B25" t="s">
        <v>12</v>
      </c>
      <c r="C25" t="s">
        <v>12</v>
      </c>
      <c r="D25" t="s">
        <v>12</v>
      </c>
    </row>
    <row r="26" spans="2:6" ht="15" thickBot="1" x14ac:dyDescent="0.35">
      <c r="B26" s="140" t="s">
        <v>108</v>
      </c>
      <c r="C26" s="138" t="s">
        <v>99</v>
      </c>
      <c r="D26" s="139" t="s">
        <v>109</v>
      </c>
      <c r="E26" s="125" t="s">
        <v>236</v>
      </c>
    </row>
    <row r="27" spans="2:6" ht="21.9" customHeight="1" thickTop="1" thickBot="1" x14ac:dyDescent="0.35">
      <c r="B27" s="156" t="s">
        <v>223</v>
      </c>
      <c r="C27" s="157">
        <f>C9</f>
        <v>142.15</v>
      </c>
      <c r="D27" t="s">
        <v>235</v>
      </c>
      <c r="E27" s="68">
        <f>(C23-AVERAGE('02_Bitrequest_import'!S:S))/AVERAGE('02_Bitrequest_import'!S:S)</f>
        <v>-0.17252568956192554</v>
      </c>
    </row>
    <row r="28" spans="2:6" ht="21.9" customHeight="1" thickTop="1" thickBot="1" x14ac:dyDescent="0.35">
      <c r="B28" s="156" t="s">
        <v>289</v>
      </c>
      <c r="C28" s="164"/>
      <c r="D28" t="s">
        <v>290</v>
      </c>
      <c r="E28" s="68"/>
    </row>
    <row r="29" spans="2:6" ht="14.4" customHeight="1" thickTop="1" thickBot="1" x14ac:dyDescent="0.35">
      <c r="B29" s="135" t="s">
        <v>150</v>
      </c>
      <c r="C29" s="158" t="str">
        <f>IF(C27&gt;'01_Parametres'!C15,"Oui","Non")</f>
        <v>Non</v>
      </c>
      <c r="D29" s="61" t="s">
        <v>224</v>
      </c>
      <c r="E29" s="51" t="s">
        <v>291</v>
      </c>
    </row>
    <row r="30" spans="2:6" ht="21.35" customHeight="1" thickTop="1" thickBot="1" x14ac:dyDescent="0.35">
      <c r="B30" s="156" t="s">
        <v>111</v>
      </c>
      <c r="C30" s="159">
        <f>IF(C18&gt;0,C18,0)</f>
        <v>45.871710526315795</v>
      </c>
      <c r="D30" t="s">
        <v>234</v>
      </c>
    </row>
    <row r="31" spans="2:6" ht="22.5" customHeight="1" thickTop="1" thickBot="1" x14ac:dyDescent="0.35">
      <c r="B31" s="156" t="s">
        <v>112</v>
      </c>
      <c r="C31" s="160">
        <f>C24+D24</f>
        <v>28.900000000000002</v>
      </c>
      <c r="D31" t="s">
        <v>233</v>
      </c>
    </row>
    <row r="32" spans="2:6" ht="15" thickTop="1" x14ac:dyDescent="0.3"/>
    <row r="34" spans="2:5" x14ac:dyDescent="0.3">
      <c r="B34" s="113" t="s">
        <v>259</v>
      </c>
      <c r="C34" s="91"/>
      <c r="D34" s="92"/>
      <c r="E34" s="92"/>
    </row>
    <row r="35" spans="2:5" ht="17.850000000000001" customHeight="1" x14ac:dyDescent="0.3">
      <c r="B35" s="131" t="s">
        <v>237</v>
      </c>
      <c r="C35" s="131" t="s">
        <v>258</v>
      </c>
      <c r="D35" s="131" t="s">
        <v>263</v>
      </c>
      <c r="E35" s="132" t="s">
        <v>274</v>
      </c>
    </row>
  </sheetData>
  <conditionalFormatting sqref="G34">
    <cfRule type="cellIs" dxfId="3" priority="1" operator="equal">
      <formula>"outgoing"</formula>
    </cfRule>
    <cfRule type="cellIs" dxfId="2" priority="2" operator="equal">
      <formula>"incoming"</formula>
    </cfRule>
  </conditionalFormatting>
  <hyperlinks>
    <hyperlink ref="B35" location="'01_Parametres'!A1" display="Paramètres" xr:uid="{70C6904B-C6D6-4205-98D5-AB10A80D0E2E}"/>
    <hyperlink ref="C35" location="'02_Bitrequest_import'!A1" display="Bitrequest import" xr:uid="{6BB97431-B83D-4EE0-8153-0E5C27618BC4}"/>
    <hyperlink ref="D35" location="'03_Tout_autre_wallet_import'!A1" display="Tout autre wallet import" xr:uid="{DE70DBF4-42FD-4A36-BE59-126AF89CE6D2}"/>
    <hyperlink ref="E35" location="'04_Resultats_Comptables'!A1" display="Résultats comptables" xr:uid="{764AC7E6-61A3-4357-810F-A8681911EF42}"/>
  </hyperlinks>
  <pageMargins left="0.7" right="0.7" top="0.75" bottom="0.75" header="0.3" footer="0.3"/>
  <ignoredErrors>
    <ignoredError sqref="F3" numberStoredAsText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Choix d'onglet incorrect" xr:uid="{F0A1B018-20EB-4DCE-870A-463B306E2505}">
          <x14:formula1>
            <xm:f>Fichier_config!$K$4:$K$5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3245-1295-4CB6-B2E0-2AA3359084D6}">
  <dimension ref="A2:K17"/>
  <sheetViews>
    <sheetView workbookViewId="0">
      <selection activeCell="A17" sqref="A17:C17"/>
    </sheetView>
  </sheetViews>
  <sheetFormatPr baseColWidth="10" defaultRowHeight="14.4" x14ac:dyDescent="0.3"/>
  <cols>
    <col min="2" max="2" width="17.09765625" customWidth="1"/>
  </cols>
  <sheetData>
    <row r="2" spans="1:11" ht="15" thickBot="1" x14ac:dyDescent="0.35"/>
    <row r="3" spans="1:11" ht="15.55" thickTop="1" thickBot="1" x14ac:dyDescent="0.35">
      <c r="B3" s="84" t="s">
        <v>3</v>
      </c>
      <c r="D3" s="88" t="s">
        <v>6</v>
      </c>
      <c r="G3" s="88" t="s">
        <v>13</v>
      </c>
      <c r="K3" s="88" t="s">
        <v>344</v>
      </c>
    </row>
    <row r="4" spans="1:11" ht="15" thickTop="1" x14ac:dyDescent="0.3">
      <c r="B4" s="2" t="str">
        <f>'01_Parametres'!B6</f>
        <v>Type d'entreprise</v>
      </c>
      <c r="D4" s="2" t="str">
        <f>'01_Parametres'!B7</f>
        <v>Pays</v>
      </c>
      <c r="E4" s="2" t="s">
        <v>253</v>
      </c>
      <c r="G4" s="2" t="str">
        <f>'01_Parametres'!B10</f>
        <v>Compte crypto</v>
      </c>
      <c r="H4" s="2" t="s">
        <v>18</v>
      </c>
      <c r="K4" t="s">
        <v>343</v>
      </c>
    </row>
    <row r="5" spans="1:11" x14ac:dyDescent="0.3">
      <c r="B5" t="s">
        <v>240</v>
      </c>
      <c r="D5" t="s">
        <v>7</v>
      </c>
      <c r="E5" t="s">
        <v>252</v>
      </c>
      <c r="G5" s="60">
        <v>522</v>
      </c>
      <c r="H5" t="s">
        <v>256</v>
      </c>
      <c r="K5" t="s">
        <v>342</v>
      </c>
    </row>
    <row r="6" spans="1:11" x14ac:dyDescent="0.3">
      <c r="B6" t="s">
        <v>243</v>
      </c>
      <c r="D6" t="s">
        <v>247</v>
      </c>
      <c r="G6" t="s">
        <v>254</v>
      </c>
      <c r="H6" t="s">
        <v>255</v>
      </c>
    </row>
    <row r="7" spans="1:11" x14ac:dyDescent="0.3">
      <c r="B7" t="s">
        <v>244</v>
      </c>
      <c r="D7" t="s">
        <v>250</v>
      </c>
    </row>
    <row r="8" spans="1:11" x14ac:dyDescent="0.3">
      <c r="B8" t="s">
        <v>245</v>
      </c>
      <c r="D8" t="s">
        <v>248</v>
      </c>
    </row>
    <row r="9" spans="1:11" x14ac:dyDescent="0.3">
      <c r="B9" t="s">
        <v>246</v>
      </c>
      <c r="D9" t="s">
        <v>249</v>
      </c>
    </row>
    <row r="10" spans="1:11" x14ac:dyDescent="0.3">
      <c r="D10" t="s">
        <v>251</v>
      </c>
    </row>
    <row r="15" spans="1:11" x14ac:dyDescent="0.3">
      <c r="B15" s="67" t="s">
        <v>296</v>
      </c>
    </row>
    <row r="16" spans="1:11" x14ac:dyDescent="0.3">
      <c r="A16" s="142" t="s">
        <v>298</v>
      </c>
      <c r="B16" s="46" t="s">
        <v>297</v>
      </c>
      <c r="C16" t="s">
        <v>299</v>
      </c>
    </row>
    <row r="17" spans="1:3" x14ac:dyDescent="0.3">
      <c r="A17" s="142" t="s">
        <v>298</v>
      </c>
      <c r="B17" s="46" t="s">
        <v>346</v>
      </c>
      <c r="C17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F840-2B75-4AB9-9008-4CB217F85C70}">
  <dimension ref="B2:T26"/>
  <sheetViews>
    <sheetView topLeftCell="B1" zoomScale="85" zoomScaleNormal="85" workbookViewId="0">
      <selection activeCell="N13" sqref="N13"/>
    </sheetView>
  </sheetViews>
  <sheetFormatPr baseColWidth="10" defaultRowHeight="14.4" x14ac:dyDescent="0.3"/>
  <cols>
    <col min="1" max="1" width="4.09765625" customWidth="1"/>
    <col min="2" max="2" width="14.5" customWidth="1"/>
    <col min="6" max="6" width="12.69921875" customWidth="1"/>
    <col min="7" max="7" width="14.69921875" customWidth="1"/>
    <col min="8" max="8" width="9" customWidth="1"/>
    <col min="9" max="9" width="10" customWidth="1"/>
    <col min="20" max="20" width="8.3984375" customWidth="1"/>
  </cols>
  <sheetData>
    <row r="2" spans="2:20" ht="17.3" x14ac:dyDescent="0.3">
      <c r="B2" s="70" t="s">
        <v>339</v>
      </c>
      <c r="G2" s="51"/>
    </row>
    <row r="4" spans="2:20" ht="17.850000000000001" x14ac:dyDescent="0.35">
      <c r="B4" s="186" t="s">
        <v>340</v>
      </c>
      <c r="M4" s="186" t="s">
        <v>341</v>
      </c>
    </row>
    <row r="5" spans="2:20" s="166" customFormat="1" ht="16.149999999999999" customHeight="1" x14ac:dyDescent="0.3">
      <c r="B5" s="165" t="s">
        <v>62</v>
      </c>
      <c r="C5" s="165" t="s">
        <v>22</v>
      </c>
      <c r="D5" s="165" t="s">
        <v>63</v>
      </c>
      <c r="E5" s="165" t="s">
        <v>64</v>
      </c>
      <c r="F5" s="165" t="s">
        <v>65</v>
      </c>
      <c r="G5" s="165" t="s">
        <v>292</v>
      </c>
      <c r="H5" s="165" t="s">
        <v>314</v>
      </c>
      <c r="I5" s="167" t="s">
        <v>293</v>
      </c>
      <c r="J5" s="169" t="s">
        <v>294</v>
      </c>
      <c r="M5" s="165" t="s">
        <v>62</v>
      </c>
      <c r="N5" s="165" t="s">
        <v>22</v>
      </c>
      <c r="O5" s="165" t="s">
        <v>63</v>
      </c>
      <c r="P5" s="165" t="s">
        <v>64</v>
      </c>
      <c r="Q5" s="165" t="s">
        <v>65</v>
      </c>
      <c r="R5" s="165" t="s">
        <v>292</v>
      </c>
      <c r="S5" s="165" t="s">
        <v>314</v>
      </c>
      <c r="T5" s="167" t="s">
        <v>293</v>
      </c>
    </row>
    <row r="6" spans="2:20" x14ac:dyDescent="0.3">
      <c r="B6" s="185">
        <f>IF('02_Bitrequest_import'!P6&lt;&gt;"",'02_Bitrequest_import'!P6,"")</f>
        <v>45292</v>
      </c>
      <c r="C6" s="21" t="str">
        <f>'02_Bitrequest_import'!R6</f>
        <v>Entrée</v>
      </c>
      <c r="D6" s="48">
        <f>'02_Bitrequest_import'!Q6</f>
        <v>0.25</v>
      </c>
      <c r="E6" s="48">
        <f>'02_Bitrequest_import'!S6</f>
        <v>154</v>
      </c>
      <c r="F6" s="58">
        <f>IF(C6="Entrée",D6,0)</f>
        <v>0.25</v>
      </c>
      <c r="G6" s="59">
        <f>IF(C6="Entrée",E6,0)</f>
        <v>154</v>
      </c>
      <c r="H6" s="168" t="str">
        <f t="shared" ref="H6:H7" si="0">IF(C6="Sortie",D6*G6,"")</f>
        <v/>
      </c>
      <c r="I6" s="59">
        <f>IF(C6="Entrée",E6,0)</f>
        <v>154</v>
      </c>
      <c r="J6" s="51" t="s">
        <v>182</v>
      </c>
      <c r="M6" s="66">
        <f>IF('02_Bitrequest_import'!P6&lt;&gt;"",'02_Bitrequest_import'!P6,"")</f>
        <v>45292</v>
      </c>
    </row>
    <row r="7" spans="2:20" x14ac:dyDescent="0.3">
      <c r="B7" s="185">
        <f>IF('02_Bitrequest_import'!P7&lt;&gt;"",'02_Bitrequest_import'!P7,"")</f>
        <v>45306</v>
      </c>
      <c r="C7" s="21" t="str">
        <f>'02_Bitrequest_import'!R7</f>
        <v>Entrée</v>
      </c>
      <c r="D7" s="48">
        <f>'02_Bitrequest_import'!Q7</f>
        <v>0.15</v>
      </c>
      <c r="E7" s="48">
        <f>'02_Bitrequest_import'!S7</f>
        <v>148.33333333333334</v>
      </c>
      <c r="F7" s="47">
        <f>IF(C7="Entrée",F6+D7,IF(F6-D7&lt;0,0,F6-D7))</f>
        <v>0.4</v>
      </c>
      <c r="G7" s="168">
        <f>IF(C7="Entrée",IF(F6=0,E7,(F6*G6+D7*E7)/(F6+D7)),G6)</f>
        <v>151.875</v>
      </c>
      <c r="H7" s="168" t="str">
        <f t="shared" si="0"/>
        <v/>
      </c>
      <c r="I7" s="10"/>
      <c r="J7" s="51" t="s">
        <v>183</v>
      </c>
    </row>
    <row r="8" spans="2:20" x14ac:dyDescent="0.3">
      <c r="B8" s="185">
        <f>IF('02_Bitrequest_import'!P8&lt;&gt;"",'02_Bitrequest_import'!P8,"")</f>
        <v>45323</v>
      </c>
      <c r="C8" s="21" t="str">
        <f>'02_Bitrequest_import'!R8</f>
        <v>Sortie</v>
      </c>
      <c r="D8" s="48">
        <f>'02_Bitrequest_import'!Q8</f>
        <v>0.25</v>
      </c>
      <c r="E8" s="48">
        <f>'02_Bitrequest_import'!S8</f>
        <v>260</v>
      </c>
      <c r="F8" s="47">
        <f t="shared" ref="F8:F14" si="1">IF(C8="Entrée",F7+D8,IF(F7-D8&lt;0,0,F7-D8))</f>
        <v>0.15000000000000002</v>
      </c>
      <c r="G8" s="168">
        <f t="shared" ref="G8:G14" si="2">IF(C8="Entrée", IF(F7=0,E8, (F7*G7+D8*E8)/(F7+D8)),
                        G7)</f>
        <v>151.875</v>
      </c>
      <c r="H8" s="168">
        <f>IF(C8="Sortie",D8*G8,"")</f>
        <v>37.96875</v>
      </c>
      <c r="I8" s="10"/>
    </row>
    <row r="9" spans="2:20" x14ac:dyDescent="0.3">
      <c r="B9" s="185">
        <f>IF('02_Bitrequest_import'!P9&lt;&gt;"",'02_Bitrequest_import'!P9,"")</f>
        <v>45337</v>
      </c>
      <c r="C9" s="21" t="str">
        <f>'02_Bitrequest_import'!R9</f>
        <v>Entrée</v>
      </c>
      <c r="D9" s="48">
        <f>'02_Bitrequest_import'!Q9</f>
        <v>0.3</v>
      </c>
      <c r="E9" s="48">
        <f>'02_Bitrequest_import'!S9</f>
        <v>270</v>
      </c>
      <c r="F9" s="47">
        <f t="shared" si="1"/>
        <v>0.45</v>
      </c>
      <c r="G9" s="168">
        <f t="shared" si="2"/>
        <v>230.625</v>
      </c>
      <c r="H9" s="168" t="str">
        <f t="shared" ref="H9:H14" si="3">IF(C9="Sortie",D9*G9,"")</f>
        <v/>
      </c>
      <c r="I9" s="10"/>
    </row>
    <row r="10" spans="2:20" x14ac:dyDescent="0.3">
      <c r="B10" s="185">
        <f>IF('02_Bitrequest_import'!P10&lt;&gt;"",'02_Bitrequest_import'!P10,"")</f>
        <v>45358</v>
      </c>
      <c r="C10" s="21" t="str">
        <f>'02_Bitrequest_import'!R10</f>
        <v>Sortie</v>
      </c>
      <c r="D10" s="48">
        <f>'02_Bitrequest_import'!Q10</f>
        <v>0.08</v>
      </c>
      <c r="E10" s="48">
        <f>'02_Bitrequest_import'!S10</f>
        <v>170</v>
      </c>
      <c r="F10" s="47">
        <f t="shared" si="1"/>
        <v>0.37</v>
      </c>
      <c r="G10" s="168">
        <f t="shared" si="2"/>
        <v>230.625</v>
      </c>
      <c r="H10" s="168">
        <f t="shared" si="3"/>
        <v>18.45</v>
      </c>
      <c r="I10" s="10"/>
    </row>
    <row r="11" spans="2:20" x14ac:dyDescent="0.3">
      <c r="B11" s="185">
        <f>IF('02_Bitrequest_import'!P11&lt;&gt;"",'02_Bitrequest_import'!P11,"")</f>
        <v>45383</v>
      </c>
      <c r="C11" s="21" t="str">
        <f>'02_Bitrequest_import'!R11</f>
        <v>Sortie</v>
      </c>
      <c r="D11" s="48">
        <f>'02_Bitrequest_import'!Q11</f>
        <v>0.01</v>
      </c>
      <c r="E11" s="48">
        <f>'02_Bitrequest_import'!S11</f>
        <v>150</v>
      </c>
      <c r="F11" s="47">
        <f t="shared" si="1"/>
        <v>0.36</v>
      </c>
      <c r="G11" s="168">
        <f t="shared" si="2"/>
        <v>230.625</v>
      </c>
      <c r="H11" s="168">
        <f t="shared" si="3"/>
        <v>2.3062499999999999</v>
      </c>
      <c r="I11" s="10"/>
    </row>
    <row r="12" spans="2:20" x14ac:dyDescent="0.3">
      <c r="B12" s="185">
        <f>IF('02_Bitrequest_import'!P12&lt;&gt;"",'02_Bitrequest_import'!P12,"")</f>
        <v>45432</v>
      </c>
      <c r="C12" s="21" t="str">
        <f>'02_Bitrequest_import'!R12</f>
        <v>Entrée</v>
      </c>
      <c r="D12" s="48">
        <f>'02_Bitrequest_import'!Q12</f>
        <v>0.02</v>
      </c>
      <c r="E12" s="48">
        <f>'02_Bitrequest_import'!S12</f>
        <v>20</v>
      </c>
      <c r="F12" s="47">
        <f t="shared" si="1"/>
        <v>0.38</v>
      </c>
      <c r="G12" s="168">
        <f t="shared" si="2"/>
        <v>219.53947368421052</v>
      </c>
      <c r="H12" s="168" t="str">
        <f t="shared" si="3"/>
        <v/>
      </c>
      <c r="I12" s="10"/>
    </row>
    <row r="13" spans="2:20" x14ac:dyDescent="0.3">
      <c r="B13" s="185">
        <f>IF('02_Bitrequest_import'!P13&lt;&gt;"",'02_Bitrequest_import'!P13,"")</f>
        <v>45560</v>
      </c>
      <c r="C13" s="21" t="str">
        <f>'02_Bitrequest_import'!R13</f>
        <v>Sortie</v>
      </c>
      <c r="D13" s="48">
        <f>'02_Bitrequest_import'!Q13</f>
        <v>0.15</v>
      </c>
      <c r="E13" s="48">
        <f>'02_Bitrequest_import'!S13</f>
        <v>333.33333333333337</v>
      </c>
      <c r="F13" s="47">
        <f t="shared" si="1"/>
        <v>0.23</v>
      </c>
      <c r="G13" s="168">
        <f t="shared" si="2"/>
        <v>219.53947368421052</v>
      </c>
      <c r="H13" s="168">
        <f t="shared" si="3"/>
        <v>32.930921052631575</v>
      </c>
      <c r="I13" s="10"/>
    </row>
    <row r="14" spans="2:20" x14ac:dyDescent="0.3">
      <c r="B14" s="185">
        <f>IF('02_Bitrequest_import'!P14&lt;&gt;"",'02_Bitrequest_import'!P14,"")</f>
        <v>45561</v>
      </c>
      <c r="C14" s="21" t="str">
        <f>'02_Bitrequest_import'!R14</f>
        <v>Sortie</v>
      </c>
      <c r="D14" s="48">
        <f>'02_Bitrequest_import'!Q14</f>
        <v>0.06</v>
      </c>
      <c r="E14" s="48">
        <f>'02_Bitrequest_import'!S14</f>
        <v>343.33333333333337</v>
      </c>
      <c r="F14" s="47">
        <f t="shared" si="1"/>
        <v>0.17</v>
      </c>
      <c r="G14" s="168">
        <f t="shared" si="2"/>
        <v>219.53947368421052</v>
      </c>
      <c r="H14" s="168">
        <f t="shared" si="3"/>
        <v>13.172368421052632</v>
      </c>
      <c r="I14" s="10"/>
    </row>
    <row r="15" spans="2:20" x14ac:dyDescent="0.3">
      <c r="B15" s="185" t="str">
        <f>IF('02_Bitrequest_import'!P15&lt;&gt;"",'02_Bitrequest_import'!P15,"")</f>
        <v/>
      </c>
      <c r="C15" s="21">
        <f>'02_Bitrequest_import'!R15</f>
        <v>0</v>
      </c>
      <c r="D15" s="48">
        <f>'02_Bitrequest_import'!Q15</f>
        <v>0</v>
      </c>
      <c r="E15" s="48">
        <f>'02_Bitrequest_import'!S15</f>
        <v>0</v>
      </c>
      <c r="F15" s="47">
        <f t="shared" ref="F15:F17" si="4">IF(C15="Entrée",F14+D15,IF(F14-D15&lt;0,0,F14-D15))</f>
        <v>0.17</v>
      </c>
      <c r="G15" s="168">
        <f t="shared" ref="G15:G17" si="5">IF(C15="Entrée", IF(F14=0,E15, (F14*G14+D15*E15)/(F14+D15)),
                        G14)</f>
        <v>219.53947368421052</v>
      </c>
      <c r="H15" s="168" t="str">
        <f t="shared" ref="H15:H17" si="6">IF(C15="Sortie",D15*G15,"")</f>
        <v/>
      </c>
      <c r="I15" s="10"/>
    </row>
    <row r="16" spans="2:20" x14ac:dyDescent="0.3">
      <c r="B16" s="185" t="str">
        <f>IF('02_Bitrequest_import'!P16&lt;&gt;"",'02_Bitrequest_import'!P16,"")</f>
        <v/>
      </c>
      <c r="C16" s="21">
        <f>'02_Bitrequest_import'!R16</f>
        <v>0</v>
      </c>
      <c r="D16" s="48">
        <f>'02_Bitrequest_import'!Q16</f>
        <v>0</v>
      </c>
      <c r="E16" s="48">
        <f>'02_Bitrequest_import'!S16</f>
        <v>0</v>
      </c>
      <c r="F16" s="47">
        <f t="shared" si="4"/>
        <v>0.17</v>
      </c>
      <c r="G16" s="168">
        <f t="shared" si="5"/>
        <v>219.53947368421052</v>
      </c>
      <c r="H16" s="168" t="str">
        <f t="shared" si="6"/>
        <v/>
      </c>
      <c r="I16" s="10"/>
    </row>
    <row r="17" spans="2:9" x14ac:dyDescent="0.3">
      <c r="B17" s="185" t="str">
        <f>IF('02_Bitrequest_import'!P17&lt;&gt;"",'02_Bitrequest_import'!P17,"")</f>
        <v/>
      </c>
      <c r="C17" s="21">
        <f>'02_Bitrequest_import'!R17</f>
        <v>0</v>
      </c>
      <c r="D17" s="48">
        <f>'02_Bitrequest_import'!Q17</f>
        <v>0</v>
      </c>
      <c r="E17" s="48">
        <f>'02_Bitrequest_import'!S17</f>
        <v>0</v>
      </c>
      <c r="F17" s="47">
        <f t="shared" si="4"/>
        <v>0.17</v>
      </c>
      <c r="G17" s="168">
        <f t="shared" si="5"/>
        <v>219.53947368421052</v>
      </c>
      <c r="H17" s="168" t="str">
        <f t="shared" si="6"/>
        <v/>
      </c>
      <c r="I17" s="10"/>
    </row>
    <row r="18" spans="2:9" x14ac:dyDescent="0.3">
      <c r="B18" s="185"/>
      <c r="C18" s="21"/>
      <c r="D18" s="48"/>
      <c r="E18" s="48"/>
      <c r="F18" s="47"/>
      <c r="G18" s="168"/>
      <c r="H18" s="168"/>
      <c r="I18" s="10"/>
    </row>
    <row r="24" spans="2:9" x14ac:dyDescent="0.3">
      <c r="B24" s="46"/>
      <c r="C24" s="46"/>
      <c r="D24" s="46"/>
      <c r="E24" s="46"/>
      <c r="F24" s="46"/>
      <c r="G24" s="46"/>
      <c r="H24" s="46"/>
    </row>
    <row r="26" spans="2:9" x14ac:dyDescent="0.3">
      <c r="B26" s="8"/>
      <c r="G26" s="6"/>
      <c r="H26" s="6"/>
    </row>
  </sheetData>
  <conditionalFormatting sqref="C6:C18">
    <cfRule type="cellIs" dxfId="1" priority="1" operator="equal">
      <formula>"Entrée"</formula>
    </cfRule>
    <cfRule type="cellIs" dxfId="0" priority="2" operator="equal">
      <formula>"Sortie"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BE93-FC00-4A9F-8326-BBC48D6E9877}">
  <dimension ref="A1:E23"/>
  <sheetViews>
    <sheetView workbookViewId="0">
      <selection activeCell="C31" sqref="C31"/>
    </sheetView>
  </sheetViews>
  <sheetFormatPr baseColWidth="10" defaultRowHeight="14.4" x14ac:dyDescent="0.3"/>
  <cols>
    <col min="1" max="1" width="38.8984375" customWidth="1"/>
    <col min="2" max="2" width="42.296875" customWidth="1"/>
    <col min="3" max="3" width="47.09765625" customWidth="1"/>
    <col min="4" max="4" width="16.69921875" bestFit="1" customWidth="1"/>
    <col min="5" max="5" width="61.59765625" bestFit="1" customWidth="1"/>
  </cols>
  <sheetData>
    <row r="1" spans="1:5" x14ac:dyDescent="0.3">
      <c r="A1" s="18" t="s">
        <v>91</v>
      </c>
      <c r="B1" s="13"/>
      <c r="C1" s="13" t="s">
        <v>12</v>
      </c>
      <c r="D1" s="13" t="s">
        <v>12</v>
      </c>
      <c r="E1" s="14" t="s">
        <v>12</v>
      </c>
    </row>
    <row r="2" spans="1:5" x14ac:dyDescent="0.3">
      <c r="A2" s="15" t="s">
        <v>12</v>
      </c>
      <c r="B2" s="16" t="s">
        <v>12</v>
      </c>
      <c r="C2" s="16" t="s">
        <v>12</v>
      </c>
      <c r="D2" s="16" t="s">
        <v>12</v>
      </c>
      <c r="E2" s="17" t="s">
        <v>12</v>
      </c>
    </row>
    <row r="3" spans="1:5" x14ac:dyDescent="0.3">
      <c r="A3" s="18" t="s">
        <v>118</v>
      </c>
      <c r="B3" s="19" t="s">
        <v>93</v>
      </c>
      <c r="C3" s="19" t="s">
        <v>94</v>
      </c>
      <c r="D3" s="19" t="s">
        <v>95</v>
      </c>
      <c r="E3" s="20" t="s">
        <v>119</v>
      </c>
    </row>
    <row r="4" spans="1:5" x14ac:dyDescent="0.3">
      <c r="A4" s="15" t="s">
        <v>96</v>
      </c>
      <c r="B4" s="16" t="s">
        <v>61</v>
      </c>
      <c r="C4" s="16" t="s">
        <v>61</v>
      </c>
      <c r="D4" s="16" t="s">
        <v>61</v>
      </c>
      <c r="E4" s="17" t="s">
        <v>61</v>
      </c>
    </row>
    <row r="5" spans="1:5" x14ac:dyDescent="0.3">
      <c r="A5" s="12" t="s">
        <v>120</v>
      </c>
      <c r="B5" s="13" t="s">
        <v>158</v>
      </c>
      <c r="C5" s="13" t="s">
        <v>61</v>
      </c>
      <c r="D5" s="13" t="s">
        <v>12</v>
      </c>
      <c r="E5" s="14" t="s">
        <v>159</v>
      </c>
    </row>
    <row r="6" spans="1:5" x14ac:dyDescent="0.3">
      <c r="A6" s="15" t="s">
        <v>121</v>
      </c>
      <c r="B6" s="16" t="s">
        <v>61</v>
      </c>
      <c r="C6" s="16" t="s">
        <v>160</v>
      </c>
      <c r="D6" s="16" t="s">
        <v>12</v>
      </c>
      <c r="E6" s="17" t="s">
        <v>161</v>
      </c>
    </row>
    <row r="7" spans="1:5" x14ac:dyDescent="0.3">
      <c r="A7" s="12" t="s">
        <v>97</v>
      </c>
      <c r="B7" s="13" t="s">
        <v>122</v>
      </c>
      <c r="C7" s="13" t="s">
        <v>123</v>
      </c>
      <c r="D7" s="13" t="e">
        <f>B5-C5</f>
        <v>#VALUE!</v>
      </c>
      <c r="E7" s="14" t="s">
        <v>124</v>
      </c>
    </row>
    <row r="8" spans="1:5" x14ac:dyDescent="0.3">
      <c r="A8" s="15" t="s">
        <v>12</v>
      </c>
      <c r="B8" s="16" t="s">
        <v>12</v>
      </c>
      <c r="C8" s="16" t="s">
        <v>12</v>
      </c>
      <c r="D8" s="16" t="s">
        <v>12</v>
      </c>
      <c r="E8" s="17" t="s">
        <v>12</v>
      </c>
    </row>
    <row r="9" spans="1:5" x14ac:dyDescent="0.3">
      <c r="A9" s="18" t="s">
        <v>98</v>
      </c>
      <c r="B9" s="19" t="s">
        <v>125</v>
      </c>
      <c r="C9" s="19" t="s">
        <v>126</v>
      </c>
      <c r="D9" s="19" t="s">
        <v>127</v>
      </c>
      <c r="E9" s="20" t="s">
        <v>128</v>
      </c>
    </row>
    <row r="10" spans="1:5" x14ac:dyDescent="0.3">
      <c r="A10" s="15" t="s">
        <v>129</v>
      </c>
      <c r="B10" s="16" t="s">
        <v>162</v>
      </c>
      <c r="C10" s="16" t="s">
        <v>12</v>
      </c>
      <c r="D10" s="16" t="s">
        <v>12</v>
      </c>
      <c r="E10" s="17" t="s">
        <v>12</v>
      </c>
    </row>
    <row r="11" spans="1:5" x14ac:dyDescent="0.3">
      <c r="A11" s="12" t="s">
        <v>130</v>
      </c>
      <c r="B11" s="13" t="s">
        <v>12</v>
      </c>
      <c r="C11" s="13" t="s">
        <v>163</v>
      </c>
      <c r="D11" s="13" t="s">
        <v>12</v>
      </c>
      <c r="E11" s="14" t="s">
        <v>12</v>
      </c>
    </row>
    <row r="12" spans="1:5" x14ac:dyDescent="0.3">
      <c r="A12" s="15" t="s">
        <v>102</v>
      </c>
      <c r="B12" s="16" t="s">
        <v>164</v>
      </c>
      <c r="C12" s="16" t="s">
        <v>12</v>
      </c>
      <c r="D12" s="16" t="s">
        <v>12</v>
      </c>
      <c r="E12" s="17" t="s">
        <v>12</v>
      </c>
    </row>
    <row r="13" spans="1:5" x14ac:dyDescent="0.3">
      <c r="A13" s="12" t="s">
        <v>131</v>
      </c>
      <c r="B13" s="13" t="s">
        <v>12</v>
      </c>
      <c r="C13" s="13" t="s">
        <v>12</v>
      </c>
      <c r="D13" s="13" t="s">
        <v>132</v>
      </c>
      <c r="E13" s="14" t="s">
        <v>133</v>
      </c>
    </row>
    <row r="14" spans="1:5" x14ac:dyDescent="0.3">
      <c r="A14" s="15" t="s">
        <v>12</v>
      </c>
      <c r="B14" s="16" t="s">
        <v>12</v>
      </c>
      <c r="C14" s="16" t="s">
        <v>12</v>
      </c>
      <c r="D14" s="16" t="s">
        <v>12</v>
      </c>
      <c r="E14" s="17" t="s">
        <v>12</v>
      </c>
    </row>
    <row r="15" spans="1:5" x14ac:dyDescent="0.3">
      <c r="A15" s="18" t="s">
        <v>134</v>
      </c>
      <c r="B15" s="19" t="s">
        <v>135</v>
      </c>
      <c r="C15" s="19" t="s">
        <v>136</v>
      </c>
      <c r="D15" s="19" t="s">
        <v>137</v>
      </c>
      <c r="E15" s="20" t="s">
        <v>138</v>
      </c>
    </row>
    <row r="16" spans="1:5" x14ac:dyDescent="0.3">
      <c r="A16" s="15" t="s">
        <v>139</v>
      </c>
      <c r="B16" s="16" t="s">
        <v>140</v>
      </c>
      <c r="C16" s="16" t="s">
        <v>141</v>
      </c>
      <c r="D16" s="16" t="s">
        <v>142</v>
      </c>
      <c r="E16" s="17" t="e">
        <f>(C14-AVERAGE('02_Bitrequest_import'!E:E))/AVERAGE('02_Bitrequest_import'!E:E)</f>
        <v>#VALUE!</v>
      </c>
    </row>
    <row r="17" spans="1:5" x14ac:dyDescent="0.3">
      <c r="A17" s="12" t="s">
        <v>143</v>
      </c>
      <c r="B17" s="13" t="s">
        <v>144</v>
      </c>
      <c r="C17" s="13" t="s">
        <v>145</v>
      </c>
      <c r="D17" s="13" t="s">
        <v>146</v>
      </c>
      <c r="E17" s="14" t="s">
        <v>12</v>
      </c>
    </row>
    <row r="18" spans="1:5" x14ac:dyDescent="0.3">
      <c r="A18" s="15" t="s">
        <v>12</v>
      </c>
      <c r="B18" s="16" t="s">
        <v>12</v>
      </c>
      <c r="C18" s="16" t="s">
        <v>12</v>
      </c>
      <c r="D18" s="16" t="s">
        <v>12</v>
      </c>
      <c r="E18" s="17" t="s">
        <v>12</v>
      </c>
    </row>
    <row r="19" spans="1:5" x14ac:dyDescent="0.3">
      <c r="A19" s="18" t="s">
        <v>147</v>
      </c>
      <c r="B19" s="19" t="s">
        <v>99</v>
      </c>
      <c r="C19" s="19" t="s">
        <v>109</v>
      </c>
      <c r="D19" s="19" t="s">
        <v>60</v>
      </c>
      <c r="E19" s="14" t="s">
        <v>12</v>
      </c>
    </row>
    <row r="20" spans="1:5" x14ac:dyDescent="0.3">
      <c r="A20" s="15" t="s">
        <v>148</v>
      </c>
      <c r="B20" s="16" t="s">
        <v>110</v>
      </c>
      <c r="C20" s="16" t="s">
        <v>12</v>
      </c>
      <c r="D20" s="16" t="s">
        <v>149</v>
      </c>
      <c r="E20" s="17" t="s">
        <v>12</v>
      </c>
    </row>
    <row r="21" spans="1:5" x14ac:dyDescent="0.3">
      <c r="A21" s="12" t="s">
        <v>150</v>
      </c>
      <c r="B21" s="13" t="s">
        <v>151</v>
      </c>
      <c r="C21" s="13" t="s">
        <v>12</v>
      </c>
      <c r="D21" s="13" t="s">
        <v>152</v>
      </c>
      <c r="E21" s="14" t="s">
        <v>12</v>
      </c>
    </row>
    <row r="22" spans="1:5" x14ac:dyDescent="0.3">
      <c r="A22" s="15" t="s">
        <v>111</v>
      </c>
      <c r="B22" s="16" t="s">
        <v>153</v>
      </c>
      <c r="C22" s="16" t="s">
        <v>12</v>
      </c>
      <c r="D22" s="16" t="s">
        <v>154</v>
      </c>
      <c r="E22" s="17" t="s">
        <v>12</v>
      </c>
    </row>
    <row r="23" spans="1:5" x14ac:dyDescent="0.3">
      <c r="A23" s="22" t="s">
        <v>155</v>
      </c>
      <c r="B23" s="23" t="s">
        <v>156</v>
      </c>
      <c r="C23" s="23" t="s">
        <v>12</v>
      </c>
      <c r="D23" s="23" t="s">
        <v>157</v>
      </c>
      <c r="E23" s="24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J g l W u / T Q n y l A A A A 9 g A A A B I A H A B D b 2 5 m a W c v U G F j a 2 F n Z S 5 4 b W w g o h g A K K A U A A A A A A A A A A A A A A A A A A A A A A A A A A A A h Y + 9 D o I w G E V f h X S n P 7 A Q 8 l E G E y d J j C b G l Z Q C j V B M W y z v 5 u A j + Q p i F H V z v O e e 4 d 7 7 9 Q b 5 1 H f B R R q r B p 0 h h i k K p B Z D p X S T o d H V Y Y J y D t t S n M p G B r O s b T r Z K k O t c + e U E O 8 9 9 j E e T E M i S h k 5 F p u 9 a G V f o o + s / s u h 0 t a V W k j E 4 f A a w y P M 4 g S z h G I K Z I F Q K P 0 V o n n v s / 2 B s B o 7 N x r J a x O u d 0 C W C O T 9 g T 8 A U E s D B B Q A A g A I A B C Y J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m C V a K I p H u A 4 A A A A R A A A A E w A c A E Z v c m 1 1 b G F z L 1 N l Y 3 R p b 2 4 x L m 0 g o h g A K K A U A A A A A A A A A A A A A A A A A A A A A A A A A A A A K 0 5 N L s n M z 1 M I h t C G 1 g B Q S w E C L Q A U A A I A C A A Q m C V a 7 9 N C f K U A A A D 2 A A A A E g A A A A A A A A A A A A A A A A A A A A A A Q 2 9 u Z m l n L 1 B h Y 2 t h Z 2 U u e G 1 s U E s B A i 0 A F A A C A A g A E J g l W g / K 6 a u k A A A A 6 Q A A A B M A A A A A A A A A A A A A A A A A 8 Q A A A F t D b 2 5 0 Z W 5 0 X 1 R 5 c G V z X S 5 4 b W x Q S w E C L Q A U A A I A C A A Q m C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J i j T x 2 r d E + z C X l g Q I k m O w A A A A A C A A A A A A A Q Z g A A A A E A A C A A A A B M I O A M C g R 0 R e p d U J w p 7 W T c V U t i r 9 j p k 5 r q s t W B b c c m K g A A A A A O g A A A A A I A A C A A A A A h r N H n m 0 L f P a U r 5 2 c S 4 Q G E X C p B d v q X Z v u r t W K F X R G 7 Z V A A A A A 1 S p z 2 O O o m N J F H O K F 5 r x i I n B G S F n K x S G t k I J p y h Q 0 X f x Z 9 X e D p P E q b Y V j w O u t j 7 t A k K M 1 A T x V F d P C I 3 n b z Z 4 N F 2 b P g G U I P 0 L g W C 2 / 6 W 3 t n 7 k A A A A A i w Y h M A + 6 d D F W B B z Y g Z 0 J R 9 R V H n B b 6 v z G c 0 m h Q 3 o N D z b m Y Z u q O J L m h 7 D i F i c o L M V k V m o 8 T Y h R w n i y N / j z 6 G r 7 A < / D a t a M a s h u p > 
</file>

<file path=customXml/itemProps1.xml><?xml version="1.0" encoding="utf-8"?>
<ds:datastoreItem xmlns:ds="http://schemas.openxmlformats.org/officeDocument/2006/customXml" ds:itemID="{0A7C31DC-2236-4A6D-A357-8238D2F1AF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01_Parametres</vt:lpstr>
      <vt:lpstr>Parametres (2) _sauv</vt:lpstr>
      <vt:lpstr>02_Bitrequest_import</vt:lpstr>
      <vt:lpstr>03_Tout_autre_wallet_import</vt:lpstr>
      <vt:lpstr>04_Resultats_Comptables</vt:lpstr>
      <vt:lpstr>Fichier_config</vt:lpstr>
      <vt:lpstr>CUMP_Calculs</vt:lpstr>
      <vt:lpstr>reporting-comptable-csv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A G</cp:lastModifiedBy>
  <dcterms:created xsi:type="dcterms:W3CDTF">2025-01-02T01:02:26Z</dcterms:created>
  <dcterms:modified xsi:type="dcterms:W3CDTF">2025-02-27T14:58:44Z</dcterms:modified>
</cp:coreProperties>
</file>