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Andrew\Desktop\test_crm\final\"/>
    </mc:Choice>
  </mc:AlternateContent>
  <xr:revisionPtr revIDLastSave="0" documentId="13_ncr:1_{07F8D92C-27EE-4652-9F9B-5DAB1220C73A}" xr6:coauthVersionLast="45" xr6:coauthVersionMax="45" xr10:uidLastSave="{00000000-0000-0000-0000-000000000000}"/>
  <bookViews>
    <workbookView xWindow="15" yWindow="15" windowWidth="51585" windowHeight="20985" firstSheet="1" activeTab="3" xr2:uid="{00000000-000D-0000-FFFF-FFFF00000000}"/>
  </bookViews>
  <sheets>
    <sheet name="metrics_visual" sheetId="8" state="hidden" r:id="rId1"/>
    <sheet name="Data" sheetId="1" r:id="rId2"/>
    <sheet name="Metrics_pivot" sheetId="5" r:id="rId3"/>
    <sheet name="Links" sheetId="9" r:id="rId4"/>
    <sheet name="Месяца сортировка" sheetId="2" state="hidden" r:id="rId5"/>
    <sheet name="Дни недели сортировка" sheetId="3" state="hidden" r:id="rId6"/>
  </sheets>
  <definedNames>
    <definedName name="Z_00CCCFE6_7FFA_4D9C_AD0C_EA7C329A05EF_.wvu.FilterData" localSheetId="1" hidden="1">Data!$A$1:$S$219</definedName>
    <definedName name="Z_0258331E_7ECB_4D6A_B928_AFEBEDB7E4E1_.wvu.FilterData" localSheetId="1" hidden="1">Data!$A$1:$S$219</definedName>
    <definedName name="Z_03672B82_03D3_432C_910D_1D5ECD70ECBF_.wvu.FilterData" localSheetId="1" hidden="1">Data!$A$1:$X$219</definedName>
    <definedName name="Z_043F4A28_A3DD_455E_8CBA_99197A4F5B8B_.wvu.FilterData" localSheetId="1" hidden="1">Data!$A$1:$S$219</definedName>
    <definedName name="Z_092BCFB9_115D_41D4_B20A_1926C5166D96_.wvu.FilterData" localSheetId="1" hidden="1">Data!$A$1:$S$219</definedName>
    <definedName name="Z_0C8A89AA_0C4D_49A9_844B_473417406576_.wvu.FilterData" localSheetId="1" hidden="1">Data!$A$1:$S$219</definedName>
    <definedName name="Z_0E7D16DD_A44D_40F9_9565_10E603EE83A1_.wvu.FilterData" localSheetId="1" hidden="1">Data!$A$1:$S$219</definedName>
    <definedName name="Z_124C580C_38A6_4FF5_A5F5_3D5BD263D3A8_.wvu.FilterData" localSheetId="1" hidden="1">Data!$A$1:$S$219</definedName>
    <definedName name="Z_20AE1B03_B96A_46FD_BD5B_8263E936516C_.wvu.FilterData" localSheetId="1" hidden="1">Data!$A$1:$S$219</definedName>
    <definedName name="Z_2E41C70C_DCBD_495E_A824_1A771041EC01_.wvu.FilterData" localSheetId="1" hidden="1">Data!$A$1:$S$219</definedName>
    <definedName name="Z_34AEDDAA_AF04_4B7F_B2EE_306BFBCA00D7_.wvu.FilterData" localSheetId="1" hidden="1">Data!$A$1:$S$219</definedName>
    <definedName name="Z_35A42451_A673_4B96_9A68_064D161CE057_.wvu.FilterData" localSheetId="1" hidden="1">Data!$A$1:$S$219</definedName>
    <definedName name="Z_3F45AF3C_77F9_480D_9722_066480454646_.wvu.FilterData" localSheetId="1" hidden="1">Data!$A$1:$S$219</definedName>
    <definedName name="Z_4B87E1A6_6ADD_41EC_A34A_68AB5989838E_.wvu.FilterData" localSheetId="1" hidden="1">Data!$A$1:$S$219</definedName>
    <definedName name="Z_4B9CE673_E6F2_4C0B_8EC0_BA6ECA9CC970_.wvu.FilterData" localSheetId="1" hidden="1">Data!$A$1:$S$219</definedName>
    <definedName name="Z_4E16A070_7073_4B04_B749_4C4292F9C9D2_.wvu.FilterData" localSheetId="1" hidden="1">Data!$A$1:$S$219</definedName>
    <definedName name="Z_5170B0EC_7132_436F_9E89_07F2491332D6_.wvu.FilterData" localSheetId="1" hidden="1">Data!$A$1:$S$219</definedName>
    <definedName name="Z_5292F560_AB13_451D_9F7A_9ADF1FF7AB14_.wvu.FilterData" localSheetId="1" hidden="1">Data!$A$1:$S$219</definedName>
    <definedName name="Z_52EA6969_3D86_4CE5_A188_0480BDD546D2_.wvu.FilterData" localSheetId="1" hidden="1">Data!$A$1:$S$219</definedName>
    <definedName name="Z_57B501DE_0AD7_41CF_8194_FFE72DDF576E_.wvu.FilterData" localSheetId="1" hidden="1">Data!$A$1:$S$219</definedName>
    <definedName name="Z_658BAC51_2DE5_41C8_A953_896943262933_.wvu.FilterData" localSheetId="1" hidden="1">Data!$A$1:$S$219</definedName>
    <definedName name="Z_6DF14B10_6FC0_4C0C_9517_CC1BFA471BC7_.wvu.FilterData" localSheetId="1" hidden="1">Data!$A$1:$S$219</definedName>
    <definedName name="Z_7C2F10D5_7037_4126_9861_6E19E4120DCC_.wvu.FilterData" localSheetId="1" hidden="1">Data!$A$1:$S$219</definedName>
    <definedName name="Z_88FEEE72_AA08_40B3_80EC_11AE42CC4F0D_.wvu.FilterData" localSheetId="1" hidden="1">Data!$A$1:$X$219</definedName>
    <definedName name="Z_894F10CD_847C_4167_B88B_928DD65FE955_.wvu.FilterData" localSheetId="1" hidden="1">Data!$A$1:$S$219</definedName>
    <definedName name="Z_8AC55701_9041_4EB6_B5DF_70210057DAFD_.wvu.FilterData" localSheetId="1" hidden="1">Data!$A$1:$S$219</definedName>
    <definedName name="Z_A1C3445F_AEE2_47D4_BB40_FE02837709DB_.wvu.FilterData" localSheetId="1" hidden="1">Data!$A$1:$S$219</definedName>
    <definedName name="Z_A1FAF842_D83C_475B_A97E_145E6DB03C78_.wvu.FilterData" localSheetId="1" hidden="1">Data!$A$1:$S$219</definedName>
    <definedName name="Z_A3A23D5A_572C_461E_B7BD_FA388311E109_.wvu.FilterData" localSheetId="1" hidden="1">Data!$A$1:$S$219</definedName>
    <definedName name="Z_A760CBFB_125F_410E_9AB8_DD0998DB50E5_.wvu.FilterData" localSheetId="1" hidden="1">Data!$A$1:$S$219</definedName>
    <definedName name="Z_A7849417_6211_4326_9AE0_C5677FD603DD_.wvu.FilterData" localSheetId="1" hidden="1">Data!$A$1:$S$219</definedName>
    <definedName name="Z_A9C5A350_9B00_4D06_98DA_0FB8BB221C3E_.wvu.FilterData" localSheetId="1" hidden="1">Data!$A$1:$S$219</definedName>
    <definedName name="Z_B52162E0_A531_4E55_8D63_60A0DA76B9B0_.wvu.FilterData" localSheetId="1" hidden="1">Data!$A$1:$S$219</definedName>
    <definedName name="Z_C692D1D1_A478_487D_8928_F5EF588779ED_.wvu.FilterData" localSheetId="1" hidden="1">Data!$A$1:$X$219</definedName>
    <definedName name="Z_D088DE4B_4716_48C7_BBA3_27B0C00DC04A_.wvu.FilterData" localSheetId="1" hidden="1">Data!$A$1:$T$219</definedName>
    <definedName name="Z_D819D93A_BD6A_4EEC_8850_5FD96F364FE4_.wvu.FilterData" localSheetId="1" hidden="1">Data!$A$1:$S$219</definedName>
    <definedName name="Z_D9E86B28_FD11_4A5A_859D_E24BC59CC2D0_.wvu.FilterData" localSheetId="1" hidden="1">Data!$A$1:$S$219</definedName>
    <definedName name="Z_DAF9D2C6_2D36_4EBA_808D_D13BC96483FF_.wvu.FilterData" localSheetId="1" hidden="1">Data!$A$1:$S$219</definedName>
    <definedName name="Z_FC7574EC_3207_47D1_A5C1_C3FB70E7BF89_.wvu.FilterData" localSheetId="1" hidden="1">Data!$A$1:$S$219</definedName>
  </definedNames>
  <calcPr calcId="181029"/>
  <customWorkbookViews>
    <customWorkbookView name="Фильтр 40" guid="{FC7574EC-3207-47D1-A5C1-C3FB70E7BF89}" maximized="1" windowWidth="0" windowHeight="0" activeSheetId="0"/>
    <customWorkbookView name="Фильтр 20" guid="{4E16A070-7073-4B04-B749-4C4292F9C9D2}" maximized="1" windowWidth="0" windowHeight="0" activeSheetId="0"/>
    <customWorkbookView name="Фильтр 21" guid="{092BCFB9-115D-41D4-B20A-1926C5166D96}" maximized="1" windowWidth="0" windowHeight="0" activeSheetId="0"/>
    <customWorkbookView name="Фильтр 22" guid="{6DF14B10-6FC0-4C0C-9517-CC1BFA471BC7}" maximized="1" windowWidth="0" windowHeight="0" activeSheetId="0"/>
    <customWorkbookView name="Фильтр 23" guid="{5292F560-AB13-451D-9F7A-9ADF1FF7AB14}" maximized="1" windowWidth="0" windowHeight="0" activeSheetId="0"/>
    <customWorkbookView name="Фильтр 24" guid="{35A42451-A673-4B96-9A68-064D161CE057}" maximized="1" windowWidth="0" windowHeight="0" activeSheetId="0"/>
    <customWorkbookView name="Фильтр 36" guid="{2E41C70C-DCBD-495E-A824-1A771041EC01}" maximized="1" windowWidth="0" windowHeight="0" activeSheetId="0"/>
    <customWorkbookView name="Фильтр 14" guid="{4B9CE673-E6F2-4C0B-8EC0-BA6ECA9CC970}" maximized="1" windowWidth="0" windowHeight="0" activeSheetId="0"/>
    <customWorkbookView name="Фильтр 37" guid="{A1FAF842-D83C-475B-A97E-145E6DB03C78}" maximized="1" windowWidth="0" windowHeight="0" activeSheetId="0"/>
    <customWorkbookView name="Фильтр 15" guid="{658BAC51-2DE5-41C8-A953-896943262933}" maximized="1" windowWidth="0" windowHeight="0" activeSheetId="0"/>
    <customWorkbookView name="Фильтр 38" guid="{A3A23D5A-572C-461E-B7BD-FA388311E109}" maximized="1" windowWidth="0" windowHeight="0" activeSheetId="0"/>
    <customWorkbookView name="Фильтр 16" guid="{A7849417-6211-4326-9AE0-C5677FD603DD}" maximized="1" windowWidth="0" windowHeight="0" activeSheetId="0"/>
    <customWorkbookView name="Фильтр 39" guid="{52EA6969-3D86-4CE5-A188-0480BDD546D2}" maximized="1" windowWidth="0" windowHeight="0" activeSheetId="0"/>
    <customWorkbookView name="Фильтр 17" guid="{4B87E1A6-6ADD-41EC-A34A-68AB5989838E}" maximized="1" windowWidth="0" windowHeight="0" activeSheetId="0"/>
    <customWorkbookView name="Фильтр 18" guid="{0E7D16DD-A44D-40F9-9565-10E603EE83A1}" maximized="1" windowWidth="0" windowHeight="0" activeSheetId="0"/>
    <customWorkbookView name="Фильтр 19" guid="{5170B0EC-7132-436F-9E89-07F2491332D6}" maximized="1" windowWidth="0" windowHeight="0" activeSheetId="0"/>
    <customWorkbookView name="Фильтр 8" guid="{0C8A89AA-0C4D-49A9-844B-473417406576}" maximized="1" windowWidth="0" windowHeight="0" activeSheetId="0"/>
    <customWorkbookView name="Фильтр 7" guid="{8AC55701-9041-4EB6-B5DF-70210057DAFD}" maximized="1" windowWidth="0" windowHeight="0" activeSheetId="0"/>
    <customWorkbookView name="Фильтр 5" guid="{DAF9D2C6-2D36-4EBA-808D-D13BC96483FF}" maximized="1" windowWidth="0" windowHeight="0" activeSheetId="0"/>
    <customWorkbookView name="Фильтр 9" guid="{124C580C-38A6-4FF5-A5F5-3D5BD263D3A8}" maximized="1" windowWidth="0" windowHeight="0" activeSheetId="0"/>
    <customWorkbookView name="Фильтр 30" guid="{A9C5A350-9B00-4D06-98DA-0FB8BB221C3E}" maximized="1" windowWidth="0" windowHeight="0" activeSheetId="0"/>
    <customWorkbookView name="Фильтр 31" guid="{D9E86B28-FD11-4A5A-859D-E24BC59CC2D0}" maximized="1" windowWidth="0" windowHeight="0" activeSheetId="0"/>
    <customWorkbookView name="Фильтр 32" guid="{B52162E0-A531-4E55-8D63-60A0DA76B9B0}" maximized="1" windowWidth="0" windowHeight="0" activeSheetId="0"/>
    <customWorkbookView name="Фильтр 4" guid="{57B501DE-0AD7-41CF-8194-FFE72DDF576E}" maximized="1" windowWidth="0" windowHeight="0" activeSheetId="0"/>
    <customWorkbookView name="Фильтр 10" guid="{3F45AF3C-77F9-480D-9722-066480454646}" maximized="1" windowWidth="0" windowHeight="0" activeSheetId="0"/>
    <customWorkbookView name="Фильтр 33" guid="{A760CBFB-125F-410E-9AB8-DD0998DB50E5}" maximized="1" windowWidth="0" windowHeight="0" activeSheetId="0"/>
    <customWorkbookView name="Фильтр 11" guid="{0258331E-7ECB-4D6A-B928-AFEBEDB7E4E1}" maximized="1" windowWidth="0" windowHeight="0" activeSheetId="0"/>
    <customWorkbookView name="Фильтр 3" guid="{D819D93A-BD6A-4EEC-8850-5FD96F364FE4}" maximized="1" windowWidth="0" windowHeight="0" activeSheetId="0"/>
    <customWorkbookView name="Фильтр 2" guid="{D088DE4B-4716-48C7-BBA3-27B0C00DC04A}" maximized="1" windowWidth="0" windowHeight="0" activeSheetId="0"/>
    <customWorkbookView name="Фильтр 34" guid="{043F4A28-A3DD-455E-8CBA-99197A4F5B8B}" maximized="1" windowWidth="0" windowHeight="0" activeSheetId="0"/>
    <customWorkbookView name="Фильтр 12" guid="{C692D1D1-A478-487D-8928-F5EF588779ED}" maximized="1" windowWidth="0" windowHeight="0" activeSheetId="0"/>
    <customWorkbookView name="Фильтр 1" guid="{7C2F10D5-7037-4126-9861-6E19E4120DCC}" maximized="1" windowWidth="0" windowHeight="0" activeSheetId="0"/>
    <customWorkbookView name="Фильтр 13" guid="{03672B82-03D3-432C-910D-1D5ECD70ECBF}" maximized="1" windowWidth="0" windowHeight="0" activeSheetId="0"/>
    <customWorkbookView name="Фильтр 35" guid="{88FEEE72-AA08-40B3-80EC-11AE42CC4F0D}" maximized="1" windowWidth="0" windowHeight="0" activeSheetId="0"/>
    <customWorkbookView name="Фильтр 25" guid="{A1C3445F-AEE2-47D4-BB40-FE02837709DB}" maximized="1" windowWidth="0" windowHeight="0" activeSheetId="0"/>
    <customWorkbookView name="Фильтр 26" guid="{894F10CD-847C-4167-B88B-928DD65FE955}" maximized="1" windowWidth="0" windowHeight="0" activeSheetId="0"/>
    <customWorkbookView name="Фильтр 27" guid="{00CCCFE6-7FFA-4D9C-AD0C-EA7C329A05EF}" maximized="1" windowWidth="0" windowHeight="0" activeSheetId="0"/>
    <customWorkbookView name="Фильтр 28" guid="{34AEDDAA-AF04-4B7F-B2EE-306BFBCA00D7}" maximized="1" windowWidth="0" windowHeight="0" activeSheetId="0"/>
    <customWorkbookView name="Фильтр 29" guid="{20AE1B03-B96A-46FD-BD5B-8263E936516C}" maximized="1" windowWidth="0" windowHeight="0" activeSheetId="0"/>
  </customWorkbookViews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70" i="1" l="1"/>
  <c r="Z170" i="1"/>
  <c r="AA170" i="1"/>
  <c r="AB170" i="1"/>
  <c r="Y171" i="1"/>
  <c r="Z171" i="1"/>
  <c r="AA171" i="1"/>
  <c r="AB171" i="1"/>
  <c r="Y172" i="1"/>
  <c r="Z172" i="1"/>
  <c r="AA172" i="1"/>
  <c r="AB172" i="1"/>
  <c r="Y173" i="1"/>
  <c r="Z173" i="1"/>
  <c r="AA173" i="1"/>
  <c r="AB173" i="1"/>
  <c r="Y174" i="1"/>
  <c r="Z174" i="1"/>
  <c r="AA174" i="1"/>
  <c r="AB174" i="1"/>
  <c r="Y175" i="1"/>
  <c r="Z175" i="1"/>
  <c r="AA175" i="1"/>
  <c r="AB175" i="1"/>
  <c r="Y176" i="1"/>
  <c r="Z176" i="1"/>
  <c r="AA176" i="1"/>
  <c r="AB176" i="1"/>
  <c r="Y177" i="1"/>
  <c r="Z177" i="1"/>
  <c r="AA177" i="1"/>
  <c r="AB177" i="1"/>
  <c r="Y178" i="1"/>
  <c r="Z178" i="1"/>
  <c r="AA178" i="1"/>
  <c r="AB178" i="1"/>
  <c r="Y179" i="1"/>
  <c r="Z179" i="1"/>
  <c r="AA179" i="1"/>
  <c r="AB179" i="1"/>
  <c r="Y180" i="1"/>
  <c r="Z180" i="1"/>
  <c r="AA180" i="1"/>
  <c r="AB180" i="1"/>
  <c r="Y181" i="1"/>
  <c r="Z181" i="1"/>
  <c r="AA181" i="1"/>
  <c r="AB181" i="1"/>
  <c r="Y182" i="1"/>
  <c r="Z182" i="1"/>
  <c r="AA182" i="1"/>
  <c r="AB182" i="1"/>
  <c r="Y183" i="1"/>
  <c r="Z183" i="1"/>
  <c r="AA183" i="1"/>
  <c r="AB183" i="1"/>
  <c r="Y184" i="1"/>
  <c r="Z184" i="1"/>
  <c r="AA184" i="1"/>
  <c r="AB184" i="1"/>
  <c r="Y185" i="1"/>
  <c r="Z185" i="1"/>
  <c r="AA185" i="1"/>
  <c r="AB185" i="1"/>
  <c r="Y186" i="1"/>
  <c r="Z186" i="1"/>
  <c r="AA186" i="1"/>
  <c r="AB186" i="1"/>
  <c r="Y187" i="1"/>
  <c r="Z187" i="1"/>
  <c r="AA187" i="1"/>
  <c r="AB187" i="1"/>
  <c r="Y188" i="1"/>
  <c r="Z188" i="1"/>
  <c r="AA188" i="1"/>
  <c r="AB188" i="1"/>
  <c r="Y189" i="1"/>
  <c r="Z189" i="1"/>
  <c r="AA189" i="1"/>
  <c r="AB189" i="1"/>
  <c r="Y190" i="1"/>
  <c r="Z190" i="1"/>
  <c r="AA190" i="1"/>
  <c r="AB190" i="1"/>
  <c r="Y191" i="1"/>
  <c r="Z191" i="1"/>
  <c r="AA191" i="1"/>
  <c r="AB191" i="1"/>
  <c r="Y192" i="1"/>
  <c r="Z192" i="1"/>
  <c r="AA192" i="1"/>
  <c r="AB192" i="1"/>
  <c r="Y193" i="1"/>
  <c r="Z193" i="1"/>
  <c r="AA193" i="1"/>
  <c r="AB193" i="1"/>
  <c r="Y194" i="1"/>
  <c r="Z194" i="1"/>
  <c r="AA194" i="1"/>
  <c r="AB194" i="1"/>
  <c r="Y195" i="1"/>
  <c r="Z195" i="1"/>
  <c r="AA195" i="1"/>
  <c r="AB195" i="1"/>
  <c r="Y196" i="1"/>
  <c r="Z196" i="1"/>
  <c r="AA196" i="1"/>
  <c r="AB196" i="1"/>
  <c r="Y197" i="1"/>
  <c r="Z197" i="1"/>
  <c r="AA197" i="1"/>
  <c r="AB197" i="1"/>
  <c r="Y198" i="1"/>
  <c r="Z198" i="1"/>
  <c r="AA198" i="1"/>
  <c r="AB198" i="1"/>
  <c r="Y199" i="1"/>
  <c r="Z199" i="1"/>
  <c r="AA199" i="1"/>
  <c r="AB199" i="1"/>
  <c r="Y200" i="1"/>
  <c r="Z200" i="1"/>
  <c r="AA200" i="1"/>
  <c r="AB200" i="1"/>
  <c r="Y201" i="1"/>
  <c r="Z201" i="1"/>
  <c r="AA201" i="1"/>
  <c r="AB201" i="1"/>
  <c r="Y202" i="1"/>
  <c r="Z202" i="1"/>
  <c r="AA202" i="1"/>
  <c r="AB202" i="1"/>
  <c r="Y203" i="1"/>
  <c r="Z203" i="1"/>
  <c r="AA203" i="1"/>
  <c r="AB203" i="1"/>
  <c r="Y204" i="1"/>
  <c r="Z204" i="1"/>
  <c r="AA204" i="1"/>
  <c r="AB204" i="1"/>
  <c r="Y205" i="1"/>
  <c r="Z205" i="1"/>
  <c r="AA205" i="1"/>
  <c r="AB205" i="1"/>
  <c r="Y206" i="1"/>
  <c r="Z206" i="1"/>
  <c r="AA206" i="1"/>
  <c r="AB206" i="1"/>
  <c r="Y207" i="1"/>
  <c r="Z207" i="1"/>
  <c r="AA207" i="1"/>
  <c r="AB207" i="1"/>
  <c r="Y208" i="1"/>
  <c r="Z208" i="1"/>
  <c r="AA208" i="1"/>
  <c r="AB208" i="1"/>
  <c r="Y209" i="1"/>
  <c r="Z209" i="1"/>
  <c r="AA209" i="1"/>
  <c r="AB209" i="1"/>
  <c r="Y210" i="1"/>
  <c r="Z210" i="1"/>
  <c r="AA210" i="1"/>
  <c r="AB210" i="1"/>
  <c r="Y211" i="1"/>
  <c r="Z211" i="1"/>
  <c r="AA211" i="1"/>
  <c r="AB211" i="1"/>
  <c r="Y212" i="1"/>
  <c r="Z212" i="1"/>
  <c r="AA212" i="1"/>
  <c r="AB212" i="1"/>
  <c r="Y213" i="1"/>
  <c r="Z213" i="1"/>
  <c r="AA213" i="1"/>
  <c r="AB213" i="1"/>
  <c r="Y214" i="1"/>
  <c r="Z214" i="1"/>
  <c r="AA214" i="1"/>
  <c r="AB214" i="1"/>
  <c r="Y215" i="1"/>
  <c r="Z215" i="1"/>
  <c r="AA215" i="1"/>
  <c r="AB215" i="1"/>
  <c r="Y216" i="1"/>
  <c r="Z216" i="1"/>
  <c r="AA216" i="1"/>
  <c r="AB216" i="1"/>
  <c r="Y217" i="1"/>
  <c r="Z217" i="1"/>
  <c r="AA217" i="1"/>
  <c r="AB217" i="1"/>
  <c r="Y218" i="1"/>
  <c r="Z218" i="1"/>
  <c r="AA218" i="1"/>
  <c r="AB218" i="1"/>
  <c r="Y219" i="1"/>
  <c r="Z219" i="1"/>
  <c r="AA219" i="1"/>
  <c r="AB219" i="1"/>
  <c r="Y3" i="1"/>
  <c r="Z3" i="1"/>
  <c r="AA3" i="1"/>
  <c r="AB3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Y26" i="1"/>
  <c r="Z26" i="1"/>
  <c r="AA26" i="1"/>
  <c r="AB26" i="1"/>
  <c r="Y27" i="1"/>
  <c r="Z27" i="1"/>
  <c r="AA27" i="1"/>
  <c r="AB27" i="1"/>
  <c r="Y28" i="1"/>
  <c r="Z28" i="1"/>
  <c r="AA28" i="1"/>
  <c r="AB28" i="1"/>
  <c r="Y29" i="1"/>
  <c r="Z29" i="1"/>
  <c r="AA29" i="1"/>
  <c r="AB29" i="1"/>
  <c r="Y30" i="1"/>
  <c r="Z30" i="1"/>
  <c r="AA30" i="1"/>
  <c r="AB30" i="1"/>
  <c r="Y31" i="1"/>
  <c r="Z31" i="1"/>
  <c r="AA31" i="1"/>
  <c r="AB31" i="1"/>
  <c r="Y32" i="1"/>
  <c r="Z32" i="1"/>
  <c r="AA32" i="1"/>
  <c r="AB32" i="1"/>
  <c r="Y33" i="1"/>
  <c r="Z33" i="1"/>
  <c r="AA33" i="1"/>
  <c r="AB33" i="1"/>
  <c r="Y34" i="1"/>
  <c r="Z34" i="1"/>
  <c r="AA34" i="1"/>
  <c r="AB34" i="1"/>
  <c r="Y35" i="1"/>
  <c r="Z35" i="1"/>
  <c r="AA35" i="1"/>
  <c r="AB35" i="1"/>
  <c r="Y36" i="1"/>
  <c r="Z36" i="1"/>
  <c r="AA36" i="1"/>
  <c r="AB36" i="1"/>
  <c r="Y37" i="1"/>
  <c r="Z37" i="1"/>
  <c r="AA37" i="1"/>
  <c r="AB37" i="1"/>
  <c r="Y38" i="1"/>
  <c r="Z38" i="1"/>
  <c r="AA38" i="1"/>
  <c r="AB38" i="1"/>
  <c r="Y39" i="1"/>
  <c r="Z39" i="1"/>
  <c r="AA39" i="1"/>
  <c r="AB39" i="1"/>
  <c r="Y40" i="1"/>
  <c r="Z40" i="1"/>
  <c r="AA40" i="1"/>
  <c r="AB40" i="1"/>
  <c r="Y41" i="1"/>
  <c r="Z41" i="1"/>
  <c r="AA41" i="1"/>
  <c r="AB41" i="1"/>
  <c r="Y42" i="1"/>
  <c r="Z42" i="1"/>
  <c r="AA42" i="1"/>
  <c r="AB42" i="1"/>
  <c r="Y43" i="1"/>
  <c r="Z43" i="1"/>
  <c r="AA43" i="1"/>
  <c r="AB43" i="1"/>
  <c r="Y44" i="1"/>
  <c r="Z44" i="1"/>
  <c r="AA44" i="1"/>
  <c r="AB44" i="1"/>
  <c r="Y45" i="1"/>
  <c r="Z45" i="1"/>
  <c r="AA45" i="1"/>
  <c r="AB45" i="1"/>
  <c r="Y46" i="1"/>
  <c r="Z46" i="1"/>
  <c r="AA46" i="1"/>
  <c r="AB46" i="1"/>
  <c r="Y47" i="1"/>
  <c r="Z47" i="1"/>
  <c r="AA47" i="1"/>
  <c r="AB47" i="1"/>
  <c r="Y48" i="1"/>
  <c r="Z48" i="1"/>
  <c r="AA48" i="1"/>
  <c r="AB48" i="1"/>
  <c r="Y49" i="1"/>
  <c r="Z49" i="1"/>
  <c r="AA49" i="1"/>
  <c r="AB49" i="1"/>
  <c r="Y50" i="1"/>
  <c r="Z50" i="1"/>
  <c r="AA50" i="1"/>
  <c r="AB50" i="1"/>
  <c r="Y51" i="1"/>
  <c r="Z51" i="1"/>
  <c r="AA51" i="1"/>
  <c r="AB51" i="1"/>
  <c r="Y52" i="1"/>
  <c r="Z52" i="1"/>
  <c r="AA52" i="1"/>
  <c r="AB52" i="1"/>
  <c r="Y53" i="1"/>
  <c r="Z53" i="1"/>
  <c r="AA53" i="1"/>
  <c r="AB53" i="1"/>
  <c r="Y54" i="1"/>
  <c r="Z54" i="1"/>
  <c r="AA54" i="1"/>
  <c r="AB54" i="1"/>
  <c r="Y55" i="1"/>
  <c r="Z55" i="1"/>
  <c r="AA55" i="1"/>
  <c r="AB55" i="1"/>
  <c r="Y56" i="1"/>
  <c r="Z56" i="1"/>
  <c r="AA56" i="1"/>
  <c r="AB56" i="1"/>
  <c r="Y57" i="1"/>
  <c r="Z57" i="1"/>
  <c r="AA57" i="1"/>
  <c r="AB57" i="1"/>
  <c r="Y58" i="1"/>
  <c r="Z58" i="1"/>
  <c r="AA58" i="1"/>
  <c r="AB58" i="1"/>
  <c r="Y59" i="1"/>
  <c r="Z59" i="1"/>
  <c r="AA59" i="1"/>
  <c r="AB59" i="1"/>
  <c r="Y60" i="1"/>
  <c r="Z60" i="1"/>
  <c r="AA60" i="1"/>
  <c r="AB60" i="1"/>
  <c r="Y61" i="1"/>
  <c r="Z61" i="1"/>
  <c r="AA61" i="1"/>
  <c r="AB61" i="1"/>
  <c r="Y62" i="1"/>
  <c r="Z62" i="1"/>
  <c r="AA62" i="1"/>
  <c r="AB62" i="1"/>
  <c r="Y63" i="1"/>
  <c r="Z63" i="1"/>
  <c r="AA63" i="1"/>
  <c r="AB63" i="1"/>
  <c r="Y64" i="1"/>
  <c r="Z64" i="1"/>
  <c r="AA64" i="1"/>
  <c r="AB64" i="1"/>
  <c r="Y65" i="1"/>
  <c r="Z65" i="1"/>
  <c r="AA65" i="1"/>
  <c r="AB65" i="1"/>
  <c r="Y66" i="1"/>
  <c r="Z66" i="1"/>
  <c r="AA66" i="1"/>
  <c r="AB66" i="1"/>
  <c r="Y67" i="1"/>
  <c r="Z67" i="1"/>
  <c r="AA67" i="1"/>
  <c r="AB67" i="1"/>
  <c r="Y68" i="1"/>
  <c r="Z68" i="1"/>
  <c r="AA68" i="1"/>
  <c r="AB68" i="1"/>
  <c r="Y69" i="1"/>
  <c r="Z69" i="1"/>
  <c r="AA69" i="1"/>
  <c r="AB69" i="1"/>
  <c r="Y70" i="1"/>
  <c r="Z70" i="1"/>
  <c r="AA70" i="1"/>
  <c r="AB70" i="1"/>
  <c r="Y71" i="1"/>
  <c r="Z71" i="1"/>
  <c r="AA71" i="1"/>
  <c r="AB71" i="1"/>
  <c r="Y72" i="1"/>
  <c r="Z72" i="1"/>
  <c r="AA72" i="1"/>
  <c r="AB72" i="1"/>
  <c r="Y73" i="1"/>
  <c r="Z73" i="1"/>
  <c r="AA73" i="1"/>
  <c r="AB73" i="1"/>
  <c r="Y74" i="1"/>
  <c r="Z74" i="1"/>
  <c r="AA74" i="1"/>
  <c r="AB74" i="1"/>
  <c r="Y75" i="1"/>
  <c r="Z75" i="1"/>
  <c r="AA75" i="1"/>
  <c r="AB75" i="1"/>
  <c r="Y76" i="1"/>
  <c r="Z76" i="1"/>
  <c r="AA76" i="1"/>
  <c r="AB76" i="1"/>
  <c r="Y77" i="1"/>
  <c r="Z77" i="1"/>
  <c r="AA77" i="1"/>
  <c r="AB77" i="1"/>
  <c r="Y78" i="1"/>
  <c r="Z78" i="1"/>
  <c r="AA78" i="1"/>
  <c r="AB78" i="1"/>
  <c r="Y79" i="1"/>
  <c r="Z79" i="1"/>
  <c r="AA79" i="1"/>
  <c r="AB79" i="1"/>
  <c r="Y80" i="1"/>
  <c r="Z80" i="1"/>
  <c r="AA80" i="1"/>
  <c r="AB80" i="1"/>
  <c r="Y81" i="1"/>
  <c r="Z81" i="1"/>
  <c r="AA81" i="1"/>
  <c r="AB81" i="1"/>
  <c r="Y82" i="1"/>
  <c r="Z82" i="1"/>
  <c r="AA82" i="1"/>
  <c r="AB82" i="1"/>
  <c r="Y83" i="1"/>
  <c r="Z83" i="1"/>
  <c r="AA83" i="1"/>
  <c r="AB83" i="1"/>
  <c r="Y84" i="1"/>
  <c r="Z84" i="1"/>
  <c r="AA84" i="1"/>
  <c r="AB84" i="1"/>
  <c r="Y85" i="1"/>
  <c r="Z85" i="1"/>
  <c r="AA85" i="1"/>
  <c r="AB85" i="1"/>
  <c r="Y86" i="1"/>
  <c r="Z86" i="1"/>
  <c r="AA86" i="1"/>
  <c r="AB86" i="1"/>
  <c r="Y87" i="1"/>
  <c r="Z87" i="1"/>
  <c r="AA87" i="1"/>
  <c r="AB87" i="1"/>
  <c r="Y88" i="1"/>
  <c r="Z88" i="1"/>
  <c r="AA88" i="1"/>
  <c r="AB88" i="1"/>
  <c r="Y89" i="1"/>
  <c r="Z89" i="1"/>
  <c r="AA89" i="1"/>
  <c r="AB89" i="1"/>
  <c r="Y90" i="1"/>
  <c r="Z90" i="1"/>
  <c r="AA90" i="1"/>
  <c r="AB90" i="1"/>
  <c r="Y91" i="1"/>
  <c r="Z91" i="1"/>
  <c r="AA91" i="1"/>
  <c r="AB91" i="1"/>
  <c r="Y92" i="1"/>
  <c r="Z92" i="1"/>
  <c r="AA92" i="1"/>
  <c r="AB92" i="1"/>
  <c r="Y93" i="1"/>
  <c r="Z93" i="1"/>
  <c r="AA93" i="1"/>
  <c r="AB93" i="1"/>
  <c r="Y94" i="1"/>
  <c r="Z94" i="1"/>
  <c r="AA94" i="1"/>
  <c r="AB94" i="1"/>
  <c r="Y95" i="1"/>
  <c r="Z95" i="1"/>
  <c r="AA95" i="1"/>
  <c r="AB95" i="1"/>
  <c r="Y96" i="1"/>
  <c r="Z96" i="1"/>
  <c r="AA96" i="1"/>
  <c r="AB96" i="1"/>
  <c r="Y97" i="1"/>
  <c r="Z97" i="1"/>
  <c r="AA97" i="1"/>
  <c r="AB97" i="1"/>
  <c r="Y98" i="1"/>
  <c r="Z98" i="1"/>
  <c r="AA98" i="1"/>
  <c r="AB98" i="1"/>
  <c r="Y99" i="1"/>
  <c r="Z99" i="1"/>
  <c r="AA99" i="1"/>
  <c r="AB99" i="1"/>
  <c r="Y100" i="1"/>
  <c r="Z100" i="1"/>
  <c r="AA100" i="1"/>
  <c r="AB100" i="1"/>
  <c r="Y101" i="1"/>
  <c r="Z101" i="1"/>
  <c r="AA101" i="1"/>
  <c r="AB101" i="1"/>
  <c r="Y102" i="1"/>
  <c r="Z102" i="1"/>
  <c r="AA102" i="1"/>
  <c r="AB102" i="1"/>
  <c r="Y103" i="1"/>
  <c r="Z103" i="1"/>
  <c r="AA103" i="1"/>
  <c r="AB103" i="1"/>
  <c r="Y104" i="1"/>
  <c r="Z104" i="1"/>
  <c r="AA104" i="1"/>
  <c r="AB104" i="1"/>
  <c r="Y105" i="1"/>
  <c r="Z105" i="1"/>
  <c r="AA105" i="1"/>
  <c r="AB105" i="1"/>
  <c r="Y106" i="1"/>
  <c r="Z106" i="1"/>
  <c r="AA106" i="1"/>
  <c r="AB106" i="1"/>
  <c r="Y107" i="1"/>
  <c r="Z107" i="1"/>
  <c r="AA107" i="1"/>
  <c r="AB107" i="1"/>
  <c r="Y108" i="1"/>
  <c r="Z108" i="1"/>
  <c r="AA108" i="1"/>
  <c r="AB108" i="1"/>
  <c r="Y109" i="1"/>
  <c r="Z109" i="1"/>
  <c r="AA109" i="1"/>
  <c r="AB109" i="1"/>
  <c r="Y110" i="1"/>
  <c r="Z110" i="1"/>
  <c r="AA110" i="1"/>
  <c r="AB110" i="1"/>
  <c r="Y111" i="1"/>
  <c r="Z111" i="1"/>
  <c r="AA111" i="1"/>
  <c r="AB111" i="1"/>
  <c r="Y112" i="1"/>
  <c r="Z112" i="1"/>
  <c r="AA112" i="1"/>
  <c r="AB112" i="1"/>
  <c r="Y113" i="1"/>
  <c r="Z113" i="1"/>
  <c r="AA113" i="1"/>
  <c r="AB113" i="1"/>
  <c r="Y114" i="1"/>
  <c r="Z114" i="1"/>
  <c r="AA114" i="1"/>
  <c r="AB114" i="1"/>
  <c r="Y115" i="1"/>
  <c r="Z115" i="1"/>
  <c r="AA115" i="1"/>
  <c r="AB115" i="1"/>
  <c r="Y116" i="1"/>
  <c r="Z116" i="1"/>
  <c r="AA116" i="1"/>
  <c r="AB116" i="1"/>
  <c r="Y117" i="1"/>
  <c r="Z117" i="1"/>
  <c r="AA117" i="1"/>
  <c r="AB117" i="1"/>
  <c r="Y118" i="1"/>
  <c r="Z118" i="1"/>
  <c r="AA118" i="1"/>
  <c r="AB118" i="1"/>
  <c r="Y119" i="1"/>
  <c r="Z119" i="1"/>
  <c r="AA119" i="1"/>
  <c r="AB119" i="1"/>
  <c r="Y120" i="1"/>
  <c r="Z120" i="1"/>
  <c r="AA120" i="1"/>
  <c r="AB120" i="1"/>
  <c r="Y121" i="1"/>
  <c r="Z121" i="1"/>
  <c r="AA121" i="1"/>
  <c r="AB121" i="1"/>
  <c r="Y122" i="1"/>
  <c r="Z122" i="1"/>
  <c r="AA122" i="1"/>
  <c r="AB122" i="1"/>
  <c r="Y123" i="1"/>
  <c r="Z123" i="1"/>
  <c r="AA123" i="1"/>
  <c r="AB123" i="1"/>
  <c r="Y124" i="1"/>
  <c r="Z124" i="1"/>
  <c r="AA124" i="1"/>
  <c r="AB124" i="1"/>
  <c r="Y125" i="1"/>
  <c r="Z125" i="1"/>
  <c r="AA125" i="1"/>
  <c r="AB125" i="1"/>
  <c r="Y126" i="1"/>
  <c r="Z126" i="1"/>
  <c r="AA126" i="1"/>
  <c r="AB126" i="1"/>
  <c r="Y127" i="1"/>
  <c r="Z127" i="1"/>
  <c r="AA127" i="1"/>
  <c r="AB127" i="1"/>
  <c r="Y128" i="1"/>
  <c r="Z128" i="1"/>
  <c r="AA128" i="1"/>
  <c r="AB128" i="1"/>
  <c r="Y129" i="1"/>
  <c r="Z129" i="1"/>
  <c r="AA129" i="1"/>
  <c r="AB129" i="1"/>
  <c r="Y130" i="1"/>
  <c r="Z130" i="1"/>
  <c r="AA130" i="1"/>
  <c r="AB130" i="1"/>
  <c r="Y131" i="1"/>
  <c r="Z131" i="1"/>
  <c r="AA131" i="1"/>
  <c r="AB131" i="1"/>
  <c r="Y132" i="1"/>
  <c r="Z132" i="1"/>
  <c r="AA132" i="1"/>
  <c r="AB132" i="1"/>
  <c r="Y133" i="1"/>
  <c r="Z133" i="1"/>
  <c r="AA133" i="1"/>
  <c r="AB133" i="1"/>
  <c r="Y134" i="1"/>
  <c r="Z134" i="1"/>
  <c r="AA134" i="1"/>
  <c r="AB134" i="1"/>
  <c r="Y135" i="1"/>
  <c r="Z135" i="1"/>
  <c r="AA135" i="1"/>
  <c r="AB135" i="1"/>
  <c r="Y136" i="1"/>
  <c r="Z136" i="1"/>
  <c r="AA136" i="1"/>
  <c r="AB136" i="1"/>
  <c r="Y137" i="1"/>
  <c r="Z137" i="1"/>
  <c r="AA137" i="1"/>
  <c r="AB137" i="1"/>
  <c r="Y138" i="1"/>
  <c r="Z138" i="1"/>
  <c r="AA138" i="1"/>
  <c r="AB138" i="1"/>
  <c r="Y139" i="1"/>
  <c r="Z139" i="1"/>
  <c r="AA139" i="1"/>
  <c r="AB139" i="1"/>
  <c r="Y140" i="1"/>
  <c r="Z140" i="1"/>
  <c r="AA140" i="1"/>
  <c r="AB140" i="1"/>
  <c r="Y141" i="1"/>
  <c r="Z141" i="1"/>
  <c r="AA141" i="1"/>
  <c r="AB141" i="1"/>
  <c r="Y142" i="1"/>
  <c r="Z142" i="1"/>
  <c r="AA142" i="1"/>
  <c r="AB142" i="1"/>
  <c r="Y143" i="1"/>
  <c r="Z143" i="1"/>
  <c r="AA143" i="1"/>
  <c r="AB143" i="1"/>
  <c r="Y144" i="1"/>
  <c r="Z144" i="1"/>
  <c r="AA144" i="1"/>
  <c r="AB144" i="1"/>
  <c r="Y145" i="1"/>
  <c r="Z145" i="1"/>
  <c r="AA145" i="1"/>
  <c r="AB145" i="1"/>
  <c r="Y146" i="1"/>
  <c r="Z146" i="1"/>
  <c r="AA146" i="1"/>
  <c r="AB146" i="1"/>
  <c r="Y147" i="1"/>
  <c r="Z147" i="1"/>
  <c r="AA147" i="1"/>
  <c r="AB147" i="1"/>
  <c r="Y148" i="1"/>
  <c r="Z148" i="1"/>
  <c r="AA148" i="1"/>
  <c r="AB148" i="1"/>
  <c r="Y149" i="1"/>
  <c r="Z149" i="1"/>
  <c r="AA149" i="1"/>
  <c r="AB149" i="1"/>
  <c r="Y150" i="1"/>
  <c r="Z150" i="1"/>
  <c r="AA150" i="1"/>
  <c r="AB150" i="1"/>
  <c r="Y151" i="1"/>
  <c r="Z151" i="1"/>
  <c r="AA151" i="1"/>
  <c r="AB151" i="1"/>
  <c r="Y152" i="1"/>
  <c r="Z152" i="1"/>
  <c r="AA152" i="1"/>
  <c r="AB152" i="1"/>
  <c r="Y153" i="1"/>
  <c r="Z153" i="1"/>
  <c r="AA153" i="1"/>
  <c r="AB153" i="1"/>
  <c r="Y154" i="1"/>
  <c r="Z154" i="1"/>
  <c r="AA154" i="1"/>
  <c r="AB154" i="1"/>
  <c r="Y155" i="1"/>
  <c r="Z155" i="1"/>
  <c r="AA155" i="1"/>
  <c r="AB155" i="1"/>
  <c r="Y156" i="1"/>
  <c r="Z156" i="1"/>
  <c r="AA156" i="1"/>
  <c r="AB156" i="1"/>
  <c r="Y157" i="1"/>
  <c r="Z157" i="1"/>
  <c r="AA157" i="1"/>
  <c r="AB157" i="1"/>
  <c r="Y158" i="1"/>
  <c r="Z158" i="1"/>
  <c r="AA158" i="1"/>
  <c r="AB158" i="1"/>
  <c r="Y159" i="1"/>
  <c r="Z159" i="1"/>
  <c r="AA159" i="1"/>
  <c r="AB159" i="1"/>
  <c r="Y160" i="1"/>
  <c r="Z160" i="1"/>
  <c r="AA160" i="1"/>
  <c r="AB160" i="1"/>
  <c r="Y161" i="1"/>
  <c r="Z161" i="1"/>
  <c r="AA161" i="1"/>
  <c r="AB161" i="1"/>
  <c r="Y162" i="1"/>
  <c r="Z162" i="1"/>
  <c r="AA162" i="1"/>
  <c r="AB162" i="1"/>
  <c r="Y163" i="1"/>
  <c r="Z163" i="1"/>
  <c r="AA163" i="1"/>
  <c r="AB163" i="1"/>
  <c r="Y164" i="1"/>
  <c r="Z164" i="1"/>
  <c r="AA164" i="1"/>
  <c r="AB164" i="1"/>
  <c r="Y165" i="1"/>
  <c r="Z165" i="1"/>
  <c r="AA165" i="1"/>
  <c r="AB165" i="1"/>
  <c r="Y166" i="1"/>
  <c r="Z166" i="1"/>
  <c r="AA166" i="1"/>
  <c r="AB166" i="1"/>
  <c r="Y167" i="1"/>
  <c r="Z167" i="1"/>
  <c r="AA167" i="1"/>
  <c r="AB167" i="1"/>
  <c r="Y168" i="1"/>
  <c r="Z168" i="1"/>
  <c r="AA168" i="1"/>
  <c r="AB168" i="1"/>
  <c r="AB169" i="1" l="1"/>
  <c r="AA169" i="1"/>
  <c r="Z169" i="1"/>
  <c r="Y169" i="1"/>
  <c r="AB2" i="1"/>
  <c r="AA2" i="1"/>
  <c r="Z2" i="1"/>
  <c r="Y2" i="1"/>
  <c r="S219" i="1" l="1"/>
  <c r="Q219" i="1"/>
  <c r="P219" i="1"/>
  <c r="O219" i="1"/>
  <c r="R219" i="1" s="1"/>
  <c r="H219" i="1"/>
  <c r="I219" i="1" s="1"/>
  <c r="G219" i="1"/>
  <c r="F219" i="1"/>
  <c r="S218" i="1"/>
  <c r="R218" i="1"/>
  <c r="P218" i="1"/>
  <c r="Q218" i="1" s="1"/>
  <c r="O218" i="1"/>
  <c r="H218" i="1"/>
  <c r="I218" i="1" s="1"/>
  <c r="G218" i="1"/>
  <c r="F218" i="1"/>
  <c r="S217" i="1"/>
  <c r="R217" i="1"/>
  <c r="Q217" i="1"/>
  <c r="P217" i="1"/>
  <c r="O217" i="1"/>
  <c r="H217" i="1"/>
  <c r="I217" i="1" s="1"/>
  <c r="G217" i="1"/>
  <c r="F217" i="1"/>
  <c r="R216" i="1"/>
  <c r="O216" i="1"/>
  <c r="I216" i="1"/>
  <c r="H216" i="1"/>
  <c r="G216" i="1"/>
  <c r="F216" i="1"/>
  <c r="O215" i="1"/>
  <c r="I215" i="1"/>
  <c r="H215" i="1"/>
  <c r="G215" i="1"/>
  <c r="F215" i="1"/>
  <c r="O214" i="1"/>
  <c r="I214" i="1"/>
  <c r="H214" i="1"/>
  <c r="G214" i="1"/>
  <c r="F214" i="1"/>
  <c r="R213" i="1"/>
  <c r="O213" i="1"/>
  <c r="I213" i="1"/>
  <c r="H213" i="1"/>
  <c r="G213" i="1"/>
  <c r="F213" i="1"/>
  <c r="O212" i="1"/>
  <c r="I212" i="1"/>
  <c r="H212" i="1"/>
  <c r="G212" i="1"/>
  <c r="F212" i="1"/>
  <c r="O211" i="1"/>
  <c r="I211" i="1"/>
  <c r="H211" i="1"/>
  <c r="G211" i="1"/>
  <c r="F211" i="1"/>
  <c r="R210" i="1"/>
  <c r="O210" i="1"/>
  <c r="I210" i="1"/>
  <c r="H210" i="1"/>
  <c r="G210" i="1"/>
  <c r="F210" i="1"/>
  <c r="O209" i="1"/>
  <c r="R209" i="1" s="1"/>
  <c r="I209" i="1"/>
  <c r="H209" i="1"/>
  <c r="G209" i="1"/>
  <c r="F209" i="1"/>
  <c r="O208" i="1"/>
  <c r="I208" i="1"/>
  <c r="H208" i="1"/>
  <c r="G208" i="1"/>
  <c r="F208" i="1"/>
  <c r="O207" i="1"/>
  <c r="I207" i="1"/>
  <c r="H207" i="1"/>
  <c r="G207" i="1"/>
  <c r="F207" i="1"/>
  <c r="O206" i="1"/>
  <c r="I206" i="1"/>
  <c r="H206" i="1"/>
  <c r="G206" i="1"/>
  <c r="F206" i="1"/>
  <c r="O205" i="1"/>
  <c r="I205" i="1"/>
  <c r="H205" i="1"/>
  <c r="G205" i="1"/>
  <c r="F205" i="1"/>
  <c r="R204" i="1"/>
  <c r="O204" i="1"/>
  <c r="I204" i="1"/>
  <c r="H204" i="1"/>
  <c r="G204" i="1"/>
  <c r="F204" i="1"/>
  <c r="R203" i="1"/>
  <c r="O203" i="1"/>
  <c r="I203" i="1"/>
  <c r="H203" i="1"/>
  <c r="G203" i="1"/>
  <c r="F203" i="1"/>
  <c r="O202" i="1"/>
  <c r="I202" i="1"/>
  <c r="H202" i="1"/>
  <c r="G202" i="1"/>
  <c r="F202" i="1"/>
  <c r="R201" i="1"/>
  <c r="O201" i="1"/>
  <c r="I201" i="1"/>
  <c r="H201" i="1"/>
  <c r="G201" i="1"/>
  <c r="F201" i="1"/>
  <c r="O200" i="1"/>
  <c r="I200" i="1"/>
  <c r="H200" i="1"/>
  <c r="G200" i="1"/>
  <c r="F200" i="1"/>
  <c r="O199" i="1"/>
  <c r="I199" i="1"/>
  <c r="H199" i="1"/>
  <c r="G199" i="1"/>
  <c r="F199" i="1"/>
  <c r="R198" i="1"/>
  <c r="O198" i="1"/>
  <c r="I198" i="1"/>
  <c r="H198" i="1"/>
  <c r="G198" i="1"/>
  <c r="F198" i="1"/>
  <c r="R197" i="1"/>
  <c r="O197" i="1"/>
  <c r="I197" i="1"/>
  <c r="H197" i="1"/>
  <c r="G197" i="1"/>
  <c r="F197" i="1"/>
  <c r="O196" i="1"/>
  <c r="I196" i="1"/>
  <c r="H196" i="1"/>
  <c r="G196" i="1"/>
  <c r="F196" i="1"/>
  <c r="O195" i="1"/>
  <c r="I195" i="1"/>
  <c r="H195" i="1"/>
  <c r="G195" i="1"/>
  <c r="F195" i="1"/>
  <c r="O194" i="1"/>
  <c r="I194" i="1"/>
  <c r="H194" i="1"/>
  <c r="G194" i="1"/>
  <c r="F194" i="1"/>
  <c r="O193" i="1"/>
  <c r="I193" i="1"/>
  <c r="H193" i="1"/>
  <c r="G193" i="1"/>
  <c r="F193" i="1"/>
  <c r="R192" i="1"/>
  <c r="O192" i="1"/>
  <c r="I192" i="1"/>
  <c r="H192" i="1"/>
  <c r="G192" i="1"/>
  <c r="F192" i="1"/>
  <c r="R191" i="1"/>
  <c r="O191" i="1"/>
  <c r="I191" i="1"/>
  <c r="H191" i="1"/>
  <c r="G191" i="1"/>
  <c r="F191" i="1"/>
  <c r="O190" i="1"/>
  <c r="I190" i="1"/>
  <c r="H190" i="1"/>
  <c r="G190" i="1"/>
  <c r="F190" i="1"/>
  <c r="R189" i="1"/>
  <c r="O189" i="1"/>
  <c r="I189" i="1"/>
  <c r="H189" i="1"/>
  <c r="G189" i="1"/>
  <c r="F189" i="1"/>
  <c r="O188" i="1"/>
  <c r="R188" i="1" s="1"/>
  <c r="I188" i="1"/>
  <c r="H188" i="1"/>
  <c r="G188" i="1"/>
  <c r="F188" i="1"/>
  <c r="O187" i="1"/>
  <c r="I187" i="1"/>
  <c r="H187" i="1"/>
  <c r="G187" i="1"/>
  <c r="F187" i="1"/>
  <c r="R186" i="1"/>
  <c r="O186" i="1"/>
  <c r="I186" i="1"/>
  <c r="H186" i="1"/>
  <c r="G186" i="1"/>
  <c r="F186" i="1"/>
  <c r="R185" i="1"/>
  <c r="O185" i="1"/>
  <c r="I185" i="1"/>
  <c r="H185" i="1"/>
  <c r="G185" i="1"/>
  <c r="F185" i="1"/>
  <c r="O184" i="1"/>
  <c r="I184" i="1"/>
  <c r="H184" i="1"/>
  <c r="G184" i="1"/>
  <c r="F184" i="1"/>
  <c r="O183" i="1"/>
  <c r="I183" i="1"/>
  <c r="H183" i="1"/>
  <c r="G183" i="1"/>
  <c r="F183" i="1"/>
  <c r="O182" i="1"/>
  <c r="I182" i="1"/>
  <c r="H182" i="1"/>
  <c r="G182" i="1"/>
  <c r="F182" i="1"/>
  <c r="O181" i="1"/>
  <c r="I181" i="1"/>
  <c r="H181" i="1"/>
  <c r="G181" i="1"/>
  <c r="F181" i="1"/>
  <c r="R180" i="1"/>
  <c r="O180" i="1"/>
  <c r="I180" i="1"/>
  <c r="H180" i="1"/>
  <c r="G180" i="1"/>
  <c r="F180" i="1"/>
  <c r="R179" i="1"/>
  <c r="O179" i="1"/>
  <c r="I179" i="1"/>
  <c r="H179" i="1"/>
  <c r="G179" i="1"/>
  <c r="F179" i="1"/>
  <c r="O178" i="1"/>
  <c r="I178" i="1"/>
  <c r="H178" i="1"/>
  <c r="G178" i="1"/>
  <c r="F178" i="1"/>
  <c r="R177" i="1"/>
  <c r="O177" i="1"/>
  <c r="I177" i="1"/>
  <c r="H177" i="1"/>
  <c r="G177" i="1"/>
  <c r="F177" i="1"/>
  <c r="O176" i="1"/>
  <c r="R176" i="1" s="1"/>
  <c r="I176" i="1"/>
  <c r="H176" i="1"/>
  <c r="G176" i="1"/>
  <c r="F176" i="1"/>
  <c r="O175" i="1"/>
  <c r="I175" i="1"/>
  <c r="H175" i="1"/>
  <c r="G175" i="1"/>
  <c r="F175" i="1"/>
  <c r="R174" i="1"/>
  <c r="O174" i="1"/>
  <c r="I174" i="1"/>
  <c r="H174" i="1"/>
  <c r="G174" i="1"/>
  <c r="F174" i="1"/>
  <c r="R173" i="1"/>
  <c r="O173" i="1"/>
  <c r="I173" i="1"/>
  <c r="H173" i="1"/>
  <c r="G173" i="1"/>
  <c r="F173" i="1"/>
  <c r="O172" i="1"/>
  <c r="I172" i="1"/>
  <c r="H172" i="1"/>
  <c r="G172" i="1"/>
  <c r="F172" i="1"/>
  <c r="O171" i="1"/>
  <c r="I171" i="1"/>
  <c r="H171" i="1"/>
  <c r="G171" i="1"/>
  <c r="F171" i="1"/>
  <c r="O170" i="1"/>
  <c r="I170" i="1"/>
  <c r="H170" i="1"/>
  <c r="G170" i="1"/>
  <c r="F170" i="1"/>
  <c r="O169" i="1"/>
  <c r="I169" i="1"/>
  <c r="H169" i="1"/>
  <c r="G169" i="1"/>
  <c r="F169" i="1"/>
  <c r="R168" i="1"/>
  <c r="O168" i="1"/>
  <c r="I168" i="1"/>
  <c r="H168" i="1"/>
  <c r="G168" i="1"/>
  <c r="F168" i="1"/>
  <c r="R167" i="1"/>
  <c r="O167" i="1"/>
  <c r="I167" i="1"/>
  <c r="H167" i="1"/>
  <c r="G167" i="1"/>
  <c r="F167" i="1"/>
  <c r="O166" i="1"/>
  <c r="I166" i="1"/>
  <c r="H166" i="1"/>
  <c r="G166" i="1"/>
  <c r="F166" i="1"/>
  <c r="R165" i="1"/>
  <c r="O165" i="1"/>
  <c r="I165" i="1"/>
  <c r="H165" i="1"/>
  <c r="G165" i="1"/>
  <c r="F165" i="1"/>
  <c r="O164" i="1"/>
  <c r="R164" i="1" s="1"/>
  <c r="I164" i="1"/>
  <c r="H164" i="1"/>
  <c r="G164" i="1"/>
  <c r="F164" i="1"/>
  <c r="O163" i="1"/>
  <c r="I163" i="1"/>
  <c r="H163" i="1"/>
  <c r="G163" i="1"/>
  <c r="F163" i="1"/>
  <c r="R162" i="1"/>
  <c r="O162" i="1"/>
  <c r="I162" i="1"/>
  <c r="H162" i="1"/>
  <c r="G162" i="1"/>
  <c r="F162" i="1"/>
  <c r="R161" i="1"/>
  <c r="O161" i="1"/>
  <c r="I161" i="1"/>
  <c r="H161" i="1"/>
  <c r="G161" i="1"/>
  <c r="F161" i="1"/>
  <c r="O160" i="1"/>
  <c r="I160" i="1"/>
  <c r="H160" i="1"/>
  <c r="G160" i="1"/>
  <c r="F160" i="1"/>
  <c r="O159" i="1"/>
  <c r="I159" i="1"/>
  <c r="H159" i="1"/>
  <c r="G159" i="1"/>
  <c r="F159" i="1"/>
  <c r="O158" i="1"/>
  <c r="I158" i="1"/>
  <c r="H158" i="1"/>
  <c r="G158" i="1"/>
  <c r="F158" i="1"/>
  <c r="O157" i="1"/>
  <c r="I157" i="1"/>
  <c r="H157" i="1"/>
  <c r="G157" i="1"/>
  <c r="F157" i="1"/>
  <c r="R156" i="1"/>
  <c r="O156" i="1"/>
  <c r="I156" i="1"/>
  <c r="H156" i="1"/>
  <c r="G156" i="1"/>
  <c r="F156" i="1"/>
  <c r="R155" i="1"/>
  <c r="O155" i="1"/>
  <c r="I155" i="1"/>
  <c r="H155" i="1"/>
  <c r="G155" i="1"/>
  <c r="F155" i="1"/>
  <c r="O154" i="1"/>
  <c r="I154" i="1"/>
  <c r="H154" i="1"/>
  <c r="G154" i="1"/>
  <c r="F154" i="1"/>
  <c r="R153" i="1"/>
  <c r="O153" i="1"/>
  <c r="I153" i="1"/>
  <c r="H153" i="1"/>
  <c r="G153" i="1"/>
  <c r="F153" i="1"/>
  <c r="O152" i="1"/>
  <c r="I152" i="1"/>
  <c r="H152" i="1"/>
  <c r="G152" i="1"/>
  <c r="F152" i="1"/>
  <c r="O151" i="1"/>
  <c r="I151" i="1"/>
  <c r="H151" i="1"/>
  <c r="G151" i="1"/>
  <c r="F151" i="1"/>
  <c r="R150" i="1"/>
  <c r="O150" i="1"/>
  <c r="I150" i="1"/>
  <c r="H150" i="1"/>
  <c r="G150" i="1"/>
  <c r="F150" i="1"/>
  <c r="R149" i="1"/>
  <c r="O149" i="1"/>
  <c r="I149" i="1"/>
  <c r="H149" i="1"/>
  <c r="G149" i="1"/>
  <c r="F149" i="1"/>
  <c r="O148" i="1"/>
  <c r="I148" i="1"/>
  <c r="H148" i="1"/>
  <c r="G148" i="1"/>
  <c r="F148" i="1"/>
  <c r="O147" i="1"/>
  <c r="I147" i="1"/>
  <c r="H147" i="1"/>
  <c r="G147" i="1"/>
  <c r="F147" i="1"/>
  <c r="O146" i="1"/>
  <c r="I146" i="1"/>
  <c r="H146" i="1"/>
  <c r="G146" i="1"/>
  <c r="F146" i="1"/>
  <c r="O145" i="1"/>
  <c r="I145" i="1"/>
  <c r="H145" i="1"/>
  <c r="G145" i="1"/>
  <c r="F145" i="1"/>
  <c r="R144" i="1"/>
  <c r="O144" i="1"/>
  <c r="I144" i="1"/>
  <c r="H144" i="1"/>
  <c r="G144" i="1"/>
  <c r="F144" i="1"/>
  <c r="R143" i="1"/>
  <c r="O143" i="1"/>
  <c r="I143" i="1"/>
  <c r="H143" i="1"/>
  <c r="G143" i="1"/>
  <c r="F143" i="1"/>
  <c r="O142" i="1"/>
  <c r="I142" i="1"/>
  <c r="H142" i="1"/>
  <c r="G142" i="1"/>
  <c r="F142" i="1"/>
  <c r="R141" i="1"/>
  <c r="O141" i="1"/>
  <c r="I141" i="1"/>
  <c r="H141" i="1"/>
  <c r="G141" i="1"/>
  <c r="F141" i="1"/>
  <c r="O140" i="1"/>
  <c r="I140" i="1"/>
  <c r="H140" i="1"/>
  <c r="G140" i="1"/>
  <c r="F140" i="1"/>
  <c r="O139" i="1"/>
  <c r="I139" i="1"/>
  <c r="H139" i="1"/>
  <c r="G139" i="1"/>
  <c r="F139" i="1"/>
  <c r="R138" i="1"/>
  <c r="O138" i="1"/>
  <c r="I138" i="1"/>
  <c r="H138" i="1"/>
  <c r="G138" i="1"/>
  <c r="F138" i="1"/>
  <c r="R137" i="1"/>
  <c r="O137" i="1"/>
  <c r="I137" i="1"/>
  <c r="H137" i="1"/>
  <c r="G137" i="1"/>
  <c r="F137" i="1"/>
  <c r="R136" i="1"/>
  <c r="O136" i="1"/>
  <c r="I136" i="1"/>
  <c r="H136" i="1"/>
  <c r="G136" i="1"/>
  <c r="F136" i="1"/>
  <c r="O135" i="1"/>
  <c r="I135" i="1"/>
  <c r="H135" i="1"/>
  <c r="G135" i="1"/>
  <c r="F135" i="1"/>
  <c r="O134" i="1"/>
  <c r="I134" i="1"/>
  <c r="H134" i="1"/>
  <c r="G134" i="1"/>
  <c r="F134" i="1"/>
  <c r="O133" i="1"/>
  <c r="I133" i="1"/>
  <c r="H133" i="1"/>
  <c r="G133" i="1"/>
  <c r="F133" i="1"/>
  <c r="R132" i="1"/>
  <c r="O132" i="1"/>
  <c r="I132" i="1"/>
  <c r="H132" i="1"/>
  <c r="G132" i="1"/>
  <c r="F132" i="1"/>
  <c r="R131" i="1"/>
  <c r="O131" i="1"/>
  <c r="I131" i="1"/>
  <c r="H131" i="1"/>
  <c r="G131" i="1"/>
  <c r="F131" i="1"/>
  <c r="O130" i="1"/>
  <c r="I130" i="1"/>
  <c r="H130" i="1"/>
  <c r="G130" i="1"/>
  <c r="F130" i="1"/>
  <c r="R129" i="1"/>
  <c r="O129" i="1"/>
  <c r="I129" i="1"/>
  <c r="H129" i="1"/>
  <c r="G129" i="1"/>
  <c r="F129" i="1"/>
  <c r="O128" i="1"/>
  <c r="I128" i="1"/>
  <c r="H128" i="1"/>
  <c r="G128" i="1"/>
  <c r="F128" i="1"/>
  <c r="O127" i="1"/>
  <c r="I127" i="1"/>
  <c r="H127" i="1"/>
  <c r="G127" i="1"/>
  <c r="F127" i="1"/>
  <c r="R126" i="1"/>
  <c r="O126" i="1"/>
  <c r="I126" i="1"/>
  <c r="H126" i="1"/>
  <c r="G126" i="1"/>
  <c r="F126" i="1"/>
  <c r="R125" i="1"/>
  <c r="O125" i="1"/>
  <c r="I125" i="1"/>
  <c r="H125" i="1"/>
  <c r="G125" i="1"/>
  <c r="F125" i="1"/>
  <c r="R124" i="1"/>
  <c r="O124" i="1"/>
  <c r="I124" i="1"/>
  <c r="H124" i="1"/>
  <c r="G124" i="1"/>
  <c r="F124" i="1"/>
  <c r="O123" i="1"/>
  <c r="I123" i="1"/>
  <c r="H123" i="1"/>
  <c r="G123" i="1"/>
  <c r="F123" i="1"/>
  <c r="O122" i="1"/>
  <c r="I122" i="1"/>
  <c r="H122" i="1"/>
  <c r="G122" i="1"/>
  <c r="F122" i="1"/>
  <c r="O121" i="1"/>
  <c r="I121" i="1"/>
  <c r="H121" i="1"/>
  <c r="G121" i="1"/>
  <c r="F121" i="1"/>
  <c r="R120" i="1"/>
  <c r="O120" i="1"/>
  <c r="I120" i="1"/>
  <c r="H120" i="1"/>
  <c r="G120" i="1"/>
  <c r="F120" i="1"/>
  <c r="R119" i="1"/>
  <c r="O119" i="1"/>
  <c r="I119" i="1"/>
  <c r="H119" i="1"/>
  <c r="G119" i="1"/>
  <c r="F119" i="1"/>
  <c r="O118" i="1"/>
  <c r="I118" i="1"/>
  <c r="H118" i="1"/>
  <c r="G118" i="1"/>
  <c r="F118" i="1"/>
  <c r="R117" i="1"/>
  <c r="O117" i="1"/>
  <c r="I117" i="1"/>
  <c r="H117" i="1"/>
  <c r="G117" i="1"/>
  <c r="F117" i="1"/>
  <c r="O116" i="1"/>
  <c r="I116" i="1"/>
  <c r="H116" i="1"/>
  <c r="G116" i="1"/>
  <c r="F116" i="1"/>
  <c r="O115" i="1"/>
  <c r="I115" i="1"/>
  <c r="H115" i="1"/>
  <c r="G115" i="1"/>
  <c r="F115" i="1"/>
  <c r="R114" i="1"/>
  <c r="O114" i="1"/>
  <c r="I114" i="1"/>
  <c r="H114" i="1"/>
  <c r="G114" i="1"/>
  <c r="F114" i="1"/>
  <c r="R113" i="1"/>
  <c r="O113" i="1"/>
  <c r="I113" i="1"/>
  <c r="H113" i="1"/>
  <c r="G113" i="1"/>
  <c r="F113" i="1"/>
  <c r="R112" i="1"/>
  <c r="O112" i="1"/>
  <c r="I112" i="1"/>
  <c r="H112" i="1"/>
  <c r="G112" i="1"/>
  <c r="F112" i="1"/>
  <c r="O111" i="1"/>
  <c r="I111" i="1"/>
  <c r="H111" i="1"/>
  <c r="G111" i="1"/>
  <c r="F111" i="1"/>
  <c r="O110" i="1"/>
  <c r="I110" i="1"/>
  <c r="H110" i="1"/>
  <c r="G110" i="1"/>
  <c r="F110" i="1"/>
  <c r="O109" i="1"/>
  <c r="I109" i="1"/>
  <c r="H109" i="1"/>
  <c r="G109" i="1"/>
  <c r="F109" i="1"/>
  <c r="R108" i="1"/>
  <c r="O108" i="1"/>
  <c r="I108" i="1"/>
  <c r="H108" i="1"/>
  <c r="G108" i="1"/>
  <c r="F108" i="1"/>
  <c r="R107" i="1"/>
  <c r="O107" i="1"/>
  <c r="I107" i="1"/>
  <c r="H107" i="1"/>
  <c r="G107" i="1"/>
  <c r="F107" i="1"/>
  <c r="O106" i="1"/>
  <c r="I106" i="1"/>
  <c r="H106" i="1"/>
  <c r="G106" i="1"/>
  <c r="F106" i="1"/>
  <c r="R105" i="1"/>
  <c r="O105" i="1"/>
  <c r="I105" i="1"/>
  <c r="H105" i="1"/>
  <c r="G105" i="1"/>
  <c r="F105" i="1"/>
  <c r="O104" i="1"/>
  <c r="I104" i="1"/>
  <c r="H104" i="1"/>
  <c r="G104" i="1"/>
  <c r="F104" i="1"/>
  <c r="O103" i="1"/>
  <c r="I103" i="1"/>
  <c r="H103" i="1"/>
  <c r="G103" i="1"/>
  <c r="F103" i="1"/>
  <c r="R102" i="1"/>
  <c r="O102" i="1"/>
  <c r="I102" i="1"/>
  <c r="H102" i="1"/>
  <c r="G102" i="1"/>
  <c r="F102" i="1"/>
  <c r="R101" i="1"/>
  <c r="O101" i="1"/>
  <c r="I101" i="1"/>
  <c r="H101" i="1"/>
  <c r="G101" i="1"/>
  <c r="F101" i="1"/>
  <c r="R100" i="1"/>
  <c r="O100" i="1"/>
  <c r="I100" i="1"/>
  <c r="H100" i="1"/>
  <c r="G100" i="1"/>
  <c r="F100" i="1"/>
  <c r="O99" i="1"/>
  <c r="I99" i="1"/>
  <c r="H99" i="1"/>
  <c r="G99" i="1"/>
  <c r="F99" i="1"/>
  <c r="O98" i="1"/>
  <c r="I98" i="1"/>
  <c r="H98" i="1"/>
  <c r="G98" i="1"/>
  <c r="F98" i="1"/>
  <c r="O97" i="1"/>
  <c r="I97" i="1"/>
  <c r="H97" i="1"/>
  <c r="G97" i="1"/>
  <c r="F97" i="1"/>
  <c r="R96" i="1"/>
  <c r="O96" i="1"/>
  <c r="I96" i="1"/>
  <c r="H96" i="1"/>
  <c r="G96" i="1"/>
  <c r="F96" i="1"/>
  <c r="R95" i="1"/>
  <c r="O95" i="1"/>
  <c r="I95" i="1"/>
  <c r="H95" i="1"/>
  <c r="G95" i="1"/>
  <c r="F95" i="1"/>
  <c r="O94" i="1"/>
  <c r="I94" i="1"/>
  <c r="H94" i="1"/>
  <c r="G94" i="1"/>
  <c r="F94" i="1"/>
  <c r="R93" i="1"/>
  <c r="O93" i="1"/>
  <c r="I93" i="1"/>
  <c r="H93" i="1"/>
  <c r="G93" i="1"/>
  <c r="F93" i="1"/>
  <c r="O92" i="1"/>
  <c r="I92" i="1"/>
  <c r="H92" i="1"/>
  <c r="G92" i="1"/>
  <c r="F92" i="1"/>
  <c r="O91" i="1"/>
  <c r="I91" i="1"/>
  <c r="H91" i="1"/>
  <c r="G91" i="1"/>
  <c r="F91" i="1"/>
  <c r="R90" i="1"/>
  <c r="O90" i="1"/>
  <c r="I90" i="1"/>
  <c r="H90" i="1"/>
  <c r="G90" i="1"/>
  <c r="F90" i="1"/>
  <c r="R89" i="1"/>
  <c r="O89" i="1"/>
  <c r="I89" i="1"/>
  <c r="H89" i="1"/>
  <c r="G89" i="1"/>
  <c r="F89" i="1"/>
  <c r="R88" i="1"/>
  <c r="O88" i="1"/>
  <c r="I88" i="1"/>
  <c r="H88" i="1"/>
  <c r="G88" i="1"/>
  <c r="F88" i="1"/>
  <c r="O87" i="1"/>
  <c r="I87" i="1"/>
  <c r="H87" i="1"/>
  <c r="G87" i="1"/>
  <c r="F87" i="1"/>
  <c r="O86" i="1"/>
  <c r="I86" i="1"/>
  <c r="H86" i="1"/>
  <c r="G86" i="1"/>
  <c r="F86" i="1"/>
  <c r="O85" i="1"/>
  <c r="I85" i="1"/>
  <c r="H85" i="1"/>
  <c r="G85" i="1"/>
  <c r="F85" i="1"/>
  <c r="R84" i="1"/>
  <c r="O84" i="1"/>
  <c r="I84" i="1"/>
  <c r="H84" i="1"/>
  <c r="G84" i="1"/>
  <c r="F84" i="1"/>
  <c r="R83" i="1"/>
  <c r="O83" i="1"/>
  <c r="I83" i="1"/>
  <c r="H83" i="1"/>
  <c r="G83" i="1"/>
  <c r="F83" i="1"/>
  <c r="O82" i="1"/>
  <c r="I82" i="1"/>
  <c r="H82" i="1"/>
  <c r="G82" i="1"/>
  <c r="F82" i="1"/>
  <c r="R81" i="1"/>
  <c r="O81" i="1"/>
  <c r="I81" i="1"/>
  <c r="H81" i="1"/>
  <c r="G81" i="1"/>
  <c r="F81" i="1"/>
  <c r="O80" i="1"/>
  <c r="I80" i="1"/>
  <c r="H80" i="1"/>
  <c r="G80" i="1"/>
  <c r="F80" i="1"/>
  <c r="O79" i="1"/>
  <c r="I79" i="1"/>
  <c r="H79" i="1"/>
  <c r="G79" i="1"/>
  <c r="F79" i="1"/>
  <c r="R78" i="1"/>
  <c r="O78" i="1"/>
  <c r="I78" i="1"/>
  <c r="H78" i="1"/>
  <c r="G78" i="1"/>
  <c r="F78" i="1"/>
  <c r="R77" i="1"/>
  <c r="O77" i="1"/>
  <c r="I77" i="1"/>
  <c r="H77" i="1"/>
  <c r="G77" i="1"/>
  <c r="F77" i="1"/>
  <c r="R76" i="1"/>
  <c r="O76" i="1"/>
  <c r="I76" i="1"/>
  <c r="H76" i="1"/>
  <c r="G76" i="1"/>
  <c r="F76" i="1"/>
  <c r="O75" i="1"/>
  <c r="I75" i="1"/>
  <c r="H75" i="1"/>
  <c r="G75" i="1"/>
  <c r="F75" i="1"/>
  <c r="O74" i="1"/>
  <c r="I74" i="1"/>
  <c r="H74" i="1"/>
  <c r="G74" i="1"/>
  <c r="F74" i="1"/>
  <c r="O73" i="1"/>
  <c r="I73" i="1"/>
  <c r="H73" i="1"/>
  <c r="G73" i="1"/>
  <c r="F73" i="1"/>
  <c r="R72" i="1"/>
  <c r="O72" i="1"/>
  <c r="I72" i="1"/>
  <c r="H72" i="1"/>
  <c r="G72" i="1"/>
  <c r="F72" i="1"/>
  <c r="R71" i="1"/>
  <c r="O71" i="1"/>
  <c r="I71" i="1"/>
  <c r="H71" i="1"/>
  <c r="G71" i="1"/>
  <c r="F71" i="1"/>
  <c r="O70" i="1"/>
  <c r="I70" i="1"/>
  <c r="H70" i="1"/>
  <c r="G70" i="1"/>
  <c r="F70" i="1"/>
  <c r="R69" i="1"/>
  <c r="O69" i="1"/>
  <c r="I69" i="1"/>
  <c r="H69" i="1"/>
  <c r="G69" i="1"/>
  <c r="F69" i="1"/>
  <c r="O68" i="1"/>
  <c r="I68" i="1"/>
  <c r="H68" i="1"/>
  <c r="G68" i="1"/>
  <c r="F68" i="1"/>
  <c r="O67" i="1"/>
  <c r="I67" i="1"/>
  <c r="H67" i="1"/>
  <c r="G67" i="1"/>
  <c r="F67" i="1"/>
  <c r="R66" i="1"/>
  <c r="O66" i="1"/>
  <c r="I66" i="1"/>
  <c r="H66" i="1"/>
  <c r="G66" i="1"/>
  <c r="F66" i="1"/>
  <c r="R65" i="1"/>
  <c r="O65" i="1"/>
  <c r="I65" i="1"/>
  <c r="H65" i="1"/>
  <c r="G65" i="1"/>
  <c r="F65" i="1"/>
  <c r="R64" i="1"/>
  <c r="O64" i="1"/>
  <c r="I64" i="1"/>
  <c r="H64" i="1"/>
  <c r="G64" i="1"/>
  <c r="F64" i="1"/>
  <c r="O63" i="1"/>
  <c r="I63" i="1"/>
  <c r="H63" i="1"/>
  <c r="G63" i="1"/>
  <c r="F63" i="1"/>
  <c r="O62" i="1"/>
  <c r="I62" i="1"/>
  <c r="H62" i="1"/>
  <c r="G62" i="1"/>
  <c r="F62" i="1"/>
  <c r="O61" i="1"/>
  <c r="I61" i="1"/>
  <c r="H61" i="1"/>
  <c r="G61" i="1"/>
  <c r="F61" i="1"/>
  <c r="R60" i="1"/>
  <c r="O60" i="1"/>
  <c r="I60" i="1"/>
  <c r="H60" i="1"/>
  <c r="G60" i="1"/>
  <c r="F60" i="1"/>
  <c r="R59" i="1"/>
  <c r="O59" i="1"/>
  <c r="I59" i="1"/>
  <c r="H59" i="1"/>
  <c r="G59" i="1"/>
  <c r="F59" i="1"/>
  <c r="O58" i="1"/>
  <c r="I58" i="1"/>
  <c r="H58" i="1"/>
  <c r="G58" i="1"/>
  <c r="F58" i="1"/>
  <c r="R57" i="1"/>
  <c r="O57" i="1"/>
  <c r="I57" i="1"/>
  <c r="H57" i="1"/>
  <c r="G57" i="1"/>
  <c r="F57" i="1"/>
  <c r="O56" i="1"/>
  <c r="I56" i="1"/>
  <c r="H56" i="1"/>
  <c r="G56" i="1"/>
  <c r="F56" i="1"/>
  <c r="O55" i="1"/>
  <c r="H55" i="1"/>
  <c r="I55" i="1" s="1"/>
  <c r="G55" i="1"/>
  <c r="F55" i="1"/>
  <c r="S54" i="1"/>
  <c r="R54" i="1"/>
  <c r="Q54" i="1"/>
  <c r="O54" i="1"/>
  <c r="P54" i="1" s="1"/>
  <c r="I54" i="1"/>
  <c r="H54" i="1"/>
  <c r="G54" i="1"/>
  <c r="F54" i="1"/>
  <c r="O53" i="1"/>
  <c r="S53" i="1" s="1"/>
  <c r="I53" i="1"/>
  <c r="H53" i="1"/>
  <c r="G53" i="1"/>
  <c r="F53" i="1"/>
  <c r="R52" i="1"/>
  <c r="O52" i="1"/>
  <c r="P52" i="1" s="1"/>
  <c r="Q52" i="1" s="1"/>
  <c r="H52" i="1"/>
  <c r="I52" i="1" s="1"/>
  <c r="G52" i="1"/>
  <c r="F52" i="1"/>
  <c r="R51" i="1"/>
  <c r="Q51" i="1"/>
  <c r="P51" i="1"/>
  <c r="O51" i="1"/>
  <c r="S51" i="1" s="1"/>
  <c r="I51" i="1"/>
  <c r="H51" i="1"/>
  <c r="G51" i="1"/>
  <c r="F51" i="1"/>
  <c r="O50" i="1"/>
  <c r="P50" i="1" s="1"/>
  <c r="Q50" i="1" s="1"/>
  <c r="I50" i="1"/>
  <c r="H50" i="1"/>
  <c r="G50" i="1"/>
  <c r="F50" i="1"/>
  <c r="S49" i="1"/>
  <c r="O49" i="1"/>
  <c r="P49" i="1" s="1"/>
  <c r="Q49" i="1" s="1"/>
  <c r="I49" i="1"/>
  <c r="H49" i="1"/>
  <c r="G49" i="1"/>
  <c r="F49" i="1"/>
  <c r="R48" i="1"/>
  <c r="P48" i="1"/>
  <c r="Q48" i="1" s="1"/>
  <c r="O48" i="1"/>
  <c r="S48" i="1" s="1"/>
  <c r="H48" i="1"/>
  <c r="I48" i="1" s="1"/>
  <c r="G48" i="1"/>
  <c r="F48" i="1"/>
  <c r="R47" i="1"/>
  <c r="Q47" i="1"/>
  <c r="P47" i="1"/>
  <c r="O47" i="1"/>
  <c r="S47" i="1" s="1"/>
  <c r="I47" i="1"/>
  <c r="H47" i="1"/>
  <c r="G47" i="1"/>
  <c r="F47" i="1"/>
  <c r="O46" i="1"/>
  <c r="S46" i="1" s="1"/>
  <c r="I46" i="1"/>
  <c r="H46" i="1"/>
  <c r="G46" i="1"/>
  <c r="F46" i="1"/>
  <c r="R45" i="1"/>
  <c r="O45" i="1"/>
  <c r="P45" i="1" s="1"/>
  <c r="Q45" i="1" s="1"/>
  <c r="H45" i="1"/>
  <c r="I45" i="1" s="1"/>
  <c r="G45" i="1"/>
  <c r="F45" i="1"/>
  <c r="O44" i="1"/>
  <c r="S44" i="1" s="1"/>
  <c r="I44" i="1"/>
  <c r="H44" i="1"/>
  <c r="G44" i="1"/>
  <c r="F44" i="1"/>
  <c r="S43" i="1"/>
  <c r="R43" i="1"/>
  <c r="Q43" i="1"/>
  <c r="P43" i="1"/>
  <c r="O43" i="1"/>
  <c r="I43" i="1"/>
  <c r="H43" i="1"/>
  <c r="G43" i="1"/>
  <c r="F43" i="1"/>
  <c r="O42" i="1"/>
  <c r="S42" i="1" s="1"/>
  <c r="I42" i="1"/>
  <c r="H42" i="1"/>
  <c r="G42" i="1"/>
  <c r="F42" i="1"/>
  <c r="R41" i="1"/>
  <c r="O41" i="1"/>
  <c r="P41" i="1" s="1"/>
  <c r="Q41" i="1" s="1"/>
  <c r="H41" i="1"/>
  <c r="I41" i="1" s="1"/>
  <c r="G41" i="1"/>
  <c r="F41" i="1"/>
  <c r="O40" i="1"/>
  <c r="S40" i="1" s="1"/>
  <c r="I40" i="1"/>
  <c r="H40" i="1"/>
  <c r="G40" i="1"/>
  <c r="F40" i="1"/>
  <c r="S39" i="1"/>
  <c r="R39" i="1"/>
  <c r="Q39" i="1"/>
  <c r="P39" i="1"/>
  <c r="O39" i="1"/>
  <c r="I39" i="1"/>
  <c r="H39" i="1"/>
  <c r="G39" i="1"/>
  <c r="F39" i="1"/>
  <c r="O38" i="1"/>
  <c r="S38" i="1" s="1"/>
  <c r="I38" i="1"/>
  <c r="H38" i="1"/>
  <c r="G38" i="1"/>
  <c r="F38" i="1"/>
  <c r="R37" i="1"/>
  <c r="O37" i="1"/>
  <c r="P37" i="1" s="1"/>
  <c r="Q37" i="1" s="1"/>
  <c r="H37" i="1"/>
  <c r="I37" i="1" s="1"/>
  <c r="G37" i="1"/>
  <c r="F37" i="1"/>
  <c r="O36" i="1"/>
  <c r="S36" i="1" s="1"/>
  <c r="I36" i="1"/>
  <c r="H36" i="1"/>
  <c r="G36" i="1"/>
  <c r="F36" i="1"/>
  <c r="S35" i="1"/>
  <c r="R35" i="1"/>
  <c r="Q35" i="1"/>
  <c r="P35" i="1"/>
  <c r="O35" i="1"/>
  <c r="I35" i="1"/>
  <c r="H35" i="1"/>
  <c r="G35" i="1"/>
  <c r="F35" i="1"/>
  <c r="O34" i="1"/>
  <c r="S34" i="1" s="1"/>
  <c r="I34" i="1"/>
  <c r="H34" i="1"/>
  <c r="G34" i="1"/>
  <c r="F34" i="1"/>
  <c r="R33" i="1"/>
  <c r="O33" i="1"/>
  <c r="P33" i="1" s="1"/>
  <c r="Q33" i="1" s="1"/>
  <c r="H33" i="1"/>
  <c r="I33" i="1" s="1"/>
  <c r="G33" i="1"/>
  <c r="F33" i="1"/>
  <c r="O32" i="1"/>
  <c r="S32" i="1" s="1"/>
  <c r="I32" i="1"/>
  <c r="H32" i="1"/>
  <c r="G32" i="1"/>
  <c r="F32" i="1"/>
  <c r="S31" i="1"/>
  <c r="R31" i="1"/>
  <c r="Q31" i="1"/>
  <c r="P31" i="1"/>
  <c r="O31" i="1"/>
  <c r="I31" i="1"/>
  <c r="H31" i="1"/>
  <c r="G31" i="1"/>
  <c r="F31" i="1"/>
  <c r="O30" i="1"/>
  <c r="S30" i="1" s="1"/>
  <c r="I30" i="1"/>
  <c r="H30" i="1"/>
  <c r="G30" i="1"/>
  <c r="F30" i="1"/>
  <c r="R29" i="1"/>
  <c r="O29" i="1"/>
  <c r="P29" i="1" s="1"/>
  <c r="Q29" i="1" s="1"/>
  <c r="H29" i="1"/>
  <c r="I29" i="1" s="1"/>
  <c r="G29" i="1"/>
  <c r="F29" i="1"/>
  <c r="O28" i="1"/>
  <c r="S28" i="1" s="1"/>
  <c r="I28" i="1"/>
  <c r="H28" i="1"/>
  <c r="G28" i="1"/>
  <c r="F28" i="1"/>
  <c r="S27" i="1"/>
  <c r="R27" i="1"/>
  <c r="Q27" i="1"/>
  <c r="P27" i="1"/>
  <c r="O27" i="1"/>
  <c r="I27" i="1"/>
  <c r="H27" i="1"/>
  <c r="G27" i="1"/>
  <c r="F27" i="1"/>
  <c r="O26" i="1"/>
  <c r="S26" i="1" s="1"/>
  <c r="I26" i="1"/>
  <c r="H26" i="1"/>
  <c r="G26" i="1"/>
  <c r="F26" i="1"/>
  <c r="R25" i="1"/>
  <c r="O25" i="1"/>
  <c r="P25" i="1" s="1"/>
  <c r="Q25" i="1" s="1"/>
  <c r="H25" i="1"/>
  <c r="I25" i="1" s="1"/>
  <c r="G25" i="1"/>
  <c r="F25" i="1"/>
  <c r="O24" i="1"/>
  <c r="S24" i="1" s="1"/>
  <c r="I24" i="1"/>
  <c r="H24" i="1"/>
  <c r="G24" i="1"/>
  <c r="F24" i="1"/>
  <c r="S23" i="1"/>
  <c r="R23" i="1"/>
  <c r="Q23" i="1"/>
  <c r="P23" i="1"/>
  <c r="O23" i="1"/>
  <c r="I23" i="1"/>
  <c r="H23" i="1"/>
  <c r="G23" i="1"/>
  <c r="F23" i="1"/>
  <c r="O22" i="1"/>
  <c r="S22" i="1" s="1"/>
  <c r="I22" i="1"/>
  <c r="H22" i="1"/>
  <c r="G22" i="1"/>
  <c r="F22" i="1"/>
  <c r="R21" i="1"/>
  <c r="O21" i="1"/>
  <c r="P21" i="1" s="1"/>
  <c r="Q21" i="1" s="1"/>
  <c r="H21" i="1"/>
  <c r="I21" i="1" s="1"/>
  <c r="G21" i="1"/>
  <c r="F21" i="1"/>
  <c r="O20" i="1"/>
  <c r="S20" i="1" s="1"/>
  <c r="I20" i="1"/>
  <c r="H20" i="1"/>
  <c r="G20" i="1"/>
  <c r="F20" i="1"/>
  <c r="S19" i="1"/>
  <c r="R19" i="1"/>
  <c r="O19" i="1"/>
  <c r="P19" i="1" s="1"/>
  <c r="Q19" i="1" s="1"/>
  <c r="I19" i="1"/>
  <c r="H19" i="1"/>
  <c r="G19" i="1"/>
  <c r="F19" i="1"/>
  <c r="O18" i="1"/>
  <c r="S18" i="1" s="1"/>
  <c r="I18" i="1"/>
  <c r="H18" i="1"/>
  <c r="G18" i="1"/>
  <c r="F18" i="1"/>
  <c r="R17" i="1"/>
  <c r="O17" i="1"/>
  <c r="P17" i="1" s="1"/>
  <c r="Q17" i="1" s="1"/>
  <c r="H17" i="1"/>
  <c r="I17" i="1" s="1"/>
  <c r="G17" i="1"/>
  <c r="F17" i="1"/>
  <c r="O16" i="1"/>
  <c r="S16" i="1" s="1"/>
  <c r="I16" i="1"/>
  <c r="H16" i="1"/>
  <c r="G16" i="1"/>
  <c r="F16" i="1"/>
  <c r="S15" i="1"/>
  <c r="R15" i="1"/>
  <c r="O15" i="1"/>
  <c r="P15" i="1" s="1"/>
  <c r="Q15" i="1" s="1"/>
  <c r="I15" i="1"/>
  <c r="H15" i="1"/>
  <c r="G15" i="1"/>
  <c r="F15" i="1"/>
  <c r="O14" i="1"/>
  <c r="S14" i="1" s="1"/>
  <c r="I14" i="1"/>
  <c r="H14" i="1"/>
  <c r="G14" i="1"/>
  <c r="F14" i="1"/>
  <c r="R13" i="1"/>
  <c r="O13" i="1"/>
  <c r="P13" i="1" s="1"/>
  <c r="Q13" i="1" s="1"/>
  <c r="H13" i="1"/>
  <c r="I13" i="1" s="1"/>
  <c r="G13" i="1"/>
  <c r="F13" i="1"/>
  <c r="O12" i="1"/>
  <c r="S12" i="1" s="1"/>
  <c r="I12" i="1"/>
  <c r="H12" i="1"/>
  <c r="G12" i="1"/>
  <c r="F12" i="1"/>
  <c r="S11" i="1"/>
  <c r="R11" i="1"/>
  <c r="O11" i="1"/>
  <c r="P11" i="1" s="1"/>
  <c r="Q11" i="1" s="1"/>
  <c r="I11" i="1"/>
  <c r="H11" i="1"/>
  <c r="G11" i="1"/>
  <c r="F11" i="1"/>
  <c r="O10" i="1"/>
  <c r="S10" i="1" s="1"/>
  <c r="I10" i="1"/>
  <c r="H10" i="1"/>
  <c r="G10" i="1"/>
  <c r="F10" i="1"/>
  <c r="R9" i="1"/>
  <c r="O9" i="1"/>
  <c r="P9" i="1" s="1"/>
  <c r="Q9" i="1" s="1"/>
  <c r="H9" i="1"/>
  <c r="I9" i="1" s="1"/>
  <c r="G9" i="1"/>
  <c r="F9" i="1"/>
  <c r="O8" i="1"/>
  <c r="S8" i="1" s="1"/>
  <c r="I8" i="1"/>
  <c r="H8" i="1"/>
  <c r="G8" i="1"/>
  <c r="F8" i="1"/>
  <c r="S7" i="1"/>
  <c r="R7" i="1"/>
  <c r="O7" i="1"/>
  <c r="P7" i="1" s="1"/>
  <c r="Q7" i="1" s="1"/>
  <c r="I7" i="1"/>
  <c r="H7" i="1"/>
  <c r="G7" i="1"/>
  <c r="F7" i="1"/>
  <c r="O6" i="1"/>
  <c r="S6" i="1" s="1"/>
  <c r="I6" i="1"/>
  <c r="H6" i="1"/>
  <c r="G6" i="1"/>
  <c r="F6" i="1"/>
  <c r="R5" i="1"/>
  <c r="O5" i="1"/>
  <c r="P5" i="1" s="1"/>
  <c r="Q5" i="1" s="1"/>
  <c r="H5" i="1"/>
  <c r="I5" i="1" s="1"/>
  <c r="G5" i="1"/>
  <c r="F5" i="1"/>
  <c r="O4" i="1"/>
  <c r="S4" i="1" s="1"/>
  <c r="I4" i="1"/>
  <c r="H4" i="1"/>
  <c r="G4" i="1"/>
  <c r="F4" i="1"/>
  <c r="S3" i="1"/>
  <c r="R3" i="1"/>
  <c r="O3" i="1"/>
  <c r="P3" i="1" s="1"/>
  <c r="Q3" i="1" s="1"/>
  <c r="I3" i="1"/>
  <c r="H3" i="1"/>
  <c r="G3" i="1"/>
  <c r="F3" i="1"/>
  <c r="O2" i="1"/>
  <c r="S2" i="1" s="1"/>
  <c r="I2" i="1"/>
  <c r="H2" i="1"/>
  <c r="G2" i="1"/>
  <c r="F2" i="1"/>
  <c r="S152" i="1" l="1"/>
  <c r="P152" i="1"/>
  <c r="Q152" i="1" s="1"/>
  <c r="P18" i="1"/>
  <c r="Q18" i="1" s="1"/>
  <c r="P22" i="1"/>
  <c r="Q22" i="1" s="1"/>
  <c r="P30" i="1"/>
  <c r="Q30" i="1" s="1"/>
  <c r="P53" i="1"/>
  <c r="Q53" i="1" s="1"/>
  <c r="S63" i="1"/>
  <c r="P63" i="1"/>
  <c r="Q63" i="1" s="1"/>
  <c r="R49" i="1"/>
  <c r="S55" i="1"/>
  <c r="P55" i="1"/>
  <c r="Q55" i="1" s="1"/>
  <c r="S67" i="1"/>
  <c r="P67" i="1"/>
  <c r="Q67" i="1" s="1"/>
  <c r="S79" i="1"/>
  <c r="P79" i="1"/>
  <c r="Q79" i="1" s="1"/>
  <c r="S91" i="1"/>
  <c r="P91" i="1"/>
  <c r="Q91" i="1" s="1"/>
  <c r="S103" i="1"/>
  <c r="P103" i="1"/>
  <c r="Q103" i="1" s="1"/>
  <c r="S115" i="1"/>
  <c r="P115" i="1"/>
  <c r="Q115" i="1" s="1"/>
  <c r="S127" i="1"/>
  <c r="P127" i="1"/>
  <c r="Q127" i="1" s="1"/>
  <c r="S139" i="1"/>
  <c r="P139" i="1"/>
  <c r="Q139" i="1" s="1"/>
  <c r="S151" i="1"/>
  <c r="P151" i="1"/>
  <c r="Q151" i="1" s="1"/>
  <c r="S163" i="1"/>
  <c r="P163" i="1"/>
  <c r="Q163" i="1" s="1"/>
  <c r="S175" i="1"/>
  <c r="P175" i="1"/>
  <c r="Q175" i="1" s="1"/>
  <c r="S187" i="1"/>
  <c r="P187" i="1"/>
  <c r="Q187" i="1" s="1"/>
  <c r="S199" i="1"/>
  <c r="P199" i="1"/>
  <c r="Q199" i="1" s="1"/>
  <c r="S211" i="1"/>
  <c r="P211" i="1"/>
  <c r="Q211" i="1" s="1"/>
  <c r="S61" i="1"/>
  <c r="P61" i="1"/>
  <c r="Q61" i="1" s="1"/>
  <c r="S97" i="1"/>
  <c r="P97" i="1"/>
  <c r="Q97" i="1" s="1"/>
  <c r="P98" i="1"/>
  <c r="Q98" i="1" s="1"/>
  <c r="S98" i="1"/>
  <c r="P110" i="1"/>
  <c r="Q110" i="1" s="1"/>
  <c r="S110" i="1"/>
  <c r="P146" i="1"/>
  <c r="Q146" i="1" s="1"/>
  <c r="S146" i="1"/>
  <c r="P158" i="1"/>
  <c r="Q158" i="1" s="1"/>
  <c r="S158" i="1"/>
  <c r="P170" i="1"/>
  <c r="Q170" i="1" s="1"/>
  <c r="S170" i="1"/>
  <c r="P182" i="1"/>
  <c r="Q182" i="1" s="1"/>
  <c r="S182" i="1"/>
  <c r="P194" i="1"/>
  <c r="Q194" i="1" s="1"/>
  <c r="S194" i="1"/>
  <c r="P206" i="1"/>
  <c r="Q206" i="1" s="1"/>
  <c r="S206" i="1"/>
  <c r="S104" i="1"/>
  <c r="P104" i="1"/>
  <c r="Q104" i="1" s="1"/>
  <c r="P62" i="1"/>
  <c r="Q62" i="1" s="1"/>
  <c r="S62" i="1"/>
  <c r="P74" i="1"/>
  <c r="Q74" i="1" s="1"/>
  <c r="S74" i="1"/>
  <c r="P86" i="1"/>
  <c r="Q86" i="1" s="1"/>
  <c r="S86" i="1"/>
  <c r="P122" i="1"/>
  <c r="Q122" i="1" s="1"/>
  <c r="S122" i="1"/>
  <c r="P134" i="1"/>
  <c r="Q134" i="1" s="1"/>
  <c r="S134" i="1"/>
  <c r="P4" i="1"/>
  <c r="Q4" i="1" s="1"/>
  <c r="S5" i="1"/>
  <c r="P8" i="1"/>
  <c r="Q8" i="1" s="1"/>
  <c r="S9" i="1"/>
  <c r="P12" i="1"/>
  <c r="Q12" i="1" s="1"/>
  <c r="S13" i="1"/>
  <c r="P16" i="1"/>
  <c r="Q16" i="1" s="1"/>
  <c r="S17" i="1"/>
  <c r="P20" i="1"/>
  <c r="Q20" i="1" s="1"/>
  <c r="S21" i="1"/>
  <c r="P24" i="1"/>
  <c r="Q24" i="1" s="1"/>
  <c r="S25" i="1"/>
  <c r="P28" i="1"/>
  <c r="Q28" i="1" s="1"/>
  <c r="S29" i="1"/>
  <c r="P32" i="1"/>
  <c r="Q32" i="1" s="1"/>
  <c r="S33" i="1"/>
  <c r="P36" i="1"/>
  <c r="Q36" i="1" s="1"/>
  <c r="S37" i="1"/>
  <c r="P40" i="1"/>
  <c r="Q40" i="1" s="1"/>
  <c r="S41" i="1"/>
  <c r="P44" i="1"/>
  <c r="Q44" i="1" s="1"/>
  <c r="S45" i="1"/>
  <c r="S52" i="1"/>
  <c r="R55" i="1"/>
  <c r="S57" i="1"/>
  <c r="P57" i="1"/>
  <c r="Q57" i="1" s="1"/>
  <c r="R67" i="1"/>
  <c r="S69" i="1"/>
  <c r="P69" i="1"/>
  <c r="Q69" i="1" s="1"/>
  <c r="R79" i="1"/>
  <c r="S81" i="1"/>
  <c r="P81" i="1"/>
  <c r="Q81" i="1" s="1"/>
  <c r="R91" i="1"/>
  <c r="S93" i="1"/>
  <c r="P93" i="1"/>
  <c r="Q93" i="1" s="1"/>
  <c r="R103" i="1"/>
  <c r="S105" i="1"/>
  <c r="P105" i="1"/>
  <c r="Q105" i="1" s="1"/>
  <c r="R115" i="1"/>
  <c r="S117" i="1"/>
  <c r="P117" i="1"/>
  <c r="Q117" i="1" s="1"/>
  <c r="R127" i="1"/>
  <c r="S129" i="1"/>
  <c r="P129" i="1"/>
  <c r="Q129" i="1" s="1"/>
  <c r="R139" i="1"/>
  <c r="S141" i="1"/>
  <c r="P141" i="1"/>
  <c r="Q141" i="1" s="1"/>
  <c r="R151" i="1"/>
  <c r="S153" i="1"/>
  <c r="P153" i="1"/>
  <c r="Q153" i="1" s="1"/>
  <c r="R163" i="1"/>
  <c r="S165" i="1"/>
  <c r="P165" i="1"/>
  <c r="Q165" i="1" s="1"/>
  <c r="R175" i="1"/>
  <c r="S177" i="1"/>
  <c r="P177" i="1"/>
  <c r="Q177" i="1" s="1"/>
  <c r="R187" i="1"/>
  <c r="S189" i="1"/>
  <c r="P189" i="1"/>
  <c r="Q189" i="1" s="1"/>
  <c r="R199" i="1"/>
  <c r="S201" i="1"/>
  <c r="P201" i="1"/>
  <c r="Q201" i="1" s="1"/>
  <c r="R211" i="1"/>
  <c r="S213" i="1"/>
  <c r="P213" i="1"/>
  <c r="Q213" i="1" s="1"/>
  <c r="S109" i="1"/>
  <c r="P109" i="1"/>
  <c r="Q109" i="1" s="1"/>
  <c r="S121" i="1"/>
  <c r="P121" i="1"/>
  <c r="Q121" i="1" s="1"/>
  <c r="S133" i="1"/>
  <c r="P133" i="1"/>
  <c r="Q133" i="1" s="1"/>
  <c r="S145" i="1"/>
  <c r="P145" i="1"/>
  <c r="Q145" i="1" s="1"/>
  <c r="S116" i="1"/>
  <c r="P116" i="1"/>
  <c r="Q116" i="1" s="1"/>
  <c r="S140" i="1"/>
  <c r="P140" i="1"/>
  <c r="Q140" i="1" s="1"/>
  <c r="R62" i="1"/>
  <c r="S64" i="1"/>
  <c r="P64" i="1"/>
  <c r="Q64" i="1" s="1"/>
  <c r="R74" i="1"/>
  <c r="S76" i="1"/>
  <c r="P76" i="1"/>
  <c r="Q76" i="1" s="1"/>
  <c r="R86" i="1"/>
  <c r="S88" i="1"/>
  <c r="P88" i="1"/>
  <c r="Q88" i="1" s="1"/>
  <c r="R98" i="1"/>
  <c r="S100" i="1"/>
  <c r="P100" i="1"/>
  <c r="Q100" i="1" s="1"/>
  <c r="R110" i="1"/>
  <c r="S112" i="1"/>
  <c r="P112" i="1"/>
  <c r="Q112" i="1" s="1"/>
  <c r="R122" i="1"/>
  <c r="S124" i="1"/>
  <c r="P124" i="1"/>
  <c r="Q124" i="1" s="1"/>
  <c r="R134" i="1"/>
  <c r="S136" i="1"/>
  <c r="P136" i="1"/>
  <c r="Q136" i="1" s="1"/>
  <c r="R146" i="1"/>
  <c r="S148" i="1"/>
  <c r="P148" i="1"/>
  <c r="Q148" i="1" s="1"/>
  <c r="R158" i="1"/>
  <c r="S160" i="1"/>
  <c r="P160" i="1"/>
  <c r="Q160" i="1" s="1"/>
  <c r="R170" i="1"/>
  <c r="S172" i="1"/>
  <c r="P172" i="1"/>
  <c r="Q172" i="1" s="1"/>
  <c r="R182" i="1"/>
  <c r="S184" i="1"/>
  <c r="P184" i="1"/>
  <c r="Q184" i="1" s="1"/>
  <c r="R194" i="1"/>
  <c r="S196" i="1"/>
  <c r="P196" i="1"/>
  <c r="Q196" i="1" s="1"/>
  <c r="R206" i="1"/>
  <c r="S208" i="1"/>
  <c r="P208" i="1"/>
  <c r="Q208" i="1" s="1"/>
  <c r="S85" i="1"/>
  <c r="P85" i="1"/>
  <c r="Q85" i="1" s="1"/>
  <c r="R8" i="1"/>
  <c r="R12" i="1"/>
  <c r="R16" i="1"/>
  <c r="R20" i="1"/>
  <c r="R24" i="1"/>
  <c r="R28" i="1"/>
  <c r="R32" i="1"/>
  <c r="R36" i="1"/>
  <c r="R40" i="1"/>
  <c r="R44" i="1"/>
  <c r="S59" i="1"/>
  <c r="P59" i="1"/>
  <c r="Q59" i="1" s="1"/>
  <c r="S71" i="1"/>
  <c r="P71" i="1"/>
  <c r="Q71" i="1" s="1"/>
  <c r="S83" i="1"/>
  <c r="P83" i="1"/>
  <c r="Q83" i="1" s="1"/>
  <c r="S95" i="1"/>
  <c r="P95" i="1"/>
  <c r="Q95" i="1" s="1"/>
  <c r="S107" i="1"/>
  <c r="P107" i="1"/>
  <c r="Q107" i="1" s="1"/>
  <c r="S119" i="1"/>
  <c r="P119" i="1"/>
  <c r="Q119" i="1" s="1"/>
  <c r="S131" i="1"/>
  <c r="P131" i="1"/>
  <c r="Q131" i="1" s="1"/>
  <c r="S143" i="1"/>
  <c r="P143" i="1"/>
  <c r="Q143" i="1" s="1"/>
  <c r="S155" i="1"/>
  <c r="P155" i="1"/>
  <c r="Q155" i="1" s="1"/>
  <c r="S167" i="1"/>
  <c r="P167" i="1"/>
  <c r="Q167" i="1" s="1"/>
  <c r="S179" i="1"/>
  <c r="P179" i="1"/>
  <c r="Q179" i="1" s="1"/>
  <c r="S191" i="1"/>
  <c r="P191" i="1"/>
  <c r="Q191" i="1" s="1"/>
  <c r="S203" i="1"/>
  <c r="P203" i="1"/>
  <c r="Q203" i="1" s="1"/>
  <c r="S215" i="1"/>
  <c r="P215" i="1"/>
  <c r="Q215" i="1" s="1"/>
  <c r="R4" i="1"/>
  <c r="P66" i="1"/>
  <c r="Q66" i="1" s="1"/>
  <c r="S66" i="1"/>
  <c r="P78" i="1"/>
  <c r="Q78" i="1" s="1"/>
  <c r="S78" i="1"/>
  <c r="P90" i="1"/>
  <c r="Q90" i="1" s="1"/>
  <c r="S90" i="1"/>
  <c r="P102" i="1"/>
  <c r="Q102" i="1" s="1"/>
  <c r="S102" i="1"/>
  <c r="P114" i="1"/>
  <c r="Q114" i="1" s="1"/>
  <c r="S114" i="1"/>
  <c r="P126" i="1"/>
  <c r="Q126" i="1" s="1"/>
  <c r="S126" i="1"/>
  <c r="P138" i="1"/>
  <c r="Q138" i="1" s="1"/>
  <c r="S138" i="1"/>
  <c r="R148" i="1"/>
  <c r="P150" i="1"/>
  <c r="Q150" i="1" s="1"/>
  <c r="S150" i="1"/>
  <c r="R160" i="1"/>
  <c r="P162" i="1"/>
  <c r="Q162" i="1" s="1"/>
  <c r="S162" i="1"/>
  <c r="R172" i="1"/>
  <c r="P174" i="1"/>
  <c r="Q174" i="1" s="1"/>
  <c r="S174" i="1"/>
  <c r="R184" i="1"/>
  <c r="P186" i="1"/>
  <c r="Q186" i="1" s="1"/>
  <c r="S186" i="1"/>
  <c r="R196" i="1"/>
  <c r="P198" i="1"/>
  <c r="Q198" i="1" s="1"/>
  <c r="S198" i="1"/>
  <c r="R208" i="1"/>
  <c r="P210" i="1"/>
  <c r="Q210" i="1" s="1"/>
  <c r="S210" i="1"/>
  <c r="S73" i="1"/>
  <c r="P73" i="1"/>
  <c r="Q73" i="1" s="1"/>
  <c r="S157" i="1"/>
  <c r="P157" i="1"/>
  <c r="Q157" i="1" s="1"/>
  <c r="S169" i="1"/>
  <c r="P169" i="1"/>
  <c r="Q169" i="1" s="1"/>
  <c r="S181" i="1"/>
  <c r="P181" i="1"/>
  <c r="Q181" i="1" s="1"/>
  <c r="S193" i="1"/>
  <c r="P193" i="1"/>
  <c r="Q193" i="1" s="1"/>
  <c r="S205" i="1"/>
  <c r="P205" i="1"/>
  <c r="Q205" i="1" s="1"/>
  <c r="R215" i="1"/>
  <c r="S200" i="1"/>
  <c r="P200" i="1"/>
  <c r="Q200" i="1" s="1"/>
  <c r="S212" i="1"/>
  <c r="P212" i="1"/>
  <c r="Q212" i="1" s="1"/>
  <c r="S56" i="1"/>
  <c r="P56" i="1"/>
  <c r="Q56" i="1" s="1"/>
  <c r="S68" i="1"/>
  <c r="P68" i="1"/>
  <c r="Q68" i="1" s="1"/>
  <c r="S80" i="1"/>
  <c r="P80" i="1"/>
  <c r="Q80" i="1" s="1"/>
  <c r="S92" i="1"/>
  <c r="P92" i="1"/>
  <c r="Q92" i="1" s="1"/>
  <c r="P2" i="1"/>
  <c r="Q2" i="1" s="1"/>
  <c r="P6" i="1"/>
  <c r="Q6" i="1" s="1"/>
  <c r="P10" i="1"/>
  <c r="Q10" i="1" s="1"/>
  <c r="R61" i="1"/>
  <c r="R73" i="1"/>
  <c r="S75" i="1"/>
  <c r="P75" i="1"/>
  <c r="Q75" i="1" s="1"/>
  <c r="R85" i="1"/>
  <c r="S87" i="1"/>
  <c r="P87" i="1"/>
  <c r="Q87" i="1" s="1"/>
  <c r="R97" i="1"/>
  <c r="S99" i="1"/>
  <c r="P99" i="1"/>
  <c r="Q99" i="1" s="1"/>
  <c r="R109" i="1"/>
  <c r="S111" i="1"/>
  <c r="P111" i="1"/>
  <c r="Q111" i="1" s="1"/>
  <c r="R121" i="1"/>
  <c r="S123" i="1"/>
  <c r="P123" i="1"/>
  <c r="Q123" i="1" s="1"/>
  <c r="R133" i="1"/>
  <c r="S135" i="1"/>
  <c r="P135" i="1"/>
  <c r="Q135" i="1" s="1"/>
  <c r="R145" i="1"/>
  <c r="S147" i="1"/>
  <c r="P147" i="1"/>
  <c r="Q147" i="1" s="1"/>
  <c r="R157" i="1"/>
  <c r="S159" i="1"/>
  <c r="P159" i="1"/>
  <c r="Q159" i="1" s="1"/>
  <c r="R169" i="1"/>
  <c r="S171" i="1"/>
  <c r="P171" i="1"/>
  <c r="Q171" i="1" s="1"/>
  <c r="R181" i="1"/>
  <c r="S183" i="1"/>
  <c r="P183" i="1"/>
  <c r="Q183" i="1" s="1"/>
  <c r="R193" i="1"/>
  <c r="S195" i="1"/>
  <c r="P195" i="1"/>
  <c r="Q195" i="1" s="1"/>
  <c r="R205" i="1"/>
  <c r="S207" i="1"/>
  <c r="P207" i="1"/>
  <c r="Q207" i="1" s="1"/>
  <c r="S128" i="1"/>
  <c r="P128" i="1"/>
  <c r="Q128" i="1" s="1"/>
  <c r="P38" i="1"/>
  <c r="Q38" i="1" s="1"/>
  <c r="P42" i="1"/>
  <c r="Q42" i="1" s="1"/>
  <c r="S50" i="1"/>
  <c r="R56" i="1"/>
  <c r="P58" i="1"/>
  <c r="Q58" i="1" s="1"/>
  <c r="S58" i="1"/>
  <c r="R68" i="1"/>
  <c r="P70" i="1"/>
  <c r="Q70" i="1" s="1"/>
  <c r="S70" i="1"/>
  <c r="R80" i="1"/>
  <c r="P82" i="1"/>
  <c r="Q82" i="1" s="1"/>
  <c r="S82" i="1"/>
  <c r="R92" i="1"/>
  <c r="P94" i="1"/>
  <c r="Q94" i="1" s="1"/>
  <c r="S94" i="1"/>
  <c r="R104" i="1"/>
  <c r="P106" i="1"/>
  <c r="Q106" i="1" s="1"/>
  <c r="S106" i="1"/>
  <c r="R116" i="1"/>
  <c r="P118" i="1"/>
  <c r="Q118" i="1" s="1"/>
  <c r="S118" i="1"/>
  <c r="R128" i="1"/>
  <c r="P130" i="1"/>
  <c r="Q130" i="1" s="1"/>
  <c r="S130" i="1"/>
  <c r="R140" i="1"/>
  <c r="P142" i="1"/>
  <c r="Q142" i="1" s="1"/>
  <c r="S142" i="1"/>
  <c r="R152" i="1"/>
  <c r="P154" i="1"/>
  <c r="Q154" i="1" s="1"/>
  <c r="S154" i="1"/>
  <c r="P166" i="1"/>
  <c r="Q166" i="1" s="1"/>
  <c r="S166" i="1"/>
  <c r="P178" i="1"/>
  <c r="Q178" i="1" s="1"/>
  <c r="S178" i="1"/>
  <c r="P190" i="1"/>
  <c r="Q190" i="1" s="1"/>
  <c r="S190" i="1"/>
  <c r="R200" i="1"/>
  <c r="P202" i="1"/>
  <c r="Q202" i="1" s="1"/>
  <c r="S202" i="1"/>
  <c r="R212" i="1"/>
  <c r="P214" i="1"/>
  <c r="Q214" i="1" s="1"/>
  <c r="S214" i="1"/>
  <c r="S164" i="1"/>
  <c r="P164" i="1"/>
  <c r="Q164" i="1" s="1"/>
  <c r="S188" i="1"/>
  <c r="P188" i="1"/>
  <c r="Q188" i="1" s="1"/>
  <c r="P26" i="1"/>
  <c r="Q26" i="1" s="1"/>
  <c r="P46" i="1"/>
  <c r="Q46" i="1" s="1"/>
  <c r="R50" i="1"/>
  <c r="R2" i="1"/>
  <c r="R10" i="1"/>
  <c r="R18" i="1"/>
  <c r="R26" i="1"/>
  <c r="R30" i="1"/>
  <c r="R34" i="1"/>
  <c r="R38" i="1"/>
  <c r="R42" i="1"/>
  <c r="R46" i="1"/>
  <c r="R53" i="1"/>
  <c r="R63" i="1"/>
  <c r="S65" i="1"/>
  <c r="P65" i="1"/>
  <c r="Q65" i="1" s="1"/>
  <c r="R75" i="1"/>
  <c r="S77" i="1"/>
  <c r="P77" i="1"/>
  <c r="Q77" i="1" s="1"/>
  <c r="R87" i="1"/>
  <c r="S89" i="1"/>
  <c r="P89" i="1"/>
  <c r="Q89" i="1" s="1"/>
  <c r="R99" i="1"/>
  <c r="S101" i="1"/>
  <c r="P101" i="1"/>
  <c r="Q101" i="1" s="1"/>
  <c r="R111" i="1"/>
  <c r="S113" i="1"/>
  <c r="P113" i="1"/>
  <c r="Q113" i="1" s="1"/>
  <c r="R123" i="1"/>
  <c r="S125" i="1"/>
  <c r="P125" i="1"/>
  <c r="Q125" i="1" s="1"/>
  <c r="R135" i="1"/>
  <c r="S137" i="1"/>
  <c r="P137" i="1"/>
  <c r="Q137" i="1" s="1"/>
  <c r="R147" i="1"/>
  <c r="S149" i="1"/>
  <c r="P149" i="1"/>
  <c r="Q149" i="1" s="1"/>
  <c r="R159" i="1"/>
  <c r="S161" i="1"/>
  <c r="P161" i="1"/>
  <c r="Q161" i="1" s="1"/>
  <c r="R171" i="1"/>
  <c r="S173" i="1"/>
  <c r="P173" i="1"/>
  <c r="Q173" i="1" s="1"/>
  <c r="R183" i="1"/>
  <c r="S185" i="1"/>
  <c r="P185" i="1"/>
  <c r="Q185" i="1" s="1"/>
  <c r="R195" i="1"/>
  <c r="S197" i="1"/>
  <c r="P197" i="1"/>
  <c r="Q197" i="1" s="1"/>
  <c r="R207" i="1"/>
  <c r="S209" i="1"/>
  <c r="P209" i="1"/>
  <c r="Q209" i="1" s="1"/>
  <c r="S176" i="1"/>
  <c r="P176" i="1"/>
  <c r="Q176" i="1" s="1"/>
  <c r="P14" i="1"/>
  <c r="Q14" i="1" s="1"/>
  <c r="P34" i="1"/>
  <c r="Q34" i="1" s="1"/>
  <c r="R6" i="1"/>
  <c r="R14" i="1"/>
  <c r="R22" i="1"/>
  <c r="R58" i="1"/>
  <c r="S60" i="1"/>
  <c r="P60" i="1"/>
  <c r="Q60" i="1" s="1"/>
  <c r="R70" i="1"/>
  <c r="S72" i="1"/>
  <c r="P72" i="1"/>
  <c r="Q72" i="1" s="1"/>
  <c r="R82" i="1"/>
  <c r="S84" i="1"/>
  <c r="P84" i="1"/>
  <c r="Q84" i="1" s="1"/>
  <c r="R94" i="1"/>
  <c r="S96" i="1"/>
  <c r="P96" i="1"/>
  <c r="Q96" i="1" s="1"/>
  <c r="R106" i="1"/>
  <c r="S108" i="1"/>
  <c r="P108" i="1"/>
  <c r="Q108" i="1" s="1"/>
  <c r="R118" i="1"/>
  <c r="S120" i="1"/>
  <c r="P120" i="1"/>
  <c r="Q120" i="1" s="1"/>
  <c r="R130" i="1"/>
  <c r="S132" i="1"/>
  <c r="P132" i="1"/>
  <c r="Q132" i="1" s="1"/>
  <c r="R142" i="1"/>
  <c r="S144" i="1"/>
  <c r="P144" i="1"/>
  <c r="Q144" i="1" s="1"/>
  <c r="R154" i="1"/>
  <c r="S156" i="1"/>
  <c r="P156" i="1"/>
  <c r="Q156" i="1" s="1"/>
  <c r="R166" i="1"/>
  <c r="S168" i="1"/>
  <c r="P168" i="1"/>
  <c r="Q168" i="1" s="1"/>
  <c r="R178" i="1"/>
  <c r="S180" i="1"/>
  <c r="P180" i="1"/>
  <c r="Q180" i="1" s="1"/>
  <c r="R190" i="1"/>
  <c r="S192" i="1"/>
  <c r="P192" i="1"/>
  <c r="Q192" i="1" s="1"/>
  <c r="R202" i="1"/>
  <c r="S204" i="1"/>
  <c r="P204" i="1"/>
  <c r="Q204" i="1" s="1"/>
  <c r="R214" i="1"/>
  <c r="S216" i="1"/>
  <c r="P216" i="1"/>
  <c r="Q216" i="1" s="1"/>
</calcChain>
</file>

<file path=xl/sharedStrings.xml><?xml version="1.0" encoding="utf-8"?>
<sst xmlns="http://schemas.openxmlformats.org/spreadsheetml/2006/main" count="1829" uniqueCount="942">
  <si>
    <t>Название рассылки</t>
  </si>
  <si>
    <t>Название кампании</t>
  </si>
  <si>
    <t>Направление</t>
  </si>
  <si>
    <t>Месяц</t>
  </si>
  <si>
    <t>Дата</t>
  </si>
  <si>
    <t>Год</t>
  </si>
  <si>
    <t>Номер недели</t>
  </si>
  <si>
    <t>День недели</t>
  </si>
  <si>
    <t>Время</t>
  </si>
  <si>
    <t>Веб-версия</t>
  </si>
  <si>
    <t xml:space="preserve">Тема письма </t>
  </si>
  <si>
    <t xml:space="preserve">Сегмент </t>
  </si>
  <si>
    <t>Отправлено</t>
  </si>
  <si>
    <t>Доставлено</t>
  </si>
  <si>
    <t>Открытия</t>
  </si>
  <si>
    <t>Клики</t>
  </si>
  <si>
    <t>Баунсы (Все ошибки)</t>
  </si>
  <si>
    <t>Отписки</t>
  </si>
  <si>
    <t>UTM Метка</t>
  </si>
  <si>
    <t>Пользователей на сайте</t>
  </si>
  <si>
    <t>Воронка продаж. Шаг 1</t>
  </si>
  <si>
    <t>Воронка продаж. Шаг 2</t>
  </si>
  <si>
    <t>Воронка продаж. Шаг 3</t>
  </si>
  <si>
    <t>Название рассылки 1</t>
  </si>
  <si>
    <t>Название кампании 1</t>
  </si>
  <si>
    <t>Email</t>
  </si>
  <si>
    <t>Октябрь</t>
  </si>
  <si>
    <t>#ССЫЛКА</t>
  </si>
  <si>
    <t>Тема письма 1</t>
  </si>
  <si>
    <t>Сегмент 1</t>
  </si>
  <si>
    <t>Метка 1</t>
  </si>
  <si>
    <t>Название рассылки 10</t>
  </si>
  <si>
    <t>Название кампании 10</t>
  </si>
  <si>
    <t>Ноябрь</t>
  </si>
  <si>
    <t>Тема письма 10</t>
  </si>
  <si>
    <t>Сегмент 2</t>
  </si>
  <si>
    <t>Метка 10</t>
  </si>
  <si>
    <t>Название рассылки 100</t>
  </si>
  <si>
    <t>Название кампании 100</t>
  </si>
  <si>
    <t>Апрель</t>
  </si>
  <si>
    <t>Тема письма 100</t>
  </si>
  <si>
    <t>Сегмент 3</t>
  </si>
  <si>
    <t>Метка 100</t>
  </si>
  <si>
    <t>Название рассылки 101</t>
  </si>
  <si>
    <t>Название кампании 101</t>
  </si>
  <si>
    <t>Тема письма 101</t>
  </si>
  <si>
    <t>Метка 101</t>
  </si>
  <si>
    <t>Название рассылки 102</t>
  </si>
  <si>
    <t>Название кампании 102</t>
  </si>
  <si>
    <t>Тема письма 102</t>
  </si>
  <si>
    <t>Метка 102</t>
  </si>
  <si>
    <t>Название рассылки 103</t>
  </si>
  <si>
    <t>Название кампании 103</t>
  </si>
  <si>
    <t>Тема письма 103</t>
  </si>
  <si>
    <t>Метка 103</t>
  </si>
  <si>
    <t>Название рассылки 104</t>
  </si>
  <si>
    <t>Название кампании 104</t>
  </si>
  <si>
    <t>Тема письма 104</t>
  </si>
  <si>
    <t>Метка 104</t>
  </si>
  <si>
    <t>Название рассылки 105</t>
  </si>
  <si>
    <t>Название кампании 105</t>
  </si>
  <si>
    <t>Тема письма 105</t>
  </si>
  <si>
    <t>Метка 105</t>
  </si>
  <si>
    <t>Название рассылки 106</t>
  </si>
  <si>
    <t>Название кампании 106</t>
  </si>
  <si>
    <t>Тема письма 106</t>
  </si>
  <si>
    <t>Метка 106</t>
  </si>
  <si>
    <t>Название рассылки 107</t>
  </si>
  <si>
    <t>Название кампании 107</t>
  </si>
  <si>
    <t>Тема письма 107</t>
  </si>
  <si>
    <t>Метка 107</t>
  </si>
  <si>
    <t>Название рассылки 108</t>
  </si>
  <si>
    <t>Название кампании 108</t>
  </si>
  <si>
    <t>Тема письма 108</t>
  </si>
  <si>
    <t>Метка 108</t>
  </si>
  <si>
    <t>Название рассылки 109</t>
  </si>
  <si>
    <t>Название кампании 109</t>
  </si>
  <si>
    <t>Тема письма 109</t>
  </si>
  <si>
    <t>Метка 109</t>
  </si>
  <si>
    <t>Название рассылки 11</t>
  </si>
  <si>
    <t>Название кампании 11</t>
  </si>
  <si>
    <t>Тема письма 11</t>
  </si>
  <si>
    <t>Метка 11</t>
  </si>
  <si>
    <t>Название рассылки 110</t>
  </si>
  <si>
    <t>Название кампании 110</t>
  </si>
  <si>
    <t>Тема письма 110</t>
  </si>
  <si>
    <t>Метка 110</t>
  </si>
  <si>
    <t>Название рассылки 111</t>
  </si>
  <si>
    <t>Название кампании 111</t>
  </si>
  <si>
    <t>Май</t>
  </si>
  <si>
    <t>Тема письма 111</t>
  </si>
  <si>
    <t>Метка 111</t>
  </si>
  <si>
    <t>Название рассылки 112</t>
  </si>
  <si>
    <t>Название кампании 112</t>
  </si>
  <si>
    <t>Тема письма 112</t>
  </si>
  <si>
    <t>Метка 112</t>
  </si>
  <si>
    <t>Название рассылки 113</t>
  </si>
  <si>
    <t>Название кампании 113</t>
  </si>
  <si>
    <t>Тема письма 113</t>
  </si>
  <si>
    <t>Метка 113</t>
  </si>
  <si>
    <t>Название рассылки 114</t>
  </si>
  <si>
    <t>Название кампании 114</t>
  </si>
  <si>
    <t>Тема письма 114</t>
  </si>
  <si>
    <t>Метка 114</t>
  </si>
  <si>
    <t>Название рассылки 115</t>
  </si>
  <si>
    <t>Название кампании 115</t>
  </si>
  <si>
    <t>Тема письма 115</t>
  </si>
  <si>
    <t>Метка 115</t>
  </si>
  <si>
    <t>Название рассылки 116</t>
  </si>
  <si>
    <t>Название кампании 116</t>
  </si>
  <si>
    <t>Тема письма 116</t>
  </si>
  <si>
    <t>Метка 116</t>
  </si>
  <si>
    <t>Название рассылки 117</t>
  </si>
  <si>
    <t>Название кампании 117</t>
  </si>
  <si>
    <t>Тема письма 117</t>
  </si>
  <si>
    <t>Метка 117</t>
  </si>
  <si>
    <t>Название рассылки 118</t>
  </si>
  <si>
    <t>Название кампании 118</t>
  </si>
  <si>
    <t>Тема письма 118</t>
  </si>
  <si>
    <t>Метка 118</t>
  </si>
  <si>
    <t>Название рассылки 119</t>
  </si>
  <si>
    <t>Название кампании 119</t>
  </si>
  <si>
    <t>Тема письма 119</t>
  </si>
  <si>
    <t>Метка 119</t>
  </si>
  <si>
    <t>Название рассылки 12</t>
  </si>
  <si>
    <t>Название кампании 12</t>
  </si>
  <si>
    <t>Тема письма 12</t>
  </si>
  <si>
    <t>Метка 12</t>
  </si>
  <si>
    <t>Название рассылки 120</t>
  </si>
  <si>
    <t>Название кампании 120</t>
  </si>
  <si>
    <t>Тема письма 120</t>
  </si>
  <si>
    <t>Метка 120</t>
  </si>
  <si>
    <t>Название рассылки 121</t>
  </si>
  <si>
    <t>Название кампании 121</t>
  </si>
  <si>
    <t>Тема письма 121</t>
  </si>
  <si>
    <t>Метка 121</t>
  </si>
  <si>
    <t>Название рассылки 122</t>
  </si>
  <si>
    <t>Название кампании 122</t>
  </si>
  <si>
    <t>Тема письма 122</t>
  </si>
  <si>
    <t>Метка 122</t>
  </si>
  <si>
    <t>Название рассылки 123</t>
  </si>
  <si>
    <t>Название кампании 123</t>
  </si>
  <si>
    <t>Тема письма 123</t>
  </si>
  <si>
    <t>Метка 123</t>
  </si>
  <si>
    <t>Название рассылки 124</t>
  </si>
  <si>
    <t>Название кампании 124</t>
  </si>
  <si>
    <t>Июнь</t>
  </si>
  <si>
    <t>Тема письма 124</t>
  </si>
  <si>
    <t>Метка 124</t>
  </si>
  <si>
    <t>Название рассылки 125</t>
  </si>
  <si>
    <t>Название кампании 125</t>
  </si>
  <si>
    <t>Тема письма 125</t>
  </si>
  <si>
    <t>Метка 125</t>
  </si>
  <si>
    <t>Название рассылки 126</t>
  </si>
  <si>
    <t>Название кампании 126</t>
  </si>
  <si>
    <t>Тема письма 126</t>
  </si>
  <si>
    <t>Метка 126</t>
  </si>
  <si>
    <t>Название рассылки 127</t>
  </si>
  <si>
    <t>Название кампании 127</t>
  </si>
  <si>
    <t>Тема письма 127</t>
  </si>
  <si>
    <t>Метка 127</t>
  </si>
  <si>
    <t>Название рассылки 128</t>
  </si>
  <si>
    <t>Название кампании 128</t>
  </si>
  <si>
    <t>Тема письма 128</t>
  </si>
  <si>
    <t>Метка 128</t>
  </si>
  <si>
    <t>Название рассылки 129</t>
  </si>
  <si>
    <t>Название кампании 129</t>
  </si>
  <si>
    <t>Тема письма 129</t>
  </si>
  <si>
    <t>Метка 129</t>
  </si>
  <si>
    <t>Название рассылки 13</t>
  </si>
  <si>
    <t>Название кампании 13</t>
  </si>
  <si>
    <t>Тема письма 13</t>
  </si>
  <si>
    <t>Метка 13</t>
  </si>
  <si>
    <t>Название рассылки 130</t>
  </si>
  <si>
    <t>Название кампании 130</t>
  </si>
  <si>
    <t>Тема письма 130</t>
  </si>
  <si>
    <t>Метка 130</t>
  </si>
  <si>
    <t>Название рассылки 131</t>
  </si>
  <si>
    <t>Название кампании 131</t>
  </si>
  <si>
    <t>Тема письма 131</t>
  </si>
  <si>
    <t>Метка 131</t>
  </si>
  <si>
    <t>Название рассылки 132</t>
  </si>
  <si>
    <t>Название кампании 132</t>
  </si>
  <si>
    <t>Тема письма 132</t>
  </si>
  <si>
    <t>Метка 132</t>
  </si>
  <si>
    <t>Название рассылки 133</t>
  </si>
  <si>
    <t>Название кампании 133</t>
  </si>
  <si>
    <t>Тема письма 133</t>
  </si>
  <si>
    <t>Метка 133</t>
  </si>
  <si>
    <t>Название рассылки 134</t>
  </si>
  <si>
    <t>Название кампании 134</t>
  </si>
  <si>
    <t>Тема письма 134</t>
  </si>
  <si>
    <t>Метка 134</t>
  </si>
  <si>
    <t>Название рассылки 135</t>
  </si>
  <si>
    <t>Название кампании 135</t>
  </si>
  <si>
    <t>Тема письма 135</t>
  </si>
  <si>
    <t>Метка 135</t>
  </si>
  <si>
    <t>Название рассылки 136</t>
  </si>
  <si>
    <t>Название кампании 136</t>
  </si>
  <si>
    <t>Июль</t>
  </si>
  <si>
    <t>Тема письма 136</t>
  </si>
  <si>
    <t>Метка 136</t>
  </si>
  <si>
    <t>Название рассылки 137</t>
  </si>
  <si>
    <t>Название кампании 137</t>
  </si>
  <si>
    <t>Тема письма 137</t>
  </si>
  <si>
    <t>Метка 137</t>
  </si>
  <si>
    <t>Название рассылки 138</t>
  </si>
  <si>
    <t>Название кампании 138</t>
  </si>
  <si>
    <t>Тема письма 138</t>
  </si>
  <si>
    <t>Метка 138</t>
  </si>
  <si>
    <t>Название рассылки 139</t>
  </si>
  <si>
    <t>Название кампании 139</t>
  </si>
  <si>
    <t>Тема письма 139</t>
  </si>
  <si>
    <t>Метка 139</t>
  </si>
  <si>
    <t>Название рассылки 14</t>
  </si>
  <si>
    <t>Название кампании 14</t>
  </si>
  <si>
    <t>Тема письма 14</t>
  </si>
  <si>
    <t>Метка 14</t>
  </si>
  <si>
    <t>Название рассылки 140</t>
  </si>
  <si>
    <t>Название кампании 140</t>
  </si>
  <si>
    <t>Тема письма 140</t>
  </si>
  <si>
    <t>Метка 140</t>
  </si>
  <si>
    <t>Название рассылки 141</t>
  </si>
  <si>
    <t>Название кампании 141</t>
  </si>
  <si>
    <t>Тема письма 141</t>
  </si>
  <si>
    <t>Метка 141</t>
  </si>
  <si>
    <t>Название рассылки 142</t>
  </si>
  <si>
    <t>Название кампании 142</t>
  </si>
  <si>
    <t>Август</t>
  </si>
  <si>
    <t>Тема письма 142</t>
  </si>
  <si>
    <t>Метка 142</t>
  </si>
  <si>
    <t>Название рассылки 143</t>
  </si>
  <si>
    <t>Название кампании 143</t>
  </si>
  <si>
    <t>Тема письма 143</t>
  </si>
  <si>
    <t>Метка 143</t>
  </si>
  <si>
    <t>Название рассылки 144</t>
  </si>
  <si>
    <t>Название кампании 144</t>
  </si>
  <si>
    <t>Тема письма 144</t>
  </si>
  <si>
    <t>Метка 144</t>
  </si>
  <si>
    <t>Название рассылки 145</t>
  </si>
  <si>
    <t>Название кампании 145</t>
  </si>
  <si>
    <t>Тема письма 145</t>
  </si>
  <si>
    <t>Метка 145</t>
  </si>
  <si>
    <t>Название рассылки 146</t>
  </si>
  <si>
    <t>Название кампании 146</t>
  </si>
  <si>
    <t>Тема письма 146</t>
  </si>
  <si>
    <t>Метка 146</t>
  </si>
  <si>
    <t>Название рассылки 147</t>
  </si>
  <si>
    <t>Название кампании 147</t>
  </si>
  <si>
    <t>Тема письма 147</t>
  </si>
  <si>
    <t>Метка 147</t>
  </si>
  <si>
    <t>Название рассылки 148</t>
  </si>
  <si>
    <t>Название кампании 148</t>
  </si>
  <si>
    <t>Сентябрь</t>
  </si>
  <si>
    <t>Тема письма 148</t>
  </si>
  <si>
    <t>Метка 148</t>
  </si>
  <si>
    <t>Название рассылки 149</t>
  </si>
  <si>
    <t>Название кампании 149</t>
  </si>
  <si>
    <t>Тема письма 149</t>
  </si>
  <si>
    <t>Метка 149</t>
  </si>
  <si>
    <t>Название рассылки 15</t>
  </si>
  <si>
    <t>Название кампании 15</t>
  </si>
  <si>
    <t>Тема письма 15</t>
  </si>
  <si>
    <t>Метка 15</t>
  </si>
  <si>
    <t>Название рассылки 150</t>
  </si>
  <si>
    <t>Название кампании 150</t>
  </si>
  <si>
    <t>Тема письма 150</t>
  </si>
  <si>
    <t>Метка 150</t>
  </si>
  <si>
    <t>Название рассылки 151</t>
  </si>
  <si>
    <t>Название кампании 151</t>
  </si>
  <si>
    <t>Тема письма 151</t>
  </si>
  <si>
    <t>Метка 151</t>
  </si>
  <si>
    <t>Название рассылки 152</t>
  </si>
  <si>
    <t>Название кампании 152</t>
  </si>
  <si>
    <t>Тема письма 152</t>
  </si>
  <si>
    <t>Метка 152</t>
  </si>
  <si>
    <t>Название рассылки 153</t>
  </si>
  <si>
    <t>Название кампании 153</t>
  </si>
  <si>
    <t>Тема письма 153</t>
  </si>
  <si>
    <t>Метка 153</t>
  </si>
  <si>
    <t>Название рассылки 154</t>
  </si>
  <si>
    <t>Название кампании 154</t>
  </si>
  <si>
    <t>Тема письма 154</t>
  </si>
  <si>
    <t>Метка 154</t>
  </si>
  <si>
    <t>Название рассылки 155</t>
  </si>
  <si>
    <t>Название кампании 155</t>
  </si>
  <si>
    <t>Тема письма 155</t>
  </si>
  <si>
    <t>Метка 155</t>
  </si>
  <si>
    <t>Название рассылки 156</t>
  </si>
  <si>
    <t>Название кампании 156</t>
  </si>
  <si>
    <t>Тема письма 156</t>
  </si>
  <si>
    <t>Метка 156</t>
  </si>
  <si>
    <t>Название рассылки 157</t>
  </si>
  <si>
    <t>Название кампании 157</t>
  </si>
  <si>
    <t>Тема письма 157</t>
  </si>
  <si>
    <t>Метка 157</t>
  </si>
  <si>
    <t>Название рассылки 158</t>
  </si>
  <si>
    <t>Название кампании 158</t>
  </si>
  <si>
    <t>Тема письма 158</t>
  </si>
  <si>
    <t>Метка 158</t>
  </si>
  <si>
    <t>Название рассылки 159</t>
  </si>
  <si>
    <t>Название кампании 159</t>
  </si>
  <si>
    <t>Тема письма 159</t>
  </si>
  <si>
    <t>Метка 159</t>
  </si>
  <si>
    <t>Название рассылки 16</t>
  </si>
  <si>
    <t>Название кампании 16</t>
  </si>
  <si>
    <t>Тема письма 16</t>
  </si>
  <si>
    <t>Метка 16</t>
  </si>
  <si>
    <t>Название рассылки 160</t>
  </si>
  <si>
    <t>Название кампании 160</t>
  </si>
  <si>
    <t>Тема письма 160</t>
  </si>
  <si>
    <t>Метка 160</t>
  </si>
  <si>
    <t>Название рассылки 161</t>
  </si>
  <si>
    <t>Название кампании 161</t>
  </si>
  <si>
    <t>Тема письма 161</t>
  </si>
  <si>
    <t>Метка 161</t>
  </si>
  <si>
    <t>Название рассылки 162</t>
  </si>
  <si>
    <t>Название кампании 162</t>
  </si>
  <si>
    <t>Тема письма 162</t>
  </si>
  <si>
    <t>Метка 162</t>
  </si>
  <si>
    <t>Название рассылки 163</t>
  </si>
  <si>
    <t>Название кампании 163</t>
  </si>
  <si>
    <t>Тема письма 163</t>
  </si>
  <si>
    <t>Метка 163</t>
  </si>
  <si>
    <t>Название рассылки 164</t>
  </si>
  <si>
    <t>Название кампании 164</t>
  </si>
  <si>
    <t>Тема письма 164</t>
  </si>
  <si>
    <t>Метка 164</t>
  </si>
  <si>
    <t>Название рассылки 165</t>
  </si>
  <si>
    <t>Название кампании 165</t>
  </si>
  <si>
    <t>Тема письма 165</t>
  </si>
  <si>
    <t>Метка 165</t>
  </si>
  <si>
    <t>Название рассылки 166</t>
  </si>
  <si>
    <t>Название кампании 166</t>
  </si>
  <si>
    <t>Тема письма 166</t>
  </si>
  <si>
    <t>Метка 166</t>
  </si>
  <si>
    <t>Название рассылки 167</t>
  </si>
  <si>
    <t>Название кампании 167</t>
  </si>
  <si>
    <t>Тема письма 167</t>
  </si>
  <si>
    <t>Метка 167</t>
  </si>
  <si>
    <t>Название рассылки 168</t>
  </si>
  <si>
    <t>Название кампании 168</t>
  </si>
  <si>
    <t>Тема письма 168</t>
  </si>
  <si>
    <t>Метка 168</t>
  </si>
  <si>
    <t>Название рассылки 169</t>
  </si>
  <si>
    <t>Название кампании 169</t>
  </si>
  <si>
    <t>Тема письма 169</t>
  </si>
  <si>
    <t>Метка 169</t>
  </si>
  <si>
    <t>Название рассылки 17</t>
  </si>
  <si>
    <t>Название кампании 17</t>
  </si>
  <si>
    <t>Тема письма 17</t>
  </si>
  <si>
    <t>Метка 17</t>
  </si>
  <si>
    <t>Название рассылки 170</t>
  </si>
  <si>
    <t>Название кампании 170</t>
  </si>
  <si>
    <t>Тема письма 170</t>
  </si>
  <si>
    <t>Метка 170</t>
  </si>
  <si>
    <t>Название рассылки 171</t>
  </si>
  <si>
    <t>Название кампании 171</t>
  </si>
  <si>
    <t>Тема письма 171</t>
  </si>
  <si>
    <t>Метка 171</t>
  </si>
  <si>
    <t>Название рассылки 172</t>
  </si>
  <si>
    <t>Название кампании 172</t>
  </si>
  <si>
    <t>Тема письма 172</t>
  </si>
  <si>
    <t>Метка 172</t>
  </si>
  <si>
    <t>Название рассылки 173</t>
  </si>
  <si>
    <t>Название кампании 173</t>
  </si>
  <si>
    <t>Тема письма 173</t>
  </si>
  <si>
    <t>Метка 173</t>
  </si>
  <si>
    <t>Название рассылки 174</t>
  </si>
  <si>
    <t>Название кампании 174</t>
  </si>
  <si>
    <t>Тема письма 174</t>
  </si>
  <si>
    <t>Метка 174</t>
  </si>
  <si>
    <t>Название рассылки 175</t>
  </si>
  <si>
    <t>Название кампании 175</t>
  </si>
  <si>
    <t>Тема письма 175</t>
  </si>
  <si>
    <t>Метка 175</t>
  </si>
  <si>
    <t>Название рассылки 176</t>
  </si>
  <si>
    <t>Название кампании 176</t>
  </si>
  <si>
    <t>Тема письма 176</t>
  </si>
  <si>
    <t>Метка 176</t>
  </si>
  <si>
    <t>Название рассылки 177</t>
  </si>
  <si>
    <t>Название кампании 177</t>
  </si>
  <si>
    <t>Тема письма 177</t>
  </si>
  <si>
    <t>Метка 177</t>
  </si>
  <si>
    <t>Название рассылки 178</t>
  </si>
  <si>
    <t>Название кампании 178</t>
  </si>
  <si>
    <t>Тема письма 178</t>
  </si>
  <si>
    <t>Метка 178</t>
  </si>
  <si>
    <t>Название рассылки 179</t>
  </si>
  <si>
    <t>Название кампании 179</t>
  </si>
  <si>
    <t>Тема письма 179</t>
  </si>
  <si>
    <t>Метка 179</t>
  </si>
  <si>
    <t>Название рассылки 18</t>
  </si>
  <si>
    <t>Название кампании 18</t>
  </si>
  <si>
    <t>Тема письма 18</t>
  </si>
  <si>
    <t>Метка 18</t>
  </si>
  <si>
    <t>Название рассылки 180</t>
  </si>
  <si>
    <t>Название кампании 180</t>
  </si>
  <si>
    <t>Тема письма 180</t>
  </si>
  <si>
    <t>Метка 180</t>
  </si>
  <si>
    <t>Название рассылки 181</t>
  </si>
  <si>
    <t>Название кампании 181</t>
  </si>
  <si>
    <t>Тема письма 181</t>
  </si>
  <si>
    <t>Метка 181</t>
  </si>
  <si>
    <t>Название рассылки 182</t>
  </si>
  <si>
    <t>Название кампании 182</t>
  </si>
  <si>
    <t>Тема письма 182</t>
  </si>
  <si>
    <t>Метка 182</t>
  </si>
  <si>
    <t>Название рассылки 183</t>
  </si>
  <si>
    <t>Название кампании 183</t>
  </si>
  <si>
    <t>Декабрь</t>
  </si>
  <si>
    <t>Тема письма 183</t>
  </si>
  <si>
    <t>Метка 183</t>
  </si>
  <si>
    <t>Название рассылки 184</t>
  </si>
  <si>
    <t>Название кампании 184</t>
  </si>
  <si>
    <t>Тема письма 184</t>
  </si>
  <si>
    <t>Метка 184</t>
  </si>
  <si>
    <t>Название рассылки 185</t>
  </si>
  <si>
    <t>Название кампании 185</t>
  </si>
  <si>
    <t>Тема письма 185</t>
  </si>
  <si>
    <t>Метка 185</t>
  </si>
  <si>
    <t>Название рассылки 186</t>
  </si>
  <si>
    <t>Название кампании 186</t>
  </si>
  <si>
    <t>Тема письма 186</t>
  </si>
  <si>
    <t>Метка 186</t>
  </si>
  <si>
    <t>Название рассылки 187</t>
  </si>
  <si>
    <t>Название кампании 187</t>
  </si>
  <si>
    <t>Тема письма 187</t>
  </si>
  <si>
    <t>Метка 187</t>
  </si>
  <si>
    <t>Название рассылки 188</t>
  </si>
  <si>
    <t>Название кампании 188</t>
  </si>
  <si>
    <t>Тема письма 188</t>
  </si>
  <si>
    <t>Метка 188</t>
  </si>
  <si>
    <t>Название рассылки 189</t>
  </si>
  <si>
    <t>Название кампании 189</t>
  </si>
  <si>
    <t>Тема письма 189</t>
  </si>
  <si>
    <t>Метка 189</t>
  </si>
  <si>
    <t>Название рассылки 19</t>
  </si>
  <si>
    <t>Название кампании 19</t>
  </si>
  <si>
    <t>Тема письма 19</t>
  </si>
  <si>
    <t>Метка 19</t>
  </si>
  <si>
    <t>Название рассылки 190</t>
  </si>
  <si>
    <t>Название кампании 190</t>
  </si>
  <si>
    <t>Тема письма 190</t>
  </si>
  <si>
    <t>Метка 190</t>
  </si>
  <si>
    <t>Название рассылки 191</t>
  </si>
  <si>
    <t>Название кампании 191</t>
  </si>
  <si>
    <t>Тема письма 191</t>
  </si>
  <si>
    <t>Метка 191</t>
  </si>
  <si>
    <t>Название рассылки 192</t>
  </si>
  <si>
    <t>Название кампании 192</t>
  </si>
  <si>
    <t>Тема письма 192</t>
  </si>
  <si>
    <t>Метка 192</t>
  </si>
  <si>
    <t>Название рассылки 193</t>
  </si>
  <si>
    <t>Название кампании 193</t>
  </si>
  <si>
    <t>Тема письма 193</t>
  </si>
  <si>
    <t>Метка 193</t>
  </si>
  <si>
    <t>Название рассылки 194</t>
  </si>
  <si>
    <t>Название кампании 194</t>
  </si>
  <si>
    <t>Тема письма 194</t>
  </si>
  <si>
    <t>Метка 194</t>
  </si>
  <si>
    <t>Название рассылки 195</t>
  </si>
  <si>
    <t>Название кампании 195</t>
  </si>
  <si>
    <t>Тема письма 195</t>
  </si>
  <si>
    <t>Метка 195</t>
  </si>
  <si>
    <t>Название рассылки 196</t>
  </si>
  <si>
    <t>Название кампании 196</t>
  </si>
  <si>
    <t>Тема письма 196</t>
  </si>
  <si>
    <t>Метка 196</t>
  </si>
  <si>
    <t>Название рассылки 197</t>
  </si>
  <si>
    <t>Название кампании 197</t>
  </si>
  <si>
    <t>Тема письма 197</t>
  </si>
  <si>
    <t>Метка 197</t>
  </si>
  <si>
    <t>Название рассылки 198</t>
  </si>
  <si>
    <t>Название кампании 198</t>
  </si>
  <si>
    <t>Тема письма 198</t>
  </si>
  <si>
    <t>Метка 198</t>
  </si>
  <si>
    <t>Название рассылки 199</t>
  </si>
  <si>
    <t>Название кампании 199</t>
  </si>
  <si>
    <t>Тема письма 199</t>
  </si>
  <si>
    <t>Метка 199</t>
  </si>
  <si>
    <t>Название рассылки 2</t>
  </si>
  <si>
    <t>Название кампании 2</t>
  </si>
  <si>
    <t>Тема письма 2</t>
  </si>
  <si>
    <t>Метка 2</t>
  </si>
  <si>
    <t>Название рассылки 20</t>
  </si>
  <si>
    <t>Название кампании 20</t>
  </si>
  <si>
    <t>Тема письма 20</t>
  </si>
  <si>
    <t>Метка 20</t>
  </si>
  <si>
    <t>Название рассылки 200</t>
  </si>
  <si>
    <t>Название кампании 200</t>
  </si>
  <si>
    <t>Тема письма 200</t>
  </si>
  <si>
    <t>Метка 200</t>
  </si>
  <si>
    <t>Название рассылки 201</t>
  </si>
  <si>
    <t>Название кампании 201</t>
  </si>
  <si>
    <t>Тема письма 201</t>
  </si>
  <si>
    <t>Метка 201</t>
  </si>
  <si>
    <t>Название рассылки 202</t>
  </si>
  <si>
    <t>Название кампании 202</t>
  </si>
  <si>
    <t>Тема письма 202</t>
  </si>
  <si>
    <t>Метка 202</t>
  </si>
  <si>
    <t>Название рассылки 203</t>
  </si>
  <si>
    <t>Название кампании 203</t>
  </si>
  <si>
    <t>Январь</t>
  </si>
  <si>
    <t>Тема письма 203</t>
  </si>
  <si>
    <t>Метка 203</t>
  </si>
  <si>
    <t>Название рассылки 204</t>
  </si>
  <si>
    <t>Название кампании 204</t>
  </si>
  <si>
    <t>Тема письма 204</t>
  </si>
  <si>
    <t>Метка 204</t>
  </si>
  <si>
    <t>Название рассылки 205</t>
  </si>
  <si>
    <t>Название кампании 205</t>
  </si>
  <si>
    <t>Тема письма 205</t>
  </si>
  <si>
    <t>Метка 205</t>
  </si>
  <si>
    <t>Название рассылки 206</t>
  </si>
  <si>
    <t>Название кампании 206</t>
  </si>
  <si>
    <t>Тема письма 206</t>
  </si>
  <si>
    <t>Метка 206</t>
  </si>
  <si>
    <t>Название рассылки 207</t>
  </si>
  <si>
    <t>Название кампании 207</t>
  </si>
  <si>
    <t>Тема письма 207</t>
  </si>
  <si>
    <t>Метка 207</t>
  </si>
  <si>
    <t>Название рассылки 208</t>
  </si>
  <si>
    <t>Название кампании 208</t>
  </si>
  <si>
    <t>Тема письма 208</t>
  </si>
  <si>
    <t>Метка 208</t>
  </si>
  <si>
    <t>Название рассылки 209</t>
  </si>
  <si>
    <t>Название кампании 209</t>
  </si>
  <si>
    <t>Тема письма 209</t>
  </si>
  <si>
    <t>Метка 209</t>
  </si>
  <si>
    <t>Название рассылки 21</t>
  </si>
  <si>
    <t>Название кампании 21</t>
  </si>
  <si>
    <t>Тема письма 21</t>
  </si>
  <si>
    <t>Метка 21</t>
  </si>
  <si>
    <t>Название рассылки 210</t>
  </si>
  <si>
    <t>Название кампании 210</t>
  </si>
  <si>
    <t>Тема письма 210</t>
  </si>
  <si>
    <t>Метка 210</t>
  </si>
  <si>
    <t>Название рассылки 211</t>
  </si>
  <si>
    <t>Название кампании 211</t>
  </si>
  <si>
    <t>Тема письма 211</t>
  </si>
  <si>
    <t>Метка 211</t>
  </si>
  <si>
    <t>Название рассылки 212</t>
  </si>
  <si>
    <t>Название кампании 212</t>
  </si>
  <si>
    <t>Тема письма 212</t>
  </si>
  <si>
    <t>Метка 212</t>
  </si>
  <si>
    <t>Название рассылки 213</t>
  </si>
  <si>
    <t>Название кампании 213</t>
  </si>
  <si>
    <t>Тема письма 213</t>
  </si>
  <si>
    <t>Метка 213</t>
  </si>
  <si>
    <t>Название рассылки 214</t>
  </si>
  <si>
    <t>Название кампании 214</t>
  </si>
  <si>
    <t>Тема письма 214</t>
  </si>
  <si>
    <t>Метка 214</t>
  </si>
  <si>
    <t>Название рассылки 215</t>
  </si>
  <si>
    <t>Название кампании 215</t>
  </si>
  <si>
    <t>Тема письма 215</t>
  </si>
  <si>
    <t>Метка 215</t>
  </si>
  <si>
    <t>Название рассылки 216</t>
  </si>
  <si>
    <t>Название кампании 216</t>
  </si>
  <si>
    <t>Тема письма 216</t>
  </si>
  <si>
    <t>Метка 216</t>
  </si>
  <si>
    <t>Название рассылки 217</t>
  </si>
  <si>
    <t>Название кампании 217</t>
  </si>
  <si>
    <t>Тема письма 217</t>
  </si>
  <si>
    <t>Метка 217</t>
  </si>
  <si>
    <t>Название рассылки 218</t>
  </si>
  <si>
    <t>Название кампании 218</t>
  </si>
  <si>
    <t>Тема письма 218</t>
  </si>
  <si>
    <t>Метка 218</t>
  </si>
  <si>
    <t>Название рассылки 22</t>
  </si>
  <si>
    <t>Название кампании 22</t>
  </si>
  <si>
    <t>Тема письма 22</t>
  </si>
  <si>
    <t>Метка 22</t>
  </si>
  <si>
    <t>Название рассылки 23</t>
  </si>
  <si>
    <t>Название кампании 23</t>
  </si>
  <si>
    <t>Тема письма 23</t>
  </si>
  <si>
    <t>Метка 23</t>
  </si>
  <si>
    <t>Название рассылки 24</t>
  </si>
  <si>
    <t>Название кампании 24</t>
  </si>
  <si>
    <t>Тема письма 24</t>
  </si>
  <si>
    <t>Метка 24</t>
  </si>
  <si>
    <t>Название рассылки 25</t>
  </si>
  <si>
    <t>Название кампании 25</t>
  </si>
  <si>
    <t>Тема письма 25</t>
  </si>
  <si>
    <t>Метка 25</t>
  </si>
  <si>
    <t>Название рассылки 26</t>
  </si>
  <si>
    <t>Название кампании 26</t>
  </si>
  <si>
    <t>Тема письма 26</t>
  </si>
  <si>
    <t>Метка 26</t>
  </si>
  <si>
    <t>Название рассылки 27</t>
  </si>
  <si>
    <t>Название кампании 27</t>
  </si>
  <si>
    <t>Тема письма 27</t>
  </si>
  <si>
    <t>Метка 27</t>
  </si>
  <si>
    <t>Название рассылки 28</t>
  </si>
  <si>
    <t>Название кампании 28</t>
  </si>
  <si>
    <t>Тема письма 28</t>
  </si>
  <si>
    <t>Метка 28</t>
  </si>
  <si>
    <t>Название рассылки 29</t>
  </si>
  <si>
    <t>Название кампании 29</t>
  </si>
  <si>
    <t>Тема письма 29</t>
  </si>
  <si>
    <t>Метка 29</t>
  </si>
  <si>
    <t>Название рассылки 3</t>
  </si>
  <si>
    <t>Название кампании 3</t>
  </si>
  <si>
    <t>Тема письма 3</t>
  </si>
  <si>
    <t>Метка 3</t>
  </si>
  <si>
    <t>Название рассылки 30</t>
  </si>
  <si>
    <t>Название кампании 30</t>
  </si>
  <si>
    <t>Тема письма 30</t>
  </si>
  <si>
    <t>Метка 30</t>
  </si>
  <si>
    <t>Название рассылки 31</t>
  </si>
  <si>
    <t>Название кампании 31</t>
  </si>
  <si>
    <t>Тема письма 31</t>
  </si>
  <si>
    <t>Метка 31</t>
  </si>
  <si>
    <t>Название рассылки 32</t>
  </si>
  <si>
    <t>Название кампании 32</t>
  </si>
  <si>
    <t>Тема письма 32</t>
  </si>
  <si>
    <t>Метка 32</t>
  </si>
  <si>
    <t>Название рассылки 33</t>
  </si>
  <si>
    <t>Название кампании 33</t>
  </si>
  <si>
    <t>Тема письма 33</t>
  </si>
  <si>
    <t>Метка 33</t>
  </si>
  <si>
    <t>Название рассылки 34</t>
  </si>
  <si>
    <t>Название кампании 34</t>
  </si>
  <si>
    <t>Тема письма 34</t>
  </si>
  <si>
    <t>Метка 34</t>
  </si>
  <si>
    <t>Название рассылки 35</t>
  </si>
  <si>
    <t>Название кампании 35</t>
  </si>
  <si>
    <t>Тема письма 35</t>
  </si>
  <si>
    <t>Метка 35</t>
  </si>
  <si>
    <t>Название рассылки 36</t>
  </si>
  <si>
    <t>Название кампании 36</t>
  </si>
  <si>
    <t>Тема письма 36</t>
  </si>
  <si>
    <t>Метка 36</t>
  </si>
  <si>
    <t>Название рассылки 37</t>
  </si>
  <si>
    <t>Название кампании 37</t>
  </si>
  <si>
    <t>Тема письма 37</t>
  </si>
  <si>
    <t>Метка 37</t>
  </si>
  <si>
    <t>Название рассылки 38</t>
  </si>
  <si>
    <t>Название кампании 38</t>
  </si>
  <si>
    <t>Тема письма 38</t>
  </si>
  <si>
    <t>Метка 38</t>
  </si>
  <si>
    <t>Название рассылки 39</t>
  </si>
  <si>
    <t>Название кампании 39</t>
  </si>
  <si>
    <t>Тема письма 39</t>
  </si>
  <si>
    <t>Метка 39</t>
  </si>
  <si>
    <t>Название рассылки 4</t>
  </si>
  <si>
    <t>Название кампании 4</t>
  </si>
  <si>
    <t>Тема письма 4</t>
  </si>
  <si>
    <t>Метка 4</t>
  </si>
  <si>
    <t>Название рассылки 40</t>
  </si>
  <si>
    <t>Название кампании 40</t>
  </si>
  <si>
    <t>Тема письма 40</t>
  </si>
  <si>
    <t>Метка 40</t>
  </si>
  <si>
    <t>Название рассылки 41</t>
  </si>
  <si>
    <t>Название кампании 41</t>
  </si>
  <si>
    <t>Тема письма 41</t>
  </si>
  <si>
    <t>Метка 41</t>
  </si>
  <si>
    <t>Название рассылки 42</t>
  </si>
  <si>
    <t>Название кампании 42</t>
  </si>
  <si>
    <t>Тема письма 42</t>
  </si>
  <si>
    <t>Метка 42</t>
  </si>
  <si>
    <t>Название рассылки 43</t>
  </si>
  <si>
    <t>Название кампании 43</t>
  </si>
  <si>
    <t>Тема письма 43</t>
  </si>
  <si>
    <t>Метка 43</t>
  </si>
  <si>
    <t>Название рассылки 44</t>
  </si>
  <si>
    <t>Название кампании 44</t>
  </si>
  <si>
    <t>Тема письма 44</t>
  </si>
  <si>
    <t>Метка 44</t>
  </si>
  <si>
    <t>Название рассылки 45</t>
  </si>
  <si>
    <t>Название кампании 45</t>
  </si>
  <si>
    <t>Тема письма 45</t>
  </si>
  <si>
    <t>Метка 45</t>
  </si>
  <si>
    <t>Название рассылки 46</t>
  </si>
  <si>
    <t>Название кампании 46</t>
  </si>
  <si>
    <t>Тема письма 46</t>
  </si>
  <si>
    <t>Метка 46</t>
  </si>
  <si>
    <t>Название рассылки 47</t>
  </si>
  <si>
    <t>Название кампании 47</t>
  </si>
  <si>
    <t>Тема письма 47</t>
  </si>
  <si>
    <t>Метка 47</t>
  </si>
  <si>
    <t>Название рассылки 48</t>
  </si>
  <si>
    <t>Название кампании 48</t>
  </si>
  <si>
    <t>Тема письма 48</t>
  </si>
  <si>
    <t>Метка 48</t>
  </si>
  <si>
    <t>Название рассылки 49</t>
  </si>
  <si>
    <t>Название кампании 49</t>
  </si>
  <si>
    <t>Тема письма 49</t>
  </si>
  <si>
    <t>Метка 49</t>
  </si>
  <si>
    <t>Название рассылки 5</t>
  </si>
  <si>
    <t>Название кампании 5</t>
  </si>
  <si>
    <t>Тема письма 5</t>
  </si>
  <si>
    <t>Метка 5</t>
  </si>
  <si>
    <t>Название рассылки 50</t>
  </si>
  <si>
    <t>Название кампании 50</t>
  </si>
  <si>
    <t>Тема письма 50</t>
  </si>
  <si>
    <t>Метка 50</t>
  </si>
  <si>
    <t>Название рассылки 51</t>
  </si>
  <si>
    <t>Название кампании 51</t>
  </si>
  <si>
    <t>Тема письма 51</t>
  </si>
  <si>
    <t>Метка 51</t>
  </si>
  <si>
    <t>Название рассылки 52</t>
  </si>
  <si>
    <t>Название кампании 52</t>
  </si>
  <si>
    <t>Тема письма 52</t>
  </si>
  <si>
    <t>Метка 52</t>
  </si>
  <si>
    <t>Название рассылки 53</t>
  </si>
  <si>
    <t>Название кампании 53</t>
  </si>
  <si>
    <t>Тема письма 53</t>
  </si>
  <si>
    <t>Метка 53</t>
  </si>
  <si>
    <t>Название рассылки 54</t>
  </si>
  <si>
    <t>Название кампании 54</t>
  </si>
  <si>
    <t>Тема письма 54</t>
  </si>
  <si>
    <t>Метка 54</t>
  </si>
  <si>
    <t>Название рассылки 55</t>
  </si>
  <si>
    <t>Название кампании 55</t>
  </si>
  <si>
    <t>Тема письма 55</t>
  </si>
  <si>
    <t>Метка 55</t>
  </si>
  <si>
    <t>Название рассылки 56</t>
  </si>
  <si>
    <t>Название кампании 56</t>
  </si>
  <si>
    <t>Тема письма 56</t>
  </si>
  <si>
    <t>Метка 56</t>
  </si>
  <si>
    <t>Название рассылки 57</t>
  </si>
  <si>
    <t>Название кампании 57</t>
  </si>
  <si>
    <t>Тема письма 57</t>
  </si>
  <si>
    <t>Метка 57</t>
  </si>
  <si>
    <t>Название рассылки 58</t>
  </si>
  <si>
    <t>Название кампании 58</t>
  </si>
  <si>
    <t>Тема письма 58</t>
  </si>
  <si>
    <t>Метка 58</t>
  </si>
  <si>
    <t>Название рассылки 59</t>
  </si>
  <si>
    <t>Название кампании 59</t>
  </si>
  <si>
    <t>Тема письма 59</t>
  </si>
  <si>
    <t>Метка 59</t>
  </si>
  <si>
    <t>Название рассылки 6</t>
  </si>
  <si>
    <t>Название кампании 6</t>
  </si>
  <si>
    <t>Тема письма 6</t>
  </si>
  <si>
    <t>Метка 6</t>
  </si>
  <si>
    <t>Название рассылки 60</t>
  </si>
  <si>
    <t>Название кампании 60</t>
  </si>
  <si>
    <t>Тема письма 60</t>
  </si>
  <si>
    <t>Метка 60</t>
  </si>
  <si>
    <t>Название рассылки 61</t>
  </si>
  <si>
    <t>Название кампании 61</t>
  </si>
  <si>
    <t>Тема письма 61</t>
  </si>
  <si>
    <t>Метка 61</t>
  </si>
  <si>
    <t>Название рассылки 62</t>
  </si>
  <si>
    <t>Название кампании 62</t>
  </si>
  <si>
    <t>Тема письма 62</t>
  </si>
  <si>
    <t>Метка 62</t>
  </si>
  <si>
    <t>Название рассылки 63</t>
  </si>
  <si>
    <t>Название кампании 63</t>
  </si>
  <si>
    <t>Тема письма 63</t>
  </si>
  <si>
    <t>Метка 63</t>
  </si>
  <si>
    <t>Название рассылки 64</t>
  </si>
  <si>
    <t>Название кампании 64</t>
  </si>
  <si>
    <t>Тема письма 64</t>
  </si>
  <si>
    <t>Метка 64</t>
  </si>
  <si>
    <t>Название рассылки 65</t>
  </si>
  <si>
    <t>Название кампании 65</t>
  </si>
  <si>
    <t>Февраль</t>
  </si>
  <si>
    <t>Тема письма 65</t>
  </si>
  <si>
    <t>Метка 65</t>
  </si>
  <si>
    <t>Название рассылки 66</t>
  </si>
  <si>
    <t>Название кампании 66</t>
  </si>
  <si>
    <t>Тема письма 66</t>
  </si>
  <si>
    <t>Метка 66</t>
  </si>
  <si>
    <t>Название рассылки 67</t>
  </si>
  <si>
    <t>Название кампании 67</t>
  </si>
  <si>
    <t>Тема письма 67</t>
  </si>
  <si>
    <t>Метка 67</t>
  </si>
  <si>
    <t>Название рассылки 68</t>
  </si>
  <si>
    <t>Название кампании 68</t>
  </si>
  <si>
    <t>Тема письма 68</t>
  </si>
  <si>
    <t>Метка 68</t>
  </si>
  <si>
    <t>Название рассылки 69</t>
  </si>
  <si>
    <t>Название кампании 69</t>
  </si>
  <si>
    <t>Тема письма 69</t>
  </si>
  <si>
    <t>Метка 69</t>
  </si>
  <si>
    <t>Название рассылки 7</t>
  </si>
  <si>
    <t>Название кампании 7</t>
  </si>
  <si>
    <t>Тема письма 7</t>
  </si>
  <si>
    <t>Метка 7</t>
  </si>
  <si>
    <t>Название рассылки 70</t>
  </si>
  <si>
    <t>Название кампании 70</t>
  </si>
  <si>
    <t>Тема письма 70</t>
  </si>
  <si>
    <t>Метка 70</t>
  </si>
  <si>
    <t>Название рассылки 71</t>
  </si>
  <si>
    <t>Название кампании 71</t>
  </si>
  <si>
    <t>Тема письма 71</t>
  </si>
  <si>
    <t>Метка 71</t>
  </si>
  <si>
    <t>Название рассылки 72</t>
  </si>
  <si>
    <t>Название кампании 72</t>
  </si>
  <si>
    <t>Тема письма 72</t>
  </si>
  <si>
    <t>Метка 72</t>
  </si>
  <si>
    <t>Название рассылки 73</t>
  </si>
  <si>
    <t>Название кампании 73</t>
  </si>
  <si>
    <t>Тема письма 73</t>
  </si>
  <si>
    <t>Метка 73</t>
  </si>
  <si>
    <t>Название рассылки 74</t>
  </si>
  <si>
    <t>Название кампании 74</t>
  </si>
  <si>
    <t>Тема письма 74</t>
  </si>
  <si>
    <t>Метка 74</t>
  </si>
  <si>
    <t>Название рассылки 75</t>
  </si>
  <si>
    <t>Название кампании 75</t>
  </si>
  <si>
    <t>Тема письма 75</t>
  </si>
  <si>
    <t>Метка 75</t>
  </si>
  <si>
    <t>Название рассылки 76</t>
  </si>
  <si>
    <t>Название кампании 76</t>
  </si>
  <si>
    <t>Тема письма 76</t>
  </si>
  <si>
    <t>Метка 76</t>
  </si>
  <si>
    <t>Название рассылки 77</t>
  </si>
  <si>
    <t>Название кампании 77</t>
  </si>
  <si>
    <t>Тема письма 77</t>
  </si>
  <si>
    <t>Метка 77</t>
  </si>
  <si>
    <t>Название рассылки 78</t>
  </si>
  <si>
    <t>Название кампании 78</t>
  </si>
  <si>
    <t>Тема письма 78</t>
  </si>
  <si>
    <t>Метка 78</t>
  </si>
  <si>
    <t>Название рассылки 79</t>
  </si>
  <si>
    <t>Название кампании 79</t>
  </si>
  <si>
    <t>Тема письма 79</t>
  </si>
  <si>
    <t>Метка 79</t>
  </si>
  <si>
    <t>Название рассылки 8</t>
  </si>
  <si>
    <t>Название кампании 8</t>
  </si>
  <si>
    <t>Тема письма 8</t>
  </si>
  <si>
    <t>Метка 8</t>
  </si>
  <si>
    <t>Название рассылки 80</t>
  </si>
  <si>
    <t>Название кампании 80</t>
  </si>
  <si>
    <t>Тема письма 80</t>
  </si>
  <si>
    <t>Метка 80</t>
  </si>
  <si>
    <t>Название рассылки 81</t>
  </si>
  <si>
    <t>Название кампании 81</t>
  </si>
  <si>
    <t>Тема письма 81</t>
  </si>
  <si>
    <t>Метка 81</t>
  </si>
  <si>
    <t>Название рассылки 82</t>
  </si>
  <si>
    <t>Название кампании 82</t>
  </si>
  <si>
    <t>Март</t>
  </si>
  <si>
    <t>Тема письма 82</t>
  </si>
  <si>
    <t>Метка 82</t>
  </si>
  <si>
    <t>Название рассылки 83</t>
  </si>
  <si>
    <t>Название кампании 83</t>
  </si>
  <si>
    <t>Тема письма 83</t>
  </si>
  <si>
    <t>Метка 83</t>
  </si>
  <si>
    <t>Название рассылки 84</t>
  </si>
  <si>
    <t>Название кампании 84</t>
  </si>
  <si>
    <t>Тема письма 84</t>
  </si>
  <si>
    <t>Метка 84</t>
  </si>
  <si>
    <t>Название рассылки 85</t>
  </si>
  <si>
    <t>Название кампании 85</t>
  </si>
  <si>
    <t>Тема письма 85</t>
  </si>
  <si>
    <t>Метка 85</t>
  </si>
  <si>
    <t>Название рассылки 86</t>
  </si>
  <si>
    <t>Название кампании 86</t>
  </si>
  <si>
    <t>Тема письма 86</t>
  </si>
  <si>
    <t>Метка 86</t>
  </si>
  <si>
    <t>Название рассылки 87</t>
  </si>
  <si>
    <t>Название кампании 87</t>
  </si>
  <si>
    <t>Тема письма 87</t>
  </si>
  <si>
    <t>Метка 87</t>
  </si>
  <si>
    <t>Название рассылки 88</t>
  </si>
  <si>
    <t>Название кампании 88</t>
  </si>
  <si>
    <t>Тема письма 88</t>
  </si>
  <si>
    <t>Метка 88</t>
  </si>
  <si>
    <t>Название рассылки 89</t>
  </si>
  <si>
    <t>Название кампании 89</t>
  </si>
  <si>
    <t>Тема письма 89</t>
  </si>
  <si>
    <t>Метка 89</t>
  </si>
  <si>
    <t>Название рассылки 9</t>
  </si>
  <si>
    <t>Название кампании 9</t>
  </si>
  <si>
    <t>Тема письма 9</t>
  </si>
  <si>
    <t>Метка 9</t>
  </si>
  <si>
    <t>Название рассылки 90</t>
  </si>
  <si>
    <t>Название кампании 90</t>
  </si>
  <si>
    <t>Тема письма 90</t>
  </si>
  <si>
    <t>Метка 90</t>
  </si>
  <si>
    <t>Название рассылки 91</t>
  </si>
  <si>
    <t>Название кампании 91</t>
  </si>
  <si>
    <t>Тема письма 91</t>
  </si>
  <si>
    <t>Метка 91</t>
  </si>
  <si>
    <t>Название рассылки 92</t>
  </si>
  <si>
    <t>Название кампании 92</t>
  </si>
  <si>
    <t>Тема письма 92</t>
  </si>
  <si>
    <t>Метка 92</t>
  </si>
  <si>
    <t>Название рассылки 93</t>
  </si>
  <si>
    <t>Название кампании 93</t>
  </si>
  <si>
    <t>Тема письма 93</t>
  </si>
  <si>
    <t>Метка 93</t>
  </si>
  <si>
    <t>Название рассылки 94</t>
  </si>
  <si>
    <t>Название кампании 94</t>
  </si>
  <si>
    <t>Тема письма 94</t>
  </si>
  <si>
    <t>Метка 94</t>
  </si>
  <si>
    <t>Название рассылки 95</t>
  </si>
  <si>
    <t>Название кампании 95</t>
  </si>
  <si>
    <t>Тема письма 95</t>
  </si>
  <si>
    <t>Метка 95</t>
  </si>
  <si>
    <t>Название рассылки 96</t>
  </si>
  <si>
    <t>Название кампании 96</t>
  </si>
  <si>
    <t>Тема письма 96</t>
  </si>
  <si>
    <t>Метка 96</t>
  </si>
  <si>
    <t>Название рассылки 97</t>
  </si>
  <si>
    <t>Название кампании 97</t>
  </si>
  <si>
    <t>Тема письма 97</t>
  </si>
  <si>
    <t>Метка 97</t>
  </si>
  <si>
    <t>Название рассылки 98</t>
  </si>
  <si>
    <t>Название кампании 98</t>
  </si>
  <si>
    <t>Тема письма 98</t>
  </si>
  <si>
    <t>Метка 98</t>
  </si>
  <si>
    <t>Название рассылки 99</t>
  </si>
  <si>
    <t>Название кампании 99</t>
  </si>
  <si>
    <t>Тема письма 99</t>
  </si>
  <si>
    <t>Метка 99</t>
  </si>
  <si>
    <t>01-Январь</t>
  </si>
  <si>
    <t>02-Февраль</t>
  </si>
  <si>
    <t>03-Март</t>
  </si>
  <si>
    <t>04-Апрель</t>
  </si>
  <si>
    <t>05-Май</t>
  </si>
  <si>
    <t>06-Июнь</t>
  </si>
  <si>
    <t>07-Июль</t>
  </si>
  <si>
    <t>08-Август</t>
  </si>
  <si>
    <t>09-Сентябрь</t>
  </si>
  <si>
    <t>10-Октябрь</t>
  </si>
  <si>
    <t>11-Ноябрь</t>
  </si>
  <si>
    <t>12-Декабрь</t>
  </si>
  <si>
    <t>01-понедельник</t>
  </si>
  <si>
    <t>02-вторник</t>
  </si>
  <si>
    <t>03-среда</t>
  </si>
  <si>
    <t>04-четверг</t>
  </si>
  <si>
    <t>05-пятница</t>
  </si>
  <si>
    <t>06-суббота</t>
  </si>
  <si>
    <t>07-воскресенье</t>
  </si>
  <si>
    <t>Delivery Rate (DR)</t>
  </si>
  <si>
    <t>Open Rate (OR)</t>
  </si>
  <si>
    <t>Click To Open Rate (CTOR)</t>
  </si>
  <si>
    <t>Unsubscribe Rate (UR)</t>
  </si>
  <si>
    <t>Date</t>
  </si>
  <si>
    <t>Users</t>
  </si>
  <si>
    <t>Step_1</t>
  </si>
  <si>
    <t>Step_2</t>
  </si>
  <si>
    <t>Step_3</t>
  </si>
  <si>
    <t>GitHub:</t>
  </si>
  <si>
    <t>https://github.com/Unbeliev4ble/mail_test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</si>
</sst>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"/>
    <numFmt numFmtId="165" formatCode="&quot;.&quot;mmmm&quot;.&quot;"/>
    <numFmt numFmtId="166" formatCode="d\.m\.yyyy"/>
  </numFmts>
  <fonts count="12">
    <font>
      <sz val="10"/>
      <color rgb="FF000000"/>
      <name val="Arial"/>
      <scheme val="minor"/>
    </font>
    <font>
      <b/>
      <sz val="8"/>
      <color rgb="FF000000"/>
      <name val="&quot;Proxima Nova&quot;"/>
    </font>
    <font>
      <b/>
      <sz val="8"/>
      <color theme="1"/>
      <name val="Proxima Nova"/>
    </font>
    <font>
      <b/>
      <sz val="8"/>
      <color theme="1"/>
      <name val="&quot;Proxima Nova&quot;"/>
    </font>
    <font>
      <u/>
      <sz val="8"/>
      <color rgb="FF1155CC"/>
      <name val="&quot;Proxima Nova&quot;"/>
    </font>
    <font>
      <sz val="8"/>
      <color theme="1"/>
      <name val="Proxima Nova"/>
    </font>
    <font>
      <sz val="8"/>
      <color theme="1"/>
      <name val="&quot;Proxima Nova&quot;"/>
    </font>
    <font>
      <sz val="8"/>
      <color rgb="FF000000"/>
      <name val="Proxima Nova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u/>
      <sz val="14"/>
      <color theme="10"/>
      <name val="Arial"/>
      <family val="2"/>
      <charset val="204"/>
      <scheme val="minor"/>
    </font>
    <font>
      <b/>
      <sz val="12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20" fontId="5" fillId="0" borderId="0" xfId="0" applyNumberFormat="1" applyFont="1" applyAlignment="1">
      <alignment vertical="center"/>
    </xf>
    <xf numFmtId="3" fontId="7" fillId="0" borderId="0" xfId="0" applyNumberFormat="1" applyFont="1" applyAlignment="1">
      <alignment horizontal="right" vertical="center"/>
    </xf>
    <xf numFmtId="1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20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20" fontId="5" fillId="0" borderId="0" xfId="0" applyNumberFormat="1" applyFont="1" applyAlignment="1">
      <alignment vertical="center"/>
    </xf>
    <xf numFmtId="166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right" vertical="center"/>
    </xf>
    <xf numFmtId="0" fontId="8" fillId="0" borderId="0" xfId="0" applyFont="1" applyAlignment="1"/>
    <xf numFmtId="0" fontId="0" fillId="0" borderId="0" xfId="0" applyFont="1" applyAlignment="1">
      <alignment horizontal="left"/>
    </xf>
    <xf numFmtId="10" fontId="0" fillId="0" borderId="0" xfId="0" applyNumberFormat="1" applyFont="1" applyAlignment="1"/>
    <xf numFmtId="0" fontId="0" fillId="0" borderId="0" xfId="0" pivotButton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/>
    <xf numFmtId="0" fontId="10" fillId="0" borderId="0" xfId="1" applyFont="1" applyAlignment="1"/>
    <xf numFmtId="0" fontId="11" fillId="0" borderId="0" xfId="0" applyFont="1" applyAlignment="1"/>
  </cellXfs>
  <cellStyles count="2">
    <cellStyle name="Гиперссылка" xfId="1" builtinId="8"/>
    <cellStyle name="Обычный" xfId="0" builtinId="0"/>
  </cellStyles>
  <dxfs count="28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wrapText="0"/>
    </dxf>
    <dxf>
      <alignment wrapText="0"/>
    </dxf>
    <dxf>
      <numFmt numFmtId="14" formatCode="0.00%"/>
    </dxf>
    <dxf>
      <numFmt numFmtId="14" formatCode="0.00%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wrapText="0"/>
    </dxf>
    <dxf>
      <alignment wrapText="0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" refreshedDate="45468.800992476848" createdVersion="6" refreshedVersion="6" minRefreshableVersion="3" recordCount="218" xr:uid="{84EED04C-0985-474A-9DA8-F4B234EEED74}">
  <cacheSource type="worksheet">
    <worksheetSource ref="A1:X219" sheet="Data"/>
  </cacheSource>
  <cacheFields count="29">
    <cacheField name="Название рассылки" numFmtId="0">
      <sharedItems/>
    </cacheField>
    <cacheField name="Название кампании" numFmtId="0">
      <sharedItems/>
    </cacheField>
    <cacheField name="Направление" numFmtId="0">
      <sharedItems/>
    </cacheField>
    <cacheField name="Месяц" numFmtId="0">
      <sharedItems count="12">
        <s v="Октябрь"/>
        <s v="Ноябрь"/>
        <s v="Апрель"/>
        <s v="Май"/>
        <s v="Июнь"/>
        <s v="Июль"/>
        <s v="Август"/>
        <s v="Сентябрь"/>
        <s v="Декабрь"/>
        <s v="Январь"/>
        <s v="Февраль"/>
        <s v="Март"/>
      </sharedItems>
    </cacheField>
    <cacheField name="Дата" numFmtId="0">
      <sharedItems containsSemiMixedTypes="0" containsNonDate="0" containsDate="1" containsString="0" minDate="2021-04-15T00:00:00" maxDate="2022-05-21T00:00:00" count="101">
        <d v="2021-10-27T00:00:00"/>
        <d v="2021-11-05T00:00:00"/>
        <d v="2022-04-11T00:00:00"/>
        <d v="2022-04-12T00:00:00"/>
        <d v="2022-04-13T00:00:00"/>
        <d v="2022-04-14T00:00:00"/>
        <d v="2022-04-15T00:00:00"/>
        <d v="2022-04-22T00:00:00"/>
        <d v="2022-04-26T00:00:00"/>
        <d v="2021-11-10T00:00:00"/>
        <d v="2022-05-05T00:00:00"/>
        <d v="2022-05-12T00:00:00"/>
        <d v="2022-05-16T00:00:00"/>
        <d v="2022-05-20T00:00:00"/>
        <d v="2021-04-15T00:00:00"/>
        <d v="2021-04-21T00:00:00"/>
        <d v="2021-04-22T00:00:00"/>
        <d v="2021-04-23T00:00:00"/>
        <d v="2021-04-30T00:00:00"/>
        <d v="2021-05-05T00:00:00"/>
        <d v="2021-05-11T00:00:00"/>
        <d v="2021-05-26T00:00:00"/>
        <d v="2021-05-06T00:00:00"/>
        <d v="2021-06-03T00:00:00"/>
        <d v="2021-06-30T00:00:00"/>
        <d v="2021-06-11T00:00:00"/>
        <d v="2021-06-17T00:00:00"/>
        <d v="2021-06-23T00:00:00"/>
        <d v="2021-06-24T00:00:00"/>
        <d v="2021-06-25T00:00:00"/>
        <d v="2021-06-29T00:00:00"/>
        <d v="2021-07-10T00:00:00"/>
        <d v="2021-07-13T00:00:00"/>
        <d v="2021-07-15T00:00:00"/>
        <d v="2021-07-21T00:00:00"/>
        <d v="2021-07-24T00:00:00"/>
        <d v="2021-07-28T00:00:00"/>
        <d v="2021-08-03T00:00:00"/>
        <d v="2021-08-12T00:00:00"/>
        <d v="2021-08-17T00:00:00"/>
        <d v="2021-08-20T00:00:00"/>
        <d v="2021-08-24T00:00:00"/>
        <d v="2021-08-30T00:00:00"/>
        <d v="2021-09-09T00:00:00"/>
        <d v="2021-09-16T00:00:00"/>
        <d v="2021-11-11T00:00:00"/>
        <d v="2021-09-01T00:00:00"/>
        <d v="2021-09-08T00:00:00"/>
        <d v="2021-09-13T00:00:00"/>
        <d v="2021-09-17T00:00:00"/>
        <d v="2021-09-22T00:00:00"/>
        <d v="2021-10-08T00:00:00"/>
        <d v="2021-10-15T00:00:00"/>
        <d v="2021-10-01T00:00:00"/>
        <d v="2021-10-06T00:00:00"/>
        <d v="2021-10-13T00:00:00"/>
        <d v="2021-11-12T00:00:00"/>
        <d v="2021-10-16T00:00:00"/>
        <d v="2021-10-18T00:00:00"/>
        <d v="2021-10-26T00:00:00"/>
        <d v="2021-10-30T00:00:00"/>
        <d v="2021-11-02T00:00:00"/>
        <d v="2021-11-09T00:00:00"/>
        <d v="2021-12-02T00:00:00"/>
        <d v="2021-12-06T00:00:00"/>
        <d v="2021-12-13T00:00:00"/>
        <d v="2021-12-09T00:00:00"/>
        <d v="2021-12-15T00:00:00"/>
        <d v="2021-12-16T00:00:00"/>
        <d v="2021-12-20T00:00:00"/>
        <d v="2021-12-27T00:00:00"/>
        <d v="2021-10-29T00:00:00"/>
        <d v="2021-12-23T00:00:00"/>
        <d v="2022-01-05T00:00:00"/>
        <d v="2022-01-10T00:00:00"/>
        <d v="2022-01-13T00:00:00"/>
        <d v="2022-01-17T00:00:00"/>
        <d v="2022-01-19T00:00:00"/>
        <d v="2022-01-20T00:00:00"/>
        <d v="2021-11-30T00:00:00"/>
        <d v="2021-11-29T00:00:00"/>
        <d v="2021-12-10T00:00:00"/>
        <d v="2021-12-21T00:00:00"/>
        <d v="2021-12-28T00:00:00"/>
        <d v="2022-01-14T00:00:00"/>
        <d v="2021-11-03T00:00:00"/>
        <d v="2022-01-21T00:00:00"/>
        <d v="2022-01-25T00:00:00"/>
        <d v="2022-01-27T00:00:00"/>
        <d v="2022-02-01T00:00:00"/>
        <d v="2022-02-03T00:00:00"/>
        <d v="2022-02-08T00:00:00"/>
        <d v="2022-02-10T00:00:00"/>
        <d v="2022-02-14T00:00:00"/>
        <d v="2022-02-18T00:00:00"/>
        <d v="2022-02-23T00:00:00"/>
        <d v="2022-03-10T00:00:00"/>
        <d v="2022-03-15T00:00:00"/>
        <d v="2022-03-18T00:00:00"/>
        <d v="2022-03-24T00:00:00"/>
        <d v="2022-03-28T00:00:00"/>
      </sharedItems>
    </cacheField>
    <cacheField name="Год" numFmtId="0">
      <sharedItems containsSemiMixedTypes="0" containsString="0" containsNumber="1" containsInteger="1" minValue="2021" maxValue="2022" count="2">
        <n v="2021"/>
        <n v="2022"/>
      </sharedItems>
    </cacheField>
    <cacheField name="Номер недели" numFmtId="0">
      <sharedItems containsSemiMixedTypes="0" containsString="0" containsNumber="1" containsInteger="1" minValue="1" maxValue="52"/>
    </cacheField>
    <cacheField name="День недели" numFmtId="0">
      <sharedItems containsSemiMixedTypes="0" containsString="0" containsNumber="1" containsInteger="1" minValue="1" maxValue="6"/>
    </cacheField>
    <cacheField name="День недели2" numFmtId="0">
      <sharedItems/>
    </cacheField>
    <cacheField name="Время" numFmtId="20">
      <sharedItems containsSemiMixedTypes="0" containsNonDate="0" containsDate="1" containsString="0" minDate="1899-12-30T10:29:00" maxDate="1899-12-30T19:24:00" count="86">
        <d v="1899-12-30T19:24:00"/>
        <d v="1899-12-30T12:02:00"/>
        <d v="1899-12-30T16:26:00"/>
        <d v="1899-12-30T14:47:00"/>
        <d v="1899-12-30T14:24:00"/>
        <d v="1899-12-30T11:49:00"/>
        <d v="1899-12-30T12:11:00"/>
        <d v="1899-12-30T14:56:00"/>
        <d v="1899-12-30T10:29:00"/>
        <d v="1899-12-30T14:58:00"/>
        <d v="1899-12-30T12:10:00"/>
        <d v="1899-12-30T12:04:00"/>
        <d v="1899-12-30T12:06:00"/>
        <d v="1899-12-30T10:32:00"/>
        <d v="1899-12-30T10:34:00"/>
        <d v="1899-12-30T10:36:00"/>
        <d v="1899-12-30T13:34:00"/>
        <d v="1899-12-30T14:54:00"/>
        <d v="1899-12-30T15:02:00"/>
        <d v="1899-12-30T11:02:00"/>
        <d v="1899-12-30T18:15:00"/>
        <d v="1899-12-30T18:14:00"/>
        <d v="1899-12-30T18:56:00"/>
        <d v="1899-12-30T18:09:00"/>
        <d v="1899-12-30T18:10:00"/>
        <d v="1899-12-30T13:29:00"/>
        <d v="1899-12-30T13:49:00"/>
        <d v="1899-12-30T13:48:00"/>
        <d v="1899-12-30T15:36:00"/>
        <d v="1899-12-30T15:35:00"/>
        <d v="1899-12-30T14:46:00"/>
        <d v="1899-12-30T16:02:00"/>
        <d v="1899-12-30T13:02:00"/>
        <d v="1899-12-30T14:22:00"/>
        <d v="1899-12-30T14:21:00"/>
        <d v="1899-12-30T13:20:00"/>
        <d v="1899-12-30T13:18:00"/>
        <d v="1899-12-30T17:03:00"/>
        <d v="1899-12-30T16:08:00"/>
        <d v="1899-12-30T13:17:00"/>
        <d v="1899-12-30T16:06:00"/>
        <d v="1899-12-30T18:00:00"/>
        <d v="1899-12-30T14:43:00"/>
        <d v="1899-12-30T14:45:00"/>
        <d v="1899-12-30T14:15:00"/>
        <d v="1899-12-30T12:03:00"/>
        <d v="1899-12-30T16:32:00"/>
        <d v="1899-12-30T14:59:00"/>
        <d v="1899-12-30T15:32:00"/>
        <d v="1899-12-30T13:03:00"/>
        <d v="1899-12-30T15:48:00"/>
        <d v="1899-12-30T18:03:00"/>
        <d v="1899-12-30T18:32:00"/>
        <d v="1899-12-30T18:06:00"/>
        <d v="1899-12-30T13:53:00"/>
        <d v="1899-12-30T11:43:00"/>
        <d v="1899-12-30T18:07:00"/>
        <d v="1899-12-30T15:53:00"/>
        <d v="1899-12-30T15:52:00"/>
        <d v="1899-12-30T17:11:00"/>
        <d v="1899-12-30T14:18:00"/>
        <d v="1899-12-30T14:17:00"/>
        <d v="1899-12-30T13:27:00"/>
        <d v="1899-12-30T13:22:00"/>
        <d v="1899-12-30T14:53:00"/>
        <d v="1899-12-30T18:50:00"/>
        <d v="1899-12-30T16:43:00"/>
        <d v="1899-12-30T17:32:00"/>
        <d v="1899-12-30T16:39:00"/>
        <d v="1899-12-30T14:02:00"/>
        <d v="1899-12-30T14:19:00"/>
        <d v="1899-12-30T11:03:00"/>
        <d v="1899-12-30T14:57:00"/>
        <d v="1899-12-30T12:18:00"/>
        <d v="1899-12-30T12:52:00"/>
        <d v="1899-12-30T14:44:00"/>
        <d v="1899-12-30T16:09:00"/>
        <d v="1899-12-30T15:59:00"/>
        <d v="1899-12-30T13:36:00"/>
        <d v="1899-12-30T10:38:00"/>
        <d v="1899-12-30T14:33:00"/>
        <d v="1899-12-30T13:42:00"/>
        <d v="1899-12-30T14:27:00"/>
        <d v="1899-12-30T16:03:00"/>
        <d v="1899-12-30T16:01:00"/>
        <d v="1899-12-30T15:04:00"/>
      </sharedItems>
      <fieldGroup par="28" base="9">
        <rangePr groupBy="minutes" startDate="1899-12-30T10:29:00" endDate="1899-12-30T19:24:00"/>
        <groupItems count="62">
          <s v="&lt;00.0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Веб-версия" numFmtId="0">
      <sharedItems/>
    </cacheField>
    <cacheField name="Тема письма " numFmtId="0">
      <sharedItems/>
    </cacheField>
    <cacheField name="Сегмент " numFmtId="0">
      <sharedItems/>
    </cacheField>
    <cacheField name="Отправлено" numFmtId="3">
      <sharedItems containsSemiMixedTypes="0" containsString="0" containsNumber="1" containsInteger="1" minValue="510034" maxValue="2492076"/>
    </cacheField>
    <cacheField name="Доставлено" numFmtId="3">
      <sharedItems containsSemiMixedTypes="0" containsString="0" containsNumber="1" minValue="499833.32" maxValue="2441118.605"/>
    </cacheField>
    <cacheField name="Открытия" numFmtId="3">
      <sharedItems containsSemiMixedTypes="0" containsString="0" containsNumber="1" minValue="50529.115839999999" maxValue="436664.08799999999"/>
    </cacheField>
    <cacheField name="Клики" numFmtId="3">
      <sharedItems containsSemiMixedTypes="0" containsString="0" containsNumber="1" minValue="1970.6355177599999" maxValue="47292.145286400002"/>
    </cacheField>
    <cacheField name="Баунсы (Все ошибки)" numFmtId="3">
      <sharedItems containsSemiMixedTypes="0" containsString="0" containsNumber="1" minValue="8136.8850000000093" maxValue="118932.35000000009"/>
    </cacheField>
    <cacheField name="Отписки" numFmtId="3">
      <sharedItems containsSemiMixedTypes="0" containsString="0" containsNumber="1" minValue="1036.4012400000001" maxValue="303771.66820000001"/>
    </cacheField>
    <cacheField name="UTM Метка" numFmtId="0">
      <sharedItems/>
    </cacheField>
    <cacheField name="Пользователей на сайте" numFmtId="3">
      <sharedItems containsSemiMixedTypes="0" containsString="0" containsNumber="1" minValue="1911.5164522271998" maxValue="45131.446080000002"/>
    </cacheField>
    <cacheField name="Воронка продаж. Шаг 1" numFmtId="1">
      <sharedItems containsSemiMixedTypes="0" containsString="0" containsNumber="1" minValue="579.09654768524831" maxValue="23427.48834768626"/>
    </cacheField>
    <cacheField name="Воронка продаж. Шаг 2" numFmtId="1">
      <sharedItems containsSemiMixedTypes="0" containsString="0" containsNumber="1" minValue="550.71269159833923" maxValue="19023.120538321244"/>
    </cacheField>
    <cacheField name="Воронка продаж. Шаг 3" numFmtId="1">
      <sharedItems containsSemiMixedTypes="0" containsString="0" containsNumber="1" minValue="414.28567021402665" maxValue="15028.265225273783"/>
    </cacheField>
    <cacheField name="Delivery Rate" numFmtId="0" formula="Доставлено/Отправлено* 100%" databaseField="0"/>
    <cacheField name="Open Rate" numFmtId="0" formula="Открытия/Доставлено* 100%" databaseField="0"/>
    <cacheField name="Click To Open Rate" numFmtId="0" formula="Клики/Открытия* 100%" databaseField="0"/>
    <cacheField name="Unsubscribe Rate" numFmtId="0" formula="Отписки/Доставлено* 100 %" databaseField="0"/>
    <cacheField name="Часы" numFmtId="0" databaseField="0">
      <fieldGroup base="9">
        <rangePr groupBy="hours" startDate="1899-12-30T10:29:00" endDate="1899-12-30T19:24:00"/>
        <groupItems count="26">
          <s v="&lt;00.01.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.01.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s v="Название рассылки 1"/>
    <s v="Название кампании 1"/>
    <s v="Email"/>
    <x v="0"/>
    <x v="0"/>
    <x v="0"/>
    <n v="43"/>
    <n v="3"/>
    <s v="03-среда"/>
    <x v="0"/>
    <s v="#ССЫЛКА"/>
    <s v="Тема письма 1"/>
    <s v="Сегмент 1"/>
    <n v="780789"/>
    <n v="741749.55"/>
    <n v="148349.91"/>
    <n v="17801.9892"/>
    <n v="39039.449999999953"/>
    <n v="7417.4955000000009"/>
    <s v="Метка 1"/>
    <n v="16377.830064000002"/>
    <n v="6336.5824517616002"/>
    <n v="6209.8508027263679"/>
    <n v="5154.1761662628851"/>
  </r>
  <r>
    <s v="Название рассылки 10"/>
    <s v="Название кампании 10"/>
    <s v="Email"/>
    <x v="1"/>
    <x v="1"/>
    <x v="0"/>
    <n v="45"/>
    <n v="5"/>
    <s v="05-пятница"/>
    <x v="1"/>
    <s v="#ССЫЛКА"/>
    <s v="Тема письма 10"/>
    <s v="Сегмент 2"/>
    <n v="719370"/>
    <n v="683401.5"/>
    <n v="123012.26999999999"/>
    <n v="11071.104299999999"/>
    <n v="35968.5"/>
    <n v="6834.0150000000003"/>
    <s v="Метка 10"/>
    <n v="10296.126999"/>
    <n v="3558.3414908543996"/>
    <n v="3095.7570970433276"/>
    <n v="2538.5208195755285"/>
  </r>
  <r>
    <s v="Название рассылки 100"/>
    <s v="Название кампании 100"/>
    <s v="Email"/>
    <x v="2"/>
    <x v="2"/>
    <x v="1"/>
    <n v="15"/>
    <n v="1"/>
    <s v="01-понедельник"/>
    <x v="2"/>
    <s v="#ССЫЛКА"/>
    <s v="Тема письма 100"/>
    <s v="Сегмент 3"/>
    <n v="1201415"/>
    <n v="1141344.25"/>
    <n v="182615.08000000002"/>
    <n v="15339.666720000003"/>
    <n v="60070.75"/>
    <n v="11413.442500000001"/>
    <s v="Метка 100"/>
    <n v="13959.096715200003"/>
    <n v="3369.7259470492809"/>
    <n v="2864.2670549918885"/>
    <n v="2262.7709734435921"/>
  </r>
  <r>
    <s v="Название рассылки 101"/>
    <s v="Название кампании 101"/>
    <s v="Email"/>
    <x v="2"/>
    <x v="3"/>
    <x v="1"/>
    <n v="15"/>
    <n v="2"/>
    <s v="02-вторник"/>
    <x v="2"/>
    <s v="#ССЫЛКА"/>
    <s v="Тема письма 101"/>
    <s v="Сегмент 1"/>
    <n v="1393827"/>
    <n v="1324135.6499999999"/>
    <n v="264827.13"/>
    <n v="10328.25807"/>
    <n v="69691.350000000093"/>
    <n v="13241.3565"/>
    <s v="Метка 101"/>
    <n v="8985.5845208999999"/>
    <n v="5116.3918262004599"/>
    <n v="4277.3035667035847"/>
    <n v="3207.9776750276887"/>
  </r>
  <r>
    <s v="Название рассылки 102"/>
    <s v="Название кампании 102"/>
    <s v="Email"/>
    <x v="2"/>
    <x v="4"/>
    <x v="1"/>
    <n v="15"/>
    <n v="3"/>
    <s v="03-среда"/>
    <x v="2"/>
    <s v="#ССЫЛКА"/>
    <s v="Тема письма 102"/>
    <s v="Сегмент 2"/>
    <n v="1276821"/>
    <n v="1212979.95"/>
    <n v="218336.39099999997"/>
    <n v="15720.220152"/>
    <n v="63841.050000000047"/>
    <n v="12129.799499999999"/>
    <s v="Метка 102"/>
    <n v="10846.951904879999"/>
    <n v="2816.9534096973362"/>
    <n v="2287.3661686742371"/>
    <n v="1669.7773031321931"/>
  </r>
  <r>
    <s v="Название рассылки 103"/>
    <s v="Название кампании 103"/>
    <s v="Email"/>
    <x v="2"/>
    <x v="5"/>
    <x v="1"/>
    <n v="15"/>
    <n v="4"/>
    <s v="04-четверг"/>
    <x v="2"/>
    <s v="#ССЫЛКА"/>
    <s v="Тема письма 103"/>
    <s v="Сегмент 3"/>
    <n v="1816560"/>
    <n v="1725732"/>
    <n v="276117.12"/>
    <n v="33134.054400000001"/>
    <n v="90828"/>
    <n v="15013.868399999999"/>
    <s v="Метка 103"/>
    <n v="32140.032768000001"/>
    <n v="13405.6076675328"/>
    <n v="13137.495514182145"/>
    <n v="10378.621456203895"/>
  </r>
  <r>
    <s v="Название рассылки 104"/>
    <s v="Название кампании 104"/>
    <s v="Email"/>
    <x v="2"/>
    <x v="6"/>
    <x v="1"/>
    <n v="16"/>
    <n v="5"/>
    <s v="05-пятница"/>
    <x v="2"/>
    <s v="#ССЫЛКА"/>
    <s v="Тема письма 104"/>
    <s v="Сегмент 1"/>
    <n v="1002437"/>
    <n v="952315.15"/>
    <n v="152370.424"/>
    <n v="13713.338159999999"/>
    <n v="50121.849999999977"/>
    <n v="8285.1418049999993"/>
    <s v="Метка 104"/>
    <n v="11656.337436"/>
    <n v="7062.5748524723986"/>
    <n v="6144.4401216509868"/>
    <n v="2273.4428450108653"/>
  </r>
  <r>
    <s v="Название рассылки 105"/>
    <s v="Название кампании 105"/>
    <s v="Email"/>
    <x v="2"/>
    <x v="5"/>
    <x v="1"/>
    <n v="15"/>
    <n v="4"/>
    <s v="04-четверг"/>
    <x v="3"/>
    <s v="#ССЫЛКА"/>
    <s v="Тема письма 105"/>
    <s v="Сегмент 2"/>
    <n v="958429"/>
    <n v="910507.55"/>
    <n v="127471.05700000002"/>
    <n v="10707.568788000002"/>
    <n v="47921.449999999953"/>
    <n v="7921.4156849999999"/>
    <s v="Метка 105"/>
    <n v="9850.9632849600021"/>
    <n v="3811.3376949510248"/>
    <n v="3239.6370407083709"/>
    <n v="1490.2330387258507"/>
  </r>
  <r>
    <s v="Название рассылки 106"/>
    <s v="Название кампании 106"/>
    <s v="Email"/>
    <x v="2"/>
    <x v="5"/>
    <x v="1"/>
    <n v="15"/>
    <n v="4"/>
    <s v="04-четверг"/>
    <x v="4"/>
    <s v="#ССЫЛКА"/>
    <s v="Тема письма 106"/>
    <s v="Сегмент 3"/>
    <n v="2066466"/>
    <n v="1963142.7"/>
    <n v="274839.978"/>
    <n v="10718.759142000001"/>
    <n v="103323.30000000005"/>
    <n v="17079.341489999999"/>
    <s v="Метка 106"/>
    <n v="9968.4460020600018"/>
    <n v="3445.0949383119364"/>
    <n v="2880.0993684287787"/>
    <n v="1324.8457094772382"/>
  </r>
  <r>
    <s v="Название рассылки 107"/>
    <s v="Название кампании 107"/>
    <s v="Email"/>
    <x v="2"/>
    <x v="7"/>
    <x v="1"/>
    <n v="17"/>
    <n v="5"/>
    <s v="05-пятница"/>
    <x v="5"/>
    <s v="#ССЫЛКА"/>
    <s v="Тема письма 107"/>
    <s v="Сегмент 1"/>
    <n v="1721632"/>
    <n v="1635550.4"/>
    <n v="228977.05600000001"/>
    <n v="16486.348032000002"/>
    <n v="86081.600000000093"/>
    <n v="14229.288479999997"/>
    <s v="Метка 107"/>
    <n v="15002.576709120001"/>
    <n v="3621.6220175815683"/>
    <n v="2940.7570782762336"/>
    <n v="1323.3406852243052"/>
  </r>
  <r>
    <s v="Название рассылки 108"/>
    <s v="Название кампании 108"/>
    <s v="Email"/>
    <x v="2"/>
    <x v="7"/>
    <x v="1"/>
    <n v="17"/>
    <n v="5"/>
    <s v="05-пятница"/>
    <x v="6"/>
    <s v="#ССЫЛКА"/>
    <s v="Тема письма 108"/>
    <s v="Сегмент 2"/>
    <n v="2198692"/>
    <n v="2088757.4"/>
    <n v="292426.03600000002"/>
    <n v="35091.124320000003"/>
    <n v="109934.60000000009"/>
    <n v="18172.189379999996"/>
    <s v="Метка 108"/>
    <n v="30529.2781584"/>
    <n v="17383.370983392961"/>
    <n v="17035.703563725103"/>
    <n v="14139.633957891834"/>
  </r>
  <r>
    <s v="Название рассылки 109"/>
    <s v="Название кампании 109"/>
    <s v="Email"/>
    <x v="2"/>
    <x v="8"/>
    <x v="1"/>
    <n v="17"/>
    <n v="2"/>
    <s v="02-вторник"/>
    <x v="7"/>
    <s v="#ССЫЛКА"/>
    <s v="Тема письма 109"/>
    <s v="Сегмент 3"/>
    <n v="1220097"/>
    <n v="1159092.1499999999"/>
    <n v="162272.90100000001"/>
    <n v="14604.561090000001"/>
    <n v="61004.850000000093"/>
    <n v="10084.101704999999"/>
    <s v="Метка 109"/>
    <n v="10077.1471521"/>
    <n v="2617.0351154003702"/>
    <n v="2276.8205503983222"/>
    <n v="1866.9928513266241"/>
  </r>
  <r>
    <s v="Название рассылки 11"/>
    <s v="Название кампании 11"/>
    <s v="Email"/>
    <x v="1"/>
    <x v="9"/>
    <x v="0"/>
    <n v="45"/>
    <n v="3"/>
    <s v="03-среда"/>
    <x v="8"/>
    <s v="#ССЫЛКА"/>
    <s v="Тема письма 11"/>
    <s v="Сегмент 1"/>
    <n v="659029"/>
    <n v="626077.55000000005"/>
    <n v="87650.857000000018"/>
    <n v="7362.6719880000019"/>
    <n v="32951.449999999953"/>
    <n v="4319.9350949999998"/>
    <s v="Метка 11"/>
    <n v="7141.791828360002"/>
    <n v="2978.8413716089567"/>
    <n v="2532.0151658676132"/>
    <n v="2000.2919810354144"/>
  </r>
  <r>
    <s v="Название рассылки 110"/>
    <s v="Название кампании 110"/>
    <s v="Email"/>
    <x v="2"/>
    <x v="8"/>
    <x v="1"/>
    <n v="17"/>
    <n v="2"/>
    <s v="02-вторник"/>
    <x v="9"/>
    <s v="#ССЫЛКА"/>
    <s v="Тема письма 110"/>
    <s v="Сегмент 2"/>
    <n v="551502"/>
    <n v="523926.9"/>
    <n v="73349.766000000003"/>
    <n v="2860.6408740000002"/>
    <n v="27575.099999999977"/>
    <n v="3615.0956100000003"/>
    <s v="Метка 110"/>
    <n v="2431.5447429000001"/>
    <n v="1473.27295972311"/>
    <n v="1231.6561943285199"/>
    <n v="923.74214574638995"/>
  </r>
  <r>
    <s v="Название рассылки 111"/>
    <s v="Название кампании 111"/>
    <s v="Email"/>
    <x v="3"/>
    <x v="10"/>
    <x v="1"/>
    <n v="18"/>
    <n v="4"/>
    <s v="04-четверг"/>
    <x v="10"/>
    <s v="#ССЫЛКА"/>
    <s v="Тема письма 111"/>
    <s v="Сегмент 3"/>
    <n v="1129965"/>
    <n v="1073466.75"/>
    <n v="150285.345"/>
    <n v="10820.54484"/>
    <n v="56498.25"/>
    <n v="7406.9205750000001"/>
    <s v="Метка 111"/>
    <n v="9954.9012528000003"/>
    <n v="3851.5512947083203"/>
    <n v="3127.4596513031561"/>
    <n v="2283.045545451304"/>
  </r>
  <r>
    <s v="Название рассылки 112"/>
    <s v="Название кампании 112"/>
    <s v="Email"/>
    <x v="3"/>
    <x v="11"/>
    <x v="1"/>
    <n v="19"/>
    <n v="4"/>
    <s v="04-четверг"/>
    <x v="11"/>
    <s v="#ССЫЛКА"/>
    <s v="Тема письма 112"/>
    <s v="Сегмент 1"/>
    <n v="2378647"/>
    <n v="2259714.65"/>
    <n v="316360.05100000004"/>
    <n v="37963.206120000003"/>
    <n v="118932.35000000009"/>
    <n v="15592.031084999999"/>
    <s v="Метка 112"/>
    <n v="35305.781691600001"/>
    <n v="12201.67815261696"/>
    <n v="11957.644589564621"/>
    <n v="9446.5392257560507"/>
  </r>
  <r>
    <s v="Название рассылки 113"/>
    <s v="Название кампании 113"/>
    <s v="Email"/>
    <x v="3"/>
    <x v="12"/>
    <x v="1"/>
    <n v="20"/>
    <n v="1"/>
    <s v="01-понедельник"/>
    <x v="12"/>
    <s v="#ССЫЛКА"/>
    <s v="Тема письма 113"/>
    <s v="Сегмент 2"/>
    <n v="725023"/>
    <n v="688771.85"/>
    <n v="109859.110075"/>
    <n v="9887.3199067500009"/>
    <n v="36251.150000000023"/>
    <n v="4752.5257649999994"/>
    <s v="Метка 113"/>
    <n v="8997.4611151425015"/>
    <n v="2171.9871131954001"/>
    <n v="1889.6287884799981"/>
    <n v="1568.3918944383984"/>
  </r>
  <r>
    <s v="Название рассылки 114"/>
    <s v="Название кампании 114"/>
    <s v="Email"/>
    <x v="3"/>
    <x v="13"/>
    <x v="1"/>
    <n v="21"/>
    <n v="5"/>
    <s v="05-пятница"/>
    <x v="11"/>
    <s v="#ССЫЛКА"/>
    <s v="Тема письма 114"/>
    <s v="Сегмент 3"/>
    <n v="834290"/>
    <n v="792575.5"/>
    <n v="129348.32160000001"/>
    <n v="10865.259014400002"/>
    <n v="41714.5"/>
    <n v="5468.7709500000001"/>
    <s v="Метка 114"/>
    <n v="9452.7753425280025"/>
    <n v="5382.4102800354449"/>
    <n v="4575.0487380301283"/>
    <n v="3751.5399651847051"/>
  </r>
  <r>
    <s v="Название рассылки 115"/>
    <s v="Название кампании 115"/>
    <s v="Email"/>
    <x v="2"/>
    <x v="14"/>
    <x v="0"/>
    <n v="15"/>
    <n v="4"/>
    <s v="04-четверг"/>
    <x v="11"/>
    <s v="#ССЫЛКА"/>
    <s v="Тема письма 115"/>
    <s v="Сегмент 1"/>
    <n v="688566"/>
    <n v="654137.69999999995"/>
    <n v="94261.242570000002"/>
    <n v="3676.1884602300001"/>
    <n v="34428.300000000047"/>
    <n v="4513.5501299999996"/>
    <s v="Метка 115"/>
    <n v="2536.5700375586998"/>
    <n v="658.74723875399434"/>
    <n v="550.71269159833923"/>
    <n v="435.06302636268799"/>
  </r>
  <r>
    <s v="Название рассылки 116"/>
    <s v="Название кампании 116"/>
    <s v="Email"/>
    <x v="2"/>
    <x v="15"/>
    <x v="0"/>
    <n v="16"/>
    <n v="3"/>
    <s v="03-среда"/>
    <x v="11"/>
    <s v="#ССЫЛКА"/>
    <s v="Тема письма 116"/>
    <s v="Сегмент 2"/>
    <n v="627527"/>
    <n v="596150.65"/>
    <n v="83341.860870000004"/>
    <n v="6000.6139826400013"/>
    <n v="31376.349999999977"/>
    <n v="4113.4394849999999"/>
    <s v="Метка 116"/>
    <n v="5820.5955631608012"/>
    <n v="2427.7704093943698"/>
    <n v="1971.3495724282284"/>
    <n v="1478.5121793211713"/>
  </r>
  <r>
    <s v="Название рассылки 117"/>
    <s v="Название кампании 117"/>
    <s v="Email"/>
    <x v="2"/>
    <x v="16"/>
    <x v="0"/>
    <n v="16"/>
    <n v="4"/>
    <s v="04-четверг"/>
    <x v="11"/>
    <s v="#ССЫЛКА"/>
    <s v="Тема письма 117"/>
    <s v="Сегмент 1"/>
    <n v="1886230"/>
    <n v="1791918.5"/>
    <n v="285811.00075000001"/>
    <n v="34297.320090000001"/>
    <n v="94311.5"/>
    <n v="12364.237649999999"/>
    <s v="Метка 117"/>
    <n v="29152.722076499998"/>
    <n v="17663.634306151347"/>
    <n v="17310.361620028321"/>
    <n v="12636.563982620673"/>
  </r>
  <r>
    <s v="Название рассылки 118"/>
    <s v="Название кампании 118"/>
    <s v="Email"/>
    <x v="2"/>
    <x v="17"/>
    <x v="0"/>
    <n v="17"/>
    <n v="5"/>
    <s v="05-пятница"/>
    <x v="11"/>
    <s v="#ССЫЛКА"/>
    <s v="Тема письма 118"/>
    <s v="Сегмент 2"/>
    <n v="2342323"/>
    <n v="2225206.85"/>
    <n v="363153.75792000006"/>
    <n v="32683.838212800005"/>
    <n v="117116.14999999991"/>
    <n v="15353.927265"/>
    <s v="Метка 118"/>
    <n v="30069.131155776005"/>
    <n v="11633.746844169737"/>
    <n v="10121.359754427671"/>
    <n v="7995.8742059978604"/>
  </r>
  <r>
    <s v="Название рассылки 119"/>
    <s v="Название кампании 119"/>
    <s v="Email"/>
    <x v="2"/>
    <x v="18"/>
    <x v="0"/>
    <n v="18"/>
    <n v="5"/>
    <s v="05-пятница"/>
    <x v="11"/>
    <s v="#ССЫЛКА"/>
    <s v="Тема письма 119"/>
    <s v="Сегмент 3"/>
    <n v="724212"/>
    <n v="688001.4"/>
    <n v="99141.001740000007"/>
    <n v="8327.8441461600014"/>
    <n v="36210.599999999977"/>
    <n v="4747.2096600000004"/>
    <s v="Метка 119"/>
    <n v="7744.8950559288014"/>
    <n v="2676.6357313289936"/>
    <n v="2275.1403716296445"/>
    <n v="1888.3665084526049"/>
  </r>
  <r>
    <s v="Название рассылки 12"/>
    <s v="Название кампании 12"/>
    <s v="Email"/>
    <x v="1"/>
    <x v="9"/>
    <x v="0"/>
    <n v="45"/>
    <n v="3"/>
    <s v="03-среда"/>
    <x v="13"/>
    <s v="#ССЫЛКА"/>
    <s v="Тема письма 12"/>
    <s v="Сегмент 1"/>
    <n v="595026"/>
    <n v="565274.69999999995"/>
    <n v="79025.403059999997"/>
    <n v="3081.9907193399999"/>
    <n v="29751.300000000047"/>
    <n v="3561.2306099999996"/>
    <s v="Метка 12"/>
    <n v="2804.6115545993998"/>
    <n v="677.03322928029513"/>
    <n v="565.99977967832672"/>
    <n v="464.11981933622786"/>
  </r>
  <r>
    <s v="Название рассылки 120"/>
    <s v="Название кампании 120"/>
    <s v="Email"/>
    <x v="3"/>
    <x v="19"/>
    <x v="0"/>
    <n v="18"/>
    <n v="3"/>
    <s v="03-среда"/>
    <x v="11"/>
    <s v="#ССЫЛКА"/>
    <s v="Тема письма 120"/>
    <s v="Сегмент 2"/>
    <n v="1534412"/>
    <n v="1457691.4"/>
    <n v="232501.77829999998"/>
    <n v="16740.1280376"/>
    <n v="76720.600000000093"/>
    <n v="9183.4558199999992"/>
    <s v="Метка 120"/>
    <n v="14563.911392712"/>
    <n v="8292.6911470102132"/>
    <n v="6733.6652113722939"/>
    <n v="5319.5955169841127"/>
  </r>
  <r>
    <s v="Название рассылки 121"/>
    <s v="Название кампании 121"/>
    <s v="Email"/>
    <x v="3"/>
    <x v="20"/>
    <x v="0"/>
    <n v="19"/>
    <n v="2"/>
    <s v="02-вторник"/>
    <x v="11"/>
    <s v="#ССЫЛКА"/>
    <s v="Тема письма 121"/>
    <s v="Сегмент 3"/>
    <n v="1271610"/>
    <n v="1208029.5"/>
    <n v="197150.41440000001"/>
    <n v="23658.049728000002"/>
    <n v="63580.5"/>
    <n v="7610.5858500000004"/>
    <s v="Метка 121"/>
    <n v="16324.05431232"/>
    <n v="4239.356904909504"/>
    <n v="4154.5697668113135"/>
    <n v="3115.9273251084851"/>
  </r>
  <r>
    <s v="Название рассылки 122"/>
    <s v="Название кампании 122"/>
    <s v="Email"/>
    <x v="3"/>
    <x v="21"/>
    <x v="0"/>
    <n v="21"/>
    <n v="3"/>
    <s v="03-среда"/>
    <x v="11"/>
    <s v="#ССЫЛКА"/>
    <s v="Тема письма 122"/>
    <s v="Сегмент 1"/>
    <n v="1840578"/>
    <n v="1748549.1"/>
    <n v="251965.92531000002"/>
    <n v="22676.9332779"/>
    <n v="92028.899999999907"/>
    <n v="11015.859330000001"/>
    <s v="Метка 122"/>
    <n v="21996.625279562999"/>
    <n v="9174.7924041057267"/>
    <n v="7982.0693915719821"/>
    <n v="5826.9106558475469"/>
  </r>
  <r>
    <s v="Название рассылки 123"/>
    <s v="Название кампании 123"/>
    <s v="Email"/>
    <x v="3"/>
    <x v="22"/>
    <x v="0"/>
    <n v="18"/>
    <n v="4"/>
    <s v="04-четверг"/>
    <x v="11"/>
    <s v="#ССЫЛКА"/>
    <s v="Тема письма 123"/>
    <s v="Сегмент 2"/>
    <n v="1543014"/>
    <n v="1519868.79"/>
    <n v="212477.65684200003"/>
    <n v="17848.123174728004"/>
    <n v="23145.209999999963"/>
    <n v="9575.173377000001"/>
    <s v="Метка 123"/>
    <n v="15170.904698518803"/>
    <n v="9192.0511568325419"/>
    <n v="7813.2434833076604"/>
    <n v="6172.462351813052"/>
  </r>
  <r>
    <s v="Название рассылки 124"/>
    <s v="Название кампании 124"/>
    <s v="Email"/>
    <x v="4"/>
    <x v="23"/>
    <x v="0"/>
    <n v="22"/>
    <n v="4"/>
    <s v="04-четверг"/>
    <x v="11"/>
    <s v="#ССЫЛКА"/>
    <s v="Тема письма 124"/>
    <s v="Сегмент 3"/>
    <n v="1908956"/>
    <n v="1870776.88"/>
    <n v="298388.91236000002"/>
    <n v="11637.167582040001"/>
    <n v="38179.120000000112"/>
    <n v="11785.894344"/>
    <s v="Метка 124"/>
    <n v="10706.194175476801"/>
    <n v="4142.2265264919743"/>
    <n v="3462.9013761472902"/>
    <n v="2874.2081422022507"/>
  </r>
  <r>
    <s v="Название рассылки 125"/>
    <s v="Название кампании 125"/>
    <s v="Email"/>
    <x v="4"/>
    <x v="24"/>
    <x v="0"/>
    <n v="26"/>
    <n v="3"/>
    <s v="03-среда"/>
    <x v="11"/>
    <s v="#ССЫЛКА"/>
    <s v="Тема письма 125"/>
    <s v="Сегмент 1"/>
    <n v="1048331"/>
    <n v="1027364.38"/>
    <n v="167665.86681600002"/>
    <n v="12071.942410752003"/>
    <n v="20966.619999999995"/>
    <n v="6472.3955940000005"/>
    <s v="Метка 125"/>
    <n v="11226.906441999363"/>
    <n v="3880.0188663549793"/>
    <n v="3150.5753194802433"/>
    <n v="2583.4717619737994"/>
  </r>
  <r>
    <s v="Название рассылки 126"/>
    <s v="Название кампании 126"/>
    <s v="Email"/>
    <x v="4"/>
    <x v="24"/>
    <x v="0"/>
    <n v="26"/>
    <n v="3"/>
    <s v="03-среда"/>
    <x v="11"/>
    <s v="#ССЫЛКА"/>
    <s v="Тема письма 126"/>
    <s v="Сегмент 2"/>
    <n v="1139864"/>
    <n v="1122766.04"/>
    <n v="161790.58636400002"/>
    <n v="19414.870363680002"/>
    <n v="17097.959999999963"/>
    <n v="7073.4260520000007"/>
    <s v="Метка 126"/>
    <n v="17667.532030948802"/>
    <n v="4264.9422322710407"/>
    <n v="4179.6433876256197"/>
    <n v="3301.9182762242399"/>
  </r>
  <r>
    <s v="Название рассылки 127"/>
    <s v="Название кампании 127"/>
    <s v="Email"/>
    <x v="4"/>
    <x v="25"/>
    <x v="0"/>
    <n v="24"/>
    <n v="5"/>
    <s v="05-пятница"/>
    <x v="11"/>
    <s v="#ССЫЛКА"/>
    <s v="Тема письма 127"/>
    <s v="Сегмент 3"/>
    <n v="1532124"/>
    <n v="1501481.52"/>
    <n v="209907.116496"/>
    <n v="18891.64048464"/>
    <n v="30642.479999999981"/>
    <n v="9459.3335760000009"/>
    <s v="Метка 127"/>
    <n v="16435.7272216368"/>
    <n v="9358.503079999995"/>
    <n v="8141.8976795999952"/>
    <n v="6106.4232596999964"/>
  </r>
  <r>
    <s v="Название рассылки 128"/>
    <s v="Название кампании 128"/>
    <s v="Email"/>
    <x v="4"/>
    <x v="25"/>
    <x v="0"/>
    <n v="24"/>
    <n v="5"/>
    <s v="05-пятница"/>
    <x v="11"/>
    <s v="#ССЫЛКА"/>
    <s v="Тема письма 128"/>
    <s v="Сегмент 1"/>
    <n v="2204384"/>
    <n v="2160296.3199999998"/>
    <n v="344567.26303999999"/>
    <n v="28943.650095360001"/>
    <n v="44087.680000000168"/>
    <n v="13609.866816"/>
    <s v="Метка 128"/>
    <n v="19971.118565798399"/>
    <n v="5186.4994915378438"/>
    <n v="4408.5245678071669"/>
    <n v="3218.222934499232"/>
  </r>
  <r>
    <s v="Название рассылки 129"/>
    <s v="Название кампании 129"/>
    <s v="Email"/>
    <x v="4"/>
    <x v="26"/>
    <x v="0"/>
    <n v="24"/>
    <n v="4"/>
    <s v="04-четверг"/>
    <x v="11"/>
    <s v="#ССЫЛКА"/>
    <s v="Тема письма 129"/>
    <s v="Сегмент 2"/>
    <n v="637366"/>
    <n v="627805.51"/>
    <n v="102457.859232"/>
    <n v="3995.856510048"/>
    <n v="9560.4899999999907"/>
    <n v="3955.1747129999999"/>
    <s v="Метка 129"/>
    <n v="3875.9808147465601"/>
    <n v="1616.6715978307902"/>
    <n v="1351.5374557865405"/>
    <n v="1067.714590071367"/>
  </r>
  <r>
    <s v="Название рассылки 13"/>
    <s v="Название кампании 13"/>
    <s v="Email"/>
    <x v="1"/>
    <x v="9"/>
    <x v="0"/>
    <n v="45"/>
    <n v="3"/>
    <s v="03-среда"/>
    <x v="14"/>
    <s v="#ССЫЛКА"/>
    <s v="Тема письма 13"/>
    <s v="Сегмент 3"/>
    <n v="1662638"/>
    <n v="1629385.24"/>
    <n v="234794.413084"/>
    <n v="16905.197742048003"/>
    <n v="33252.760000000009"/>
    <n v="10265.127012000001"/>
    <s v="Метка 13"/>
    <n v="14369.418080740803"/>
    <n v="8706.4304151208526"/>
    <n v="7069.621497078133"/>
    <n v="5867.78584257485"/>
  </r>
  <r>
    <s v="Название рассылки 130"/>
    <s v="Название кампании 130"/>
    <s v="Email"/>
    <x v="4"/>
    <x v="26"/>
    <x v="0"/>
    <n v="24"/>
    <n v="4"/>
    <s v="04-четверг"/>
    <x v="11"/>
    <s v="#ССЫЛКА"/>
    <s v="Тема письма 130"/>
    <s v="Сегмент 1"/>
    <n v="803451"/>
    <n v="787381.98"/>
    <n v="110076.00080400001"/>
    <n v="13209.120096480001"/>
    <n v="16069.020000000019"/>
    <n v="4724.2918799999998"/>
    <s v="Метка 130"/>
    <n v="12152.390488761601"/>
    <n v="4701.759880101863"/>
    <n v="3996.4958980865836"/>
    <n v="3277.1266364309981"/>
  </r>
  <r>
    <s v="Название рассылки 131"/>
    <s v="Название кампании 131"/>
    <s v="Email"/>
    <x v="4"/>
    <x v="26"/>
    <x v="0"/>
    <n v="24"/>
    <n v="4"/>
    <s v="04-четверг"/>
    <x v="11"/>
    <s v="#ССЫЛКА"/>
    <s v="Тема письма 131"/>
    <s v="Сегмент 2"/>
    <n v="712081"/>
    <n v="701399.78500000003"/>
    <n v="111873.2657075"/>
    <n v="10068.593913675"/>
    <n v="10681.214999999967"/>
    <n v="4208.3987100000004"/>
    <s v="Метка 131"/>
    <n v="9363.792339717751"/>
    <n v="3236.1266326064547"/>
    <n v="2705.4018648589959"/>
    <n v="2137.2674732386067"/>
  </r>
  <r>
    <s v="Название рассылки 132"/>
    <s v="Название кампании 132"/>
    <s v="Email"/>
    <x v="4"/>
    <x v="27"/>
    <x v="0"/>
    <n v="25"/>
    <n v="3"/>
    <s v="03-среда"/>
    <x v="11"/>
    <s v="#ССЫЛКА"/>
    <s v="Тема письма 132"/>
    <s v="Сегмент 3"/>
    <n v="1895354"/>
    <n v="1857446.92"/>
    <n v="303135.337344"/>
    <n v="25463.368336896001"/>
    <n v="37907.080000000075"/>
    <n v="11144.68152"/>
    <s v="Метка 132"/>
    <n v="23171.665186575363"/>
    <n v="5593.6399760392924"/>
    <n v="4542.0356605439056"/>
    <n v="3406.5267454079294"/>
  </r>
  <r>
    <s v="Название рассылки 133"/>
    <s v="Название кампании 133"/>
    <s v="Email"/>
    <x v="4"/>
    <x v="28"/>
    <x v="0"/>
    <n v="25"/>
    <n v="4"/>
    <s v="04-четверг"/>
    <x v="11"/>
    <s v="#ССЫЛКА"/>
    <s v="Тема письма 133"/>
    <s v="Сегмент 1"/>
    <n v="2087014"/>
    <n v="2045273.72"/>
    <n v="294723.94305200002"/>
    <n v="11494.233779028"/>
    <n v="41740.280000000028"/>
    <n v="12271.642320000001"/>
    <s v="Метка 133"/>
    <n v="9999.9833877543606"/>
    <n v="5693.9905409873336"/>
    <n v="5580.1107301675866"/>
    <n v="4073.4808330223382"/>
  </r>
  <r>
    <s v="Название рассылки 134"/>
    <s v="Название кампании 134"/>
    <s v="Email"/>
    <x v="4"/>
    <x v="29"/>
    <x v="0"/>
    <n v="26"/>
    <n v="5"/>
    <s v="05-пятница"/>
    <x v="11"/>
    <s v="#ССЫЛКА"/>
    <s v="Тема письма 134"/>
    <s v="Сегмент 2"/>
    <n v="937507"/>
    <n v="923444.39500000002"/>
    <n v="129097.52642100002"/>
    <n v="9295.0219023120026"/>
    <n v="14062.604999999981"/>
    <n v="5540.6663699999999"/>
    <s v="Метка 134"/>
    <n v="6413.5651125952809"/>
    <n v="1665.6028597409945"/>
    <n v="1449.0744879746653"/>
    <n v="1144.7688454999857"/>
  </r>
  <r>
    <s v="Название рассылки 135"/>
    <s v="Название кампании 135"/>
    <s v="Email"/>
    <x v="4"/>
    <x v="30"/>
    <x v="0"/>
    <n v="26"/>
    <n v="2"/>
    <s v="02-вторник"/>
    <x v="11"/>
    <s v="#ССЫЛКА"/>
    <s v="Тема письма 135"/>
    <s v="Сегмент 1"/>
    <n v="624628"/>
    <n v="612135.43999999994"/>
    <n v="97635.602679999996"/>
    <n v="11716.272321599999"/>
    <n v="12492.560000000056"/>
    <n v="3672.8126399999996"/>
    <s v="Метка 135"/>
    <n v="11364.784151951999"/>
    <n v="4740.2514697791785"/>
    <n v="4029.2137493123014"/>
    <n v="3344.2474119292101"/>
  </r>
  <r>
    <s v="Название рассылки 136"/>
    <s v="Название кампании 136"/>
    <s v="Email"/>
    <x v="5"/>
    <x v="31"/>
    <x v="0"/>
    <n v="28"/>
    <n v="6"/>
    <s v="06-суббота"/>
    <x v="11"/>
    <s v="#ССЫЛКА"/>
    <s v="Тема письма 136"/>
    <s v="Сегмент 2"/>
    <n v="873732"/>
    <n v="856257.36"/>
    <n v="139741.20115199999"/>
    <n v="12576.708103679999"/>
    <n v="17474.640000000014"/>
    <n v="5137.5441600000004"/>
    <s v="Метка 136"/>
    <n v="10690.201888127998"/>
    <n v="6477.1933240167536"/>
    <n v="5414.9336188780062"/>
    <n v="4440.2455674799648"/>
  </r>
  <r>
    <s v="Название рассылки 137"/>
    <s v="Название кампании 137"/>
    <s v="Email"/>
    <x v="5"/>
    <x v="32"/>
    <x v="0"/>
    <n v="28"/>
    <n v="2"/>
    <s v="02-вторник"/>
    <x v="11"/>
    <s v="#ССЫЛКА"/>
    <s v="Тема письма 137"/>
    <s v="Сегмент 3"/>
    <n v="1191813"/>
    <n v="1173935.8049999999"/>
    <n v="169164.1495005"/>
    <n v="14209.788558042001"/>
    <n v="17877.195000000065"/>
    <n v="7043.6148299999995"/>
    <s v="Метка 137"/>
    <n v="13073.005473398642"/>
    <n v="5057.9458176579346"/>
    <n v="4107.0520039382436"/>
    <n v="3244.5710831112128"/>
  </r>
  <r>
    <s v="Название рассылки 138"/>
    <s v="Название кампании 138"/>
    <s v="Email"/>
    <x v="5"/>
    <x v="33"/>
    <x v="0"/>
    <n v="28"/>
    <n v="4"/>
    <s v="04-четверг"/>
    <x v="11"/>
    <s v="#ССЫЛКА"/>
    <s v="Тема письма 138"/>
    <s v="Сегмент 1"/>
    <n v="1496548"/>
    <n v="1466617.04"/>
    <n v="205033.06219200001"/>
    <n v="7996.2894254880002"/>
    <n v="29930.959999999963"/>
    <n v="8799.7022400000005"/>
    <s v="Метка 138"/>
    <n v="7436.549165703841"/>
    <n v="2570.0713916672471"/>
    <n v="2184.5606829171602"/>
    <n v="1638.4205121878701"/>
  </r>
  <r>
    <s v="Название рассылки 139"/>
    <s v="Название кампании 139"/>
    <s v="Email"/>
    <x v="5"/>
    <x v="34"/>
    <x v="0"/>
    <n v="29"/>
    <n v="3"/>
    <s v="03-среда"/>
    <x v="11"/>
    <s v="#ССЫЛКА"/>
    <s v="Тема письма 139"/>
    <s v="Сегмент 2"/>
    <n v="1739639"/>
    <n v="1704846.22"/>
    <n v="271922.97209"/>
    <n v="19578.45399048"/>
    <n v="34792.780000000028"/>
    <n v="10229.07732"/>
    <s v="Метка 139"/>
    <n v="17816.393131336801"/>
    <n v="4300.8773019047039"/>
    <n v="3595.5334243923321"/>
    <n v="2624.7393998064022"/>
  </r>
  <r>
    <s v="Название рассылки 14"/>
    <s v="Название кампании 14"/>
    <s v="Email"/>
    <x v="1"/>
    <x v="9"/>
    <x v="0"/>
    <n v="45"/>
    <n v="3"/>
    <s v="03-среда"/>
    <x v="15"/>
    <s v="#ССЫЛКА"/>
    <s v="Тема письма 14"/>
    <s v="Сегмент 3"/>
    <n v="2451610"/>
    <n v="2414835.85"/>
    <n v="394101.21072000003"/>
    <n v="47292.145286400002"/>
    <n v="36774.149999999907"/>
    <n v="14489.015100000001"/>
    <s v="Метка 14"/>
    <n v="41144.166399168003"/>
    <n v="23427.48834768626"/>
    <n v="19023.120538321244"/>
    <n v="15028.265225273783"/>
  </r>
  <r>
    <s v="Название рассылки 140"/>
    <s v="Название кампании 140"/>
    <s v="Email"/>
    <x v="5"/>
    <x v="35"/>
    <x v="0"/>
    <n v="30"/>
    <n v="6"/>
    <s v="06-суббота"/>
    <x v="11"/>
    <s v="#ССЫЛКА"/>
    <s v="Тема письма 140"/>
    <s v="Сегмент 1"/>
    <n v="1302288"/>
    <n v="1276242.24"/>
    <n v="183906.506784"/>
    <n v="16551.58561056"/>
    <n v="26045.760000000009"/>
    <n v="7657.4534400000002"/>
    <s v="Метка 140"/>
    <n v="11420.594071286399"/>
    <n v="2965.9282803130777"/>
    <n v="2906.6097147068162"/>
    <n v="2412.4860632066575"/>
  </r>
  <r>
    <s v="Название рассылки 141"/>
    <s v="Название кампании 141"/>
    <s v="Email"/>
    <x v="5"/>
    <x v="36"/>
    <x v="0"/>
    <n v="30"/>
    <n v="3"/>
    <s v="03-среда"/>
    <x v="11"/>
    <s v="#ССЫЛКА"/>
    <s v="Тема письма 141"/>
    <s v="Сегмент 2"/>
    <n v="963389"/>
    <n v="944121.22"/>
    <n v="131988.14655599999"/>
    <n v="11087.004310704"/>
    <n v="19267.780000000028"/>
    <n v="5664.72732"/>
    <s v="Метка 141"/>
    <n v="10754.394181382881"/>
    <n v="4485.6578130547996"/>
    <n v="3902.5222973576756"/>
    <n v="3200.0682838332937"/>
  </r>
  <r>
    <s v="Название рассылки 142"/>
    <s v="Название кампании 142"/>
    <s v="Email"/>
    <x v="6"/>
    <x v="37"/>
    <x v="0"/>
    <n v="31"/>
    <n v="2"/>
    <s v="02-вторник"/>
    <x v="11"/>
    <s v="#ССЫЛКА"/>
    <s v="Тема письма 142"/>
    <s v="Сегмент 3"/>
    <n v="2443329"/>
    <n v="2406679.0649999999"/>
    <n v="265938.03668249998"/>
    <n v="10371.583430617498"/>
    <n v="36649.935000000056"/>
    <n v="13958.738576999998"/>
    <s v="Метка 142"/>
    <n v="8815.8459160248731"/>
    <n v="5341.5210405194703"/>
    <n v="4540.2928844415492"/>
    <n v="3586.8313787088241"/>
  </r>
  <r>
    <s v="Название рассылки 143"/>
    <s v="Название кампании 143"/>
    <s v="Email"/>
    <x v="6"/>
    <x v="38"/>
    <x v="0"/>
    <n v="32"/>
    <n v="4"/>
    <s v="04-четверг"/>
    <x v="11"/>
    <s v="#ССЫЛКА"/>
    <s v="Тема письма 143"/>
    <s v="Сегмент 1"/>
    <n v="926161"/>
    <n v="907637.78"/>
    <n v="163374.80040000001"/>
    <n v="11762.985628800003"/>
    <n v="18523.219999999972"/>
    <n v="5264.2991240000001"/>
    <s v="Метка 143"/>
    <n v="10821.946778496003"/>
    <n v="4187.0112086001036"/>
    <n v="3500.3413703896863"/>
    <n v="2625.2560277922648"/>
  </r>
  <r>
    <s v="Название рассылки 144"/>
    <s v="Название кампании 144"/>
    <s v="Email"/>
    <x v="6"/>
    <x v="39"/>
    <x v="0"/>
    <n v="33"/>
    <n v="2"/>
    <s v="02-вторник"/>
    <x v="11"/>
    <s v="#ССЫЛКА"/>
    <s v="Тема письма 144"/>
    <s v="Сегмент 2"/>
    <n v="2305760"/>
    <n v="2259644.7999999998"/>
    <n v="393856.08863999997"/>
    <n v="47262.730636799992"/>
    <n v="46115.200000000186"/>
    <n v="13331.904319999998"/>
    <s v="Метка 144"/>
    <n v="43954.339492223997"/>
    <n v="15190.619728512613"/>
    <n v="12334.783219552242"/>
    <n v="9004.3917502731365"/>
  </r>
  <r>
    <s v="Название рассылки 145"/>
    <s v="Название кампании 145"/>
    <s v="Email"/>
    <x v="6"/>
    <x v="40"/>
    <x v="0"/>
    <n v="34"/>
    <n v="5"/>
    <s v="05-пятница"/>
    <x v="11"/>
    <s v="#ССЫЛКА"/>
    <s v="Тема письма 145"/>
    <s v="Сегмент 3"/>
    <n v="702289"/>
    <n v="691754.66500000004"/>
    <n v="76438.890482500006"/>
    <n v="6879.5001434250007"/>
    <n v="10534.334999999963"/>
    <n v="3943.0015904999996"/>
    <s v="Метка 145"/>
    <n v="6260.3451305167509"/>
    <n v="1511.2473145067436"/>
    <n v="1284.560217330732"/>
    <n v="1014.8025716912783"/>
  </r>
  <r>
    <s v="Название рассылки 146"/>
    <s v="Название кампании 146"/>
    <s v="Email"/>
    <x v="6"/>
    <x v="41"/>
    <x v="0"/>
    <n v="34"/>
    <n v="2"/>
    <s v="02-вторник"/>
    <x v="11"/>
    <s v="#ССЫЛКА"/>
    <s v="Тема письма 146"/>
    <s v="Сегмент 1"/>
    <n v="573276"/>
    <n v="561810.48"/>
    <n v="101125.88639999999"/>
    <n v="8494.5744575999997"/>
    <n v="11465.520000000019"/>
    <n v="3202.3197359999995"/>
    <s v="Метка 146"/>
    <n v="7390.2797781119998"/>
    <n v="4208.0253056569727"/>
    <n v="3517.9091555292289"/>
    <n v="2919.8645990892596"/>
  </r>
  <r>
    <s v="Название рассылки 147"/>
    <s v="Название кампании 147"/>
    <s v="Email"/>
    <x v="6"/>
    <x v="42"/>
    <x v="0"/>
    <n v="35"/>
    <n v="1"/>
    <s v="01-понедельник"/>
    <x v="11"/>
    <s v="#ССЫЛКА"/>
    <s v="Тема письма 147"/>
    <s v="Сегмент 2"/>
    <n v="1956368"/>
    <n v="1917240.64"/>
    <n v="334175.04355200002"/>
    <n v="13032.826698528001"/>
    <n v="39127.360000000102"/>
    <n v="9586.2031999999999"/>
    <s v="Метка 147"/>
    <n v="8992.6504219843191"/>
    <n v="2335.391314589328"/>
    <n v="1896.3377474465344"/>
    <n v="1554.9969529061582"/>
  </r>
  <r>
    <s v="Название рассылки 148"/>
    <s v="Название кампании 148"/>
    <s v="Email"/>
    <x v="7"/>
    <x v="43"/>
    <x v="0"/>
    <n v="36"/>
    <n v="4"/>
    <s v="04-четверг"/>
    <x v="11"/>
    <s v="#ССЫЛКА"/>
    <s v="Тема письма 148"/>
    <s v="Сегмент 3"/>
    <n v="1380708"/>
    <n v="1359997.38"/>
    <n v="150279.71049"/>
    <n v="10820.139155280001"/>
    <n v="20710.620000000112"/>
    <n v="7887.9848039999988"/>
    <s v="Метка 148"/>
    <n v="10495.534980621602"/>
    <n v="4377.6876404172699"/>
    <n v="4290.1338876089249"/>
    <n v="3389.2057712110509"/>
  </r>
  <r>
    <s v="Название рассылки 149"/>
    <s v="Название кампании 149"/>
    <s v="Email"/>
    <x v="7"/>
    <x v="44"/>
    <x v="0"/>
    <n v="37"/>
    <n v="4"/>
    <s v="04-четверг"/>
    <x v="11"/>
    <s v="#ССЫЛКА"/>
    <s v="Тема письма 149"/>
    <s v="Сегмент 1"/>
    <n v="624983"/>
    <n v="612483.34"/>
    <n v="110247.00119999998"/>
    <n v="13229.640143999997"/>
    <n v="12499.660000000033"/>
    <n v="3613.6517059999996"/>
    <s v="Метка 149"/>
    <n v="11245.194122399997"/>
    <n v="6813.463118762158"/>
    <n v="5927.7129133230774"/>
    <n v="4445.784684992308"/>
  </r>
  <r>
    <s v="Название рассылки 15"/>
    <s v="Название кампании 15"/>
    <s v="Email"/>
    <x v="1"/>
    <x v="45"/>
    <x v="0"/>
    <n v="45"/>
    <n v="4"/>
    <s v="04-четверг"/>
    <x v="6"/>
    <s v="#ССЫЛКА"/>
    <s v="Тема письма 15"/>
    <s v="Сегмент 2"/>
    <n v="676699"/>
    <n v="663165.02"/>
    <n v="115589.66298600001"/>
    <n v="10403.069668740001"/>
    <n v="13533.979999999981"/>
    <n v="3780.0406139999996"/>
    <s v="Метка 15"/>
    <n v="9570.8240952408014"/>
    <n v="3702.951842448666"/>
    <n v="3147.5090660813662"/>
    <n v="2297.6816182393973"/>
  </r>
  <r>
    <s v="Название рассылки 150"/>
    <s v="Название кампании 150"/>
    <s v="Email"/>
    <x v="7"/>
    <x v="46"/>
    <x v="0"/>
    <n v="35"/>
    <n v="3"/>
    <s v="03-среда"/>
    <x v="11"/>
    <s v="#ССЫЛКА"/>
    <s v="Тема письма 150"/>
    <s v="Сегмент 3"/>
    <n v="846810"/>
    <n v="834107.85"/>
    <n v="92168.917424999992"/>
    <n v="7742.1890636999997"/>
    <n v="12702.150000000023"/>
    <n v="4754.4147449999991"/>
    <s v="Метка 150"/>
    <n v="7200.2358292409999"/>
    <n v="2488.4015025856893"/>
    <n v="2080.3036561616364"/>
    <n v="1643.4398883676929"/>
  </r>
  <r>
    <s v="Название рассылки 151"/>
    <s v="Название кампании 151"/>
    <s v="Email"/>
    <x v="7"/>
    <x v="47"/>
    <x v="0"/>
    <n v="36"/>
    <n v="3"/>
    <s v="03-среда"/>
    <x v="11"/>
    <s v="#ССЫЛКА"/>
    <s v="Тема письма 151"/>
    <s v="Сегмент 1"/>
    <n v="1497564"/>
    <n v="1452637.08"/>
    <n v="133642.61136000001"/>
    <n v="5212.06184304"/>
    <n v="44926.919999999925"/>
    <n v="7263.1854000000003"/>
    <s v="Метка 151"/>
    <n v="4742.9762771664"/>
    <n v="1144.954473307969"/>
    <n v="929.70303232607091"/>
    <n v="771.65351683063886"/>
  </r>
  <r>
    <s v="Название рассылки 152"/>
    <s v="Название кампании 152"/>
    <s v="Email"/>
    <x v="7"/>
    <x v="48"/>
    <x v="0"/>
    <n v="37"/>
    <n v="1"/>
    <s v="01-понедельник"/>
    <x v="11"/>
    <s v="#ССЫЛКА"/>
    <s v="Тема письма 152"/>
    <s v="Сегмент 2"/>
    <n v="1470010"/>
    <n v="1425909.7"/>
    <n v="248536.06071000002"/>
    <n v="17894.596371120002"/>
    <n v="44100.300000000047"/>
    <n v="8270.2762599999987"/>
    <s v="Метка 152"/>
    <n v="15568.298842874401"/>
    <n v="8864.5893611326846"/>
    <n v="7534.9009569627815"/>
    <n v="6178.6187847094807"/>
  </r>
  <r>
    <s v="Название рассылки 153"/>
    <s v="Название кампании 153"/>
    <s v="Email"/>
    <x v="7"/>
    <x v="49"/>
    <x v="0"/>
    <n v="38"/>
    <n v="5"/>
    <s v="05-пятница"/>
    <x v="11"/>
    <s v="#ССЫЛКА"/>
    <s v="Тема письма 153"/>
    <s v="Сегмент 1"/>
    <n v="767766"/>
    <n v="744733.02"/>
    <n v="82292.99871"/>
    <n v="9875.1598451999998"/>
    <n v="23032.979999999981"/>
    <n v="4393.9248180000004"/>
    <s v="Метка 153"/>
    <n v="6813.8602931879996"/>
    <n v="1769.5595181409235"/>
    <n v="1479.3517571658119"/>
    <n v="1168.6878881609914"/>
  </r>
  <r>
    <s v="Название рассылки 154"/>
    <s v="Название кампании 154"/>
    <s v="Email"/>
    <x v="7"/>
    <x v="50"/>
    <x v="0"/>
    <n v="38"/>
    <n v="3"/>
    <s v="03-среда"/>
    <x v="11"/>
    <s v="#ССЫЛКА"/>
    <s v="Тема письма 154"/>
    <s v="Сегмент 2"/>
    <n v="1668552"/>
    <n v="1618495.44"/>
    <n v="148901.58048"/>
    <n v="13401.1422432"/>
    <n v="50056.560000000056"/>
    <n v="9225.4240079999981"/>
    <s v="Метка 154"/>
    <n v="12999.107975904"/>
    <n v="5421.9279367495583"/>
    <n v="4402.6054846406414"/>
    <n v="3301.9541134804813"/>
  </r>
  <r>
    <s v="Название рассылки 155"/>
    <s v="Название кампании 155"/>
    <s v="Email"/>
    <x v="0"/>
    <x v="51"/>
    <x v="0"/>
    <n v="41"/>
    <n v="5"/>
    <s v="05-пятница"/>
    <x v="11"/>
    <s v="#ССЫЛКА"/>
    <s v="Тема письма 155"/>
    <s v="Сегмент 3"/>
    <n v="1596215"/>
    <n v="1548328.55"/>
    <n v="269873.66626500001"/>
    <n v="22669.387966260001"/>
    <n v="47886.449999999953"/>
    <n v="8825.4727349999994"/>
    <s v="Метка 155"/>
    <n v="19268.979771320999"/>
    <n v="11675.074843443392"/>
    <n v="9923.8136169268819"/>
    <n v="7244.3839403566235"/>
  </r>
  <r>
    <s v="Название рассылки 156"/>
    <s v="Название кампании 156"/>
    <s v="Email"/>
    <x v="0"/>
    <x v="52"/>
    <x v="0"/>
    <n v="42"/>
    <n v="5"/>
    <s v="05-пятница"/>
    <x v="11"/>
    <s v="#ССЫЛКА"/>
    <s v="Тема письма 156"/>
    <s v="Сегмент 1"/>
    <n v="1274813"/>
    <n v="1236568.6100000001"/>
    <n v="173119.60540000003"/>
    <n v="6751.6646106000007"/>
    <n v="38244.389999999898"/>
    <n v="6182.8430500000004"/>
    <s v="Метка 156"/>
    <n v="6211.5314417520012"/>
    <n v="2403.2415148138493"/>
    <n v="2009.1099063843781"/>
    <n v="1587.1968260436588"/>
  </r>
  <r>
    <s v="Название рассылки 157"/>
    <s v="Название кампании 157"/>
    <s v="Email"/>
    <x v="0"/>
    <x v="53"/>
    <x v="0"/>
    <n v="40"/>
    <n v="5"/>
    <s v="05-пятница"/>
    <x v="11"/>
    <s v="#ССЫЛКА"/>
    <s v="Тема письма 157"/>
    <s v="Сегмент 2"/>
    <n v="1719390"/>
    <n v="1667808.3"/>
    <n v="184292.81715000002"/>
    <n v="13269.082834800003"/>
    <n v="51581.699999999953"/>
    <n v="9673.2881399999987"/>
    <s v="Метка 157"/>
    <n v="12340.247036364004"/>
    <n v="4264.7893757673992"/>
    <n v="3463.0089731231283"/>
    <n v="2874.2974476921963"/>
  </r>
  <r>
    <s v="Название рассылки 158"/>
    <s v="Название кампании 158"/>
    <s v="Email"/>
    <x v="0"/>
    <x v="54"/>
    <x v="0"/>
    <n v="40"/>
    <n v="3"/>
    <s v="03-среда"/>
    <x v="11"/>
    <s v="#ССЫЛКА"/>
    <s v="Тема письма 158"/>
    <s v="Сегмент 3"/>
    <n v="1710675"/>
    <n v="1659354.75"/>
    <n v="298683.85499999998"/>
    <n v="35842.062599999997"/>
    <n v="51320.25"/>
    <n v="9790.1930250000005"/>
    <s v="Метка 158"/>
    <n v="32616.276965999998"/>
    <n v="7873.5692595923992"/>
    <n v="7716.0978744005515"/>
    <n v="6327.2002570084514"/>
  </r>
  <r>
    <s v="Название рассылки 159"/>
    <s v="Название кампании 159"/>
    <s v="Email"/>
    <x v="0"/>
    <x v="55"/>
    <x v="0"/>
    <n v="41"/>
    <n v="3"/>
    <s v="03-среда"/>
    <x v="11"/>
    <s v="#ССЫЛКА"/>
    <s v="Тема письма 159"/>
    <s v="Сегмент 1"/>
    <n v="1269296"/>
    <n v="1231217.1200000001"/>
    <n v="214601.14401600003"/>
    <n v="19314.102961440003"/>
    <n v="38078.879999999888"/>
    <n v="7017.9375840000002"/>
    <s v="Метка 159"/>
    <n v="16803.269576452803"/>
    <n v="9567.7816968322259"/>
    <n v="8323.970076244037"/>
    <n v="6575.9363602327894"/>
  </r>
  <r>
    <s v="Название рассылки 16"/>
    <s v="Название кампании 16"/>
    <s v="Email"/>
    <x v="1"/>
    <x v="56"/>
    <x v="0"/>
    <n v="46"/>
    <n v="5"/>
    <s v="05-пятница"/>
    <x v="16"/>
    <s v="#ССЫЛКА"/>
    <s v="Тема письма 16"/>
    <s v="Сегмент 2"/>
    <n v="948436"/>
    <n v="919982.92"/>
    <n v="101658.11266"/>
    <n v="8539.2814634400002"/>
    <n v="28453.079999999958"/>
    <n v="5243.9026439999998"/>
    <s v="Метка 16"/>
    <n v="5892.1042097735999"/>
    <n v="1530.1794632782039"/>
    <n v="1300.6525437864732"/>
    <n v="975.48940783985495"/>
  </r>
  <r>
    <s v="Название рассылки 160"/>
    <s v="Название кампании 160"/>
    <s v="Email"/>
    <x v="0"/>
    <x v="57"/>
    <x v="0"/>
    <n v="42"/>
    <n v="6"/>
    <s v="06-суббота"/>
    <x v="11"/>
    <s v="#ССЫЛКА"/>
    <s v="Тема письма 160"/>
    <s v="Сегмент 3"/>
    <n v="566216"/>
    <n v="549229.52"/>
    <n v="50529.115839999999"/>
    <n v="1970.6355177599999"/>
    <n v="16986.479999999981"/>
    <n v="2746.1476000000002"/>
    <s v="Метка 160"/>
    <n v="1911.5164522271998"/>
    <n v="797.29351222396497"/>
    <n v="666.53737621923472"/>
    <n v="486.57228464004135"/>
  </r>
  <r>
    <s v="Название рассылки 161"/>
    <s v="Название кампании 161"/>
    <s v="Email"/>
    <x v="0"/>
    <x v="58"/>
    <x v="0"/>
    <n v="42"/>
    <n v="1"/>
    <s v="01-понедельник"/>
    <x v="11"/>
    <s v="#ССЫЛКА"/>
    <s v="Тема письма 161"/>
    <s v="Сегмент 1"/>
    <n v="1626801"/>
    <n v="1577996.97"/>
    <n v="275044.87187100004"/>
    <n v="19803.230774712007"/>
    <n v="48804.030000000028"/>
    <n v="9152.3824259999983"/>
    <s v="Метка 161"/>
    <n v="16832.746158505204"/>
    <n v="10198.960897438303"/>
    <n v="8281.5562487199022"/>
    <n v="6542.4294364887228"/>
  </r>
  <r>
    <s v="Название рассылки 162"/>
    <s v="Название кампании 162"/>
    <s v="Email"/>
    <x v="0"/>
    <x v="59"/>
    <x v="0"/>
    <n v="43"/>
    <n v="2"/>
    <s v="02-вторник"/>
    <x v="17"/>
    <s v="#ССЫЛКА"/>
    <s v="Тема письма 162"/>
    <s v="Сегмент 2"/>
    <n v="598309"/>
    <n v="580359.73"/>
    <n v="64129.750164999998"/>
    <n v="7695.5700197999995"/>
    <n v="17949.270000000019"/>
    <n v="3424.1224069999998"/>
    <s v="Метка 162"/>
    <n v="7079.924418216"/>
    <n v="2739.2227574077701"/>
    <n v="2684.4383022596148"/>
    <n v="2228.0837908754802"/>
  </r>
  <r>
    <s v="Название рассылки 163"/>
    <s v="Название кампании 163"/>
    <s v="Email"/>
    <x v="0"/>
    <x v="59"/>
    <x v="0"/>
    <n v="43"/>
    <n v="2"/>
    <s v="02-вторник"/>
    <x v="18"/>
    <s v="#ССЫЛКА"/>
    <s v="Тема письма 163"/>
    <s v="Сегмент 3"/>
    <n v="2492076"/>
    <n v="2417313.7200000002"/>
    <n v="222392.86224000002"/>
    <n v="20015.357601600001"/>
    <n v="74762.279999999795"/>
    <n v="13778.688204"/>
    <s v="Метка 163"/>
    <n v="18614.282569488001"/>
    <n v="6433.0960560150525"/>
    <n v="5596.7935687330955"/>
    <n v="4589.3707263611377"/>
  </r>
  <r>
    <s v="Название рассылки 164"/>
    <s v="Название кампании 164"/>
    <s v="Email"/>
    <x v="0"/>
    <x v="60"/>
    <x v="0"/>
    <n v="44"/>
    <n v="6"/>
    <s v="06-суббота"/>
    <x v="19"/>
    <s v="#ССЫЛКА"/>
    <s v="Тема письма 164"/>
    <s v="Сегмент 1"/>
    <n v="2010902"/>
    <n v="1950574.94"/>
    <n v="215538.53086999999"/>
    <n v="18105.236593080001"/>
    <n v="60327.060000000056"/>
    <n v="11118.277157999999"/>
    <s v="Метка 164"/>
    <n v="16475.765299702802"/>
    <n v="3977.2497433482563"/>
    <n v="3380.6622818460178"/>
    <n v="2670.7232026583542"/>
  </r>
  <r>
    <s v="Название рассылки 165"/>
    <s v="Название кампании 165"/>
    <s v="Email"/>
    <x v="0"/>
    <x v="60"/>
    <x v="0"/>
    <n v="44"/>
    <n v="6"/>
    <s v="06-суббота"/>
    <x v="19"/>
    <s v="#ССЫЛКА"/>
    <s v="Тема письма 165"/>
    <s v="Сегмент 2"/>
    <n v="873482"/>
    <n v="847277.54"/>
    <n v="152509.9572"/>
    <n v="5947.8883308000004"/>
    <n v="26204.459999999963"/>
    <n v="4236.3877000000002"/>
    <s v="Метка 165"/>
    <n v="5174.6628477960003"/>
    <n v="2946.4530255350428"/>
    <n v="2504.4850717047862"/>
    <n v="1878.3638037785895"/>
  </r>
  <r>
    <s v="Название рассылки 166"/>
    <s v="Название кампании 166"/>
    <s v="Email"/>
    <x v="1"/>
    <x v="61"/>
    <x v="0"/>
    <n v="44"/>
    <n v="2"/>
    <s v="02-вторник"/>
    <x v="20"/>
    <s v="#ССЫЛКА"/>
    <s v="Тема письма 166"/>
    <s v="Сегмент 3"/>
    <n v="1058150"/>
    <n v="1026405.5"/>
    <n v="178902.47865"/>
    <n v="12880.978462800002"/>
    <n v="31744.5"/>
    <n v="5953.1518999999998"/>
    <s v="Метка 166"/>
    <n v="8887.8751393319999"/>
    <n v="2308.1811736845202"/>
    <n v="1929.6394612002589"/>
    <n v="1408.6368066761891"/>
  </r>
  <r>
    <s v="Название рассылки 167"/>
    <s v="Название кампании 167"/>
    <s v="Email"/>
    <x v="1"/>
    <x v="61"/>
    <x v="0"/>
    <n v="44"/>
    <n v="2"/>
    <s v="02-вторник"/>
    <x v="21"/>
    <s v="#ССЫЛКА"/>
    <s v="Тема письма 167"/>
    <s v="Сегмент 1"/>
    <n v="1607791"/>
    <n v="1559557.27"/>
    <n v="172331.078335"/>
    <n v="20679.729400199998"/>
    <n v="48233.729999999981"/>
    <n v="9201.3878929999992"/>
    <s v="Метка 167"/>
    <n v="20059.337518193999"/>
    <n v="8366.7496788387161"/>
    <n v="6793.8007392170375"/>
    <n v="5367.1025839814602"/>
  </r>
  <r>
    <s v="Название рассылки 168"/>
    <s v="Название кампании 168"/>
    <s v="Email"/>
    <x v="1"/>
    <x v="1"/>
    <x v="0"/>
    <n v="45"/>
    <n v="5"/>
    <s v="05-пятница"/>
    <x v="1"/>
    <s v="#ССЫЛКА"/>
    <s v="Тема письма 168"/>
    <s v="Сегмент 2"/>
    <n v="2339384"/>
    <n v="2269202.48"/>
    <n v="208766.62815999999"/>
    <n v="18788.996534399997"/>
    <n v="70181.520000000019"/>
    <n v="12934.454135999998"/>
    <s v="Метка 168"/>
    <n v="15970.647054239997"/>
    <n v="9676.6150501640132"/>
    <n v="9483.0827491607324"/>
    <n v="7870.9586818034077"/>
  </r>
  <r>
    <s v="Название рассылки 169"/>
    <s v="Название кампании 169"/>
    <s v="Email"/>
    <x v="1"/>
    <x v="1"/>
    <x v="0"/>
    <n v="45"/>
    <n v="5"/>
    <s v="05-пятница"/>
    <x v="1"/>
    <s v="#ССЫЛКА"/>
    <s v="Тема письма 169"/>
    <s v="Сегмент 3"/>
    <n v="847444"/>
    <n v="822020.68"/>
    <n v="143278.20452400003"/>
    <n v="12035.369180016003"/>
    <n v="25423.319999999949"/>
    <n v="4685.5178759999999"/>
    <s v="Метка 169"/>
    <n v="11072.539645614723"/>
    <n v="4283.9655888883362"/>
    <n v="3727.0500623328526"/>
    <n v="3056.1810511129388"/>
  </r>
  <r>
    <s v="Название рассылки 17"/>
    <s v="Название кампании 17"/>
    <s v="Email"/>
    <x v="1"/>
    <x v="56"/>
    <x v="0"/>
    <n v="46"/>
    <n v="5"/>
    <s v="05-пятница"/>
    <x v="16"/>
    <s v="#ССЫЛКА"/>
    <s v="Тема письма 17"/>
    <s v="Сегмент 1"/>
    <n v="1502112"/>
    <n v="1457048.64"/>
    <n v="161003.87471999999"/>
    <n v="6279.1511140799994"/>
    <n v="45063.360000000102"/>
    <n v="7285.2431999999999"/>
    <s v="Метка 17"/>
    <n v="5839.6105360943993"/>
    <n v="2018.1694012742244"/>
    <n v="1715.4439910830906"/>
    <n v="1355.2007529556417"/>
  </r>
  <r>
    <s v="Название рассылки 170"/>
    <s v="Название кампании 170"/>
    <s v="Email"/>
    <x v="1"/>
    <x v="62"/>
    <x v="0"/>
    <n v="45"/>
    <n v="2"/>
    <s v="02-вторник"/>
    <x v="22"/>
    <s v="#ССЫЛКА"/>
    <s v="Тема письма 170"/>
    <s v="Сегмент 2"/>
    <n v="1977100"/>
    <n v="1917787"/>
    <n v="176436.40400000001"/>
    <n v="12703.421088000003"/>
    <n v="59313"/>
    <n v="11123.1646"/>
    <s v="Метка 170"/>
    <n v="11560.113190080003"/>
    <n v="2790.6113240853128"/>
    <n v="2332.9510669353213"/>
    <n v="1749.7133002014909"/>
  </r>
  <r>
    <s v="Название рассылки 171"/>
    <s v="Название кампании 171"/>
    <s v="Email"/>
    <x v="1"/>
    <x v="62"/>
    <x v="0"/>
    <n v="45"/>
    <n v="2"/>
    <s v="02-вторник"/>
    <x v="22"/>
    <s v="#ССЫЛКА"/>
    <s v="Тема письма 171"/>
    <s v="Сегмент 1"/>
    <n v="1983507"/>
    <n v="1924001.79"/>
    <n v="212602.19779500001"/>
    <n v="25512.2637354"/>
    <n v="59505.209999999963"/>
    <n v="11351.610561"/>
    <s v="Метка 171"/>
    <n v="22195.669449797999"/>
    <n v="12638.21418471498"/>
    <n v="10262.229917988565"/>
    <n v="7491.4278401316524"/>
  </r>
  <r>
    <s v="Название рассылки 172"/>
    <s v="Название кампании 172"/>
    <s v="Email"/>
    <x v="1"/>
    <x v="56"/>
    <x v="0"/>
    <n v="46"/>
    <n v="5"/>
    <s v="05-пятница"/>
    <x v="23"/>
    <s v="#ССЫЛКА"/>
    <s v="Тема письма 172"/>
    <s v="Сегмент 2"/>
    <n v="562512"/>
    <n v="545636.64"/>
    <n v="98214.595199999996"/>
    <n v="8839.3135679999996"/>
    <n v="16875.359999999986"/>
    <n v="3110.1288479999998"/>
    <s v="Метка 172"/>
    <n v="6099.126361919999"/>
    <n v="1583.9431161906236"/>
    <n v="1552.264253866811"/>
    <n v="1226.2887605547808"/>
  </r>
  <r>
    <s v="Название рассылки 173"/>
    <s v="Название кампании 173"/>
    <s v="Email"/>
    <x v="1"/>
    <x v="56"/>
    <x v="0"/>
    <n v="46"/>
    <n v="5"/>
    <s v="05-пятница"/>
    <x v="24"/>
    <s v="#ССЫЛКА"/>
    <s v="Тема письма 173"/>
    <s v="Сегмент 3"/>
    <n v="2295981"/>
    <n v="2250061.38"/>
    <n v="248631.78248999998"/>
    <n v="20885.069729160001"/>
    <n v="45919.620000000112"/>
    <n v="12825.349865999999"/>
    <s v="Метка 173"/>
    <n v="20258.5176372852"/>
    <n v="8449.8277065116563"/>
    <n v="7351.3501046651409"/>
    <n v="6101.6205868720663"/>
  </r>
  <r>
    <s v="Название рассылки 174"/>
    <s v="Название кампании 174"/>
    <s v="Email"/>
    <x v="1"/>
    <x v="56"/>
    <x v="0"/>
    <n v="46"/>
    <n v="5"/>
    <s v="05-пятница"/>
    <x v="24"/>
    <s v="#ССЫЛКА"/>
    <s v="Тема письма 174"/>
    <s v="Сегмент 1"/>
    <n v="2225984"/>
    <n v="2181464.3199999998"/>
    <n v="392663.57759999996"/>
    <n v="15313.879526399998"/>
    <n v="44519.680000000168"/>
    <n v="10907.321599999999"/>
    <s v="Метка 174"/>
    <n v="13016.797597439998"/>
    <n v="7886.8776642888943"/>
    <n v="6703.84601464556"/>
    <n v="5497.1537320093585"/>
  </r>
  <r>
    <s v="Название рассылки 175"/>
    <s v="Название кампании 175"/>
    <s v="Email"/>
    <x v="1"/>
    <x v="56"/>
    <x v="0"/>
    <n v="46"/>
    <n v="5"/>
    <s v="05-пятница"/>
    <x v="24"/>
    <s v="#ССЫЛКА"/>
    <s v="Тема письма 175"/>
    <s v="Сегмент 2"/>
    <n v="1597737"/>
    <n v="1573770.9450000001"/>
    <n v="274308.27571350004"/>
    <n v="19750.195851372006"/>
    <n v="23966.054999999935"/>
    <n v="9127.8714810000001"/>
    <s v="Метка 175"/>
    <n v="18170.180183262244"/>
    <n v="7030.0427129041627"/>
    <n v="5975.5363059685378"/>
    <n v="4720.673681715145"/>
  </r>
  <r>
    <s v="Название рассылки 176"/>
    <s v="Название кампании 176"/>
    <s v="Email"/>
    <x v="1"/>
    <x v="56"/>
    <x v="0"/>
    <n v="46"/>
    <n v="5"/>
    <s v="05-пятница"/>
    <x v="24"/>
    <s v="#ССЫЛКА"/>
    <s v="Тема письма 176"/>
    <s v="Сегмент 3"/>
    <n v="1381312"/>
    <n v="1353685.76"/>
    <n v="149582.27648"/>
    <n v="17949.873177599999"/>
    <n v="27626.239999999991"/>
    <n v="7986.7459840000001"/>
    <s v="Метка 176"/>
    <n v="16693.382055168"/>
    <n v="5769.2328382660608"/>
    <n v="4823.0786527904265"/>
    <n v="3617.3089895928197"/>
  </r>
  <r>
    <s v="Название рассылки 177"/>
    <s v="Название кампании 177"/>
    <s v="Email"/>
    <x v="1"/>
    <x v="56"/>
    <x v="0"/>
    <n v="46"/>
    <n v="5"/>
    <s v="05-пятница"/>
    <x v="24"/>
    <s v="#ССЫЛКА"/>
    <s v="Тема письма 177"/>
    <s v="Сегмент 1"/>
    <n v="1906931"/>
    <n v="1868792.38"/>
    <n v="171928.89895999999"/>
    <n v="15473.600906399999"/>
    <n v="38138.620000000112"/>
    <n v="10652.116565999999"/>
    <s v="Метка 177"/>
    <n v="14080.976824824"/>
    <n v="3399.1478055125135"/>
    <n v="2760.108018076161"/>
    <n v="2014.8788531955975"/>
  </r>
  <r>
    <s v="Название рассылки 178"/>
    <s v="Название кампании 178"/>
    <s v="Email"/>
    <x v="1"/>
    <x v="56"/>
    <x v="0"/>
    <n v="46"/>
    <n v="5"/>
    <s v="05-пятница"/>
    <x v="24"/>
    <s v="#ССЫЛКА"/>
    <s v="Тема письма 178"/>
    <s v="Сегмент 2"/>
    <n v="2074099"/>
    <n v="2042987.5149999999"/>
    <n v="356092.7238645"/>
    <n v="29911.788804618001"/>
    <n v="31111.485000000102"/>
    <n v="11645.028835499998"/>
    <s v="Метка 178"/>
    <n v="26023.256260017661"/>
    <n v="14817.642114454056"/>
    <n v="14521.289272164975"/>
    <n v="11471.818525010331"/>
  </r>
  <r>
    <s v="Название рассылки 179"/>
    <s v="Название кампании 179"/>
    <s v="Email"/>
    <x v="1"/>
    <x v="56"/>
    <x v="0"/>
    <n v="46"/>
    <n v="5"/>
    <s v="05-пятница"/>
    <x v="24"/>
    <s v="#ССЫЛКА"/>
    <s v="Тема письма 179"/>
    <s v="Сегмент 3"/>
    <n v="2169298"/>
    <n v="2125912.04"/>
    <n v="234913.28042"/>
    <n v="9161.6179363800002"/>
    <n v="43385.959999999963"/>
    <n v="10629.5602"/>
    <s v="Метка 179"/>
    <n v="6321.5163761021995"/>
    <n v="1641.6978028737412"/>
    <n v="1428.2770885001548"/>
    <n v="1185.4699834551284"/>
  </r>
  <r>
    <s v="Название рассылки 18"/>
    <s v="Название кампании 18"/>
    <s v="Email"/>
    <x v="1"/>
    <x v="56"/>
    <x v="0"/>
    <n v="46"/>
    <n v="5"/>
    <s v="05-пятница"/>
    <x v="16"/>
    <s v="#ССЫЛКА"/>
    <s v="Тема письма 18"/>
    <s v="Сегмент 1"/>
    <n v="1775030"/>
    <n v="1739529.4"/>
    <n v="160036.70479999998"/>
    <n v="11522.6427456"/>
    <n v="35500.600000000093"/>
    <n v="10089.270519999998"/>
    <s v="Метка 18"/>
    <n v="11176.963463231999"/>
    <n v="4661.9114605140667"/>
    <n v="3962.6247414369564"/>
    <n v="3249.352287978304"/>
  </r>
  <r>
    <s v="Название рассылки 180"/>
    <s v="Название кампании 180"/>
    <s v="Email"/>
    <x v="1"/>
    <x v="56"/>
    <x v="0"/>
    <n v="46"/>
    <n v="5"/>
    <s v="05-пятница"/>
    <x v="24"/>
    <s v="#ССЫЛКА"/>
    <s v="Тема письма 180"/>
    <s v="Сегмент 2"/>
    <n v="1937172"/>
    <n v="1908114.42"/>
    <n v="210846.64340999999"/>
    <n v="25301.597209199997"/>
    <n v="29057.580000000075"/>
    <n v="11257.875077999999"/>
    <s v="Метка 180"/>
    <n v="21506.357627819998"/>
    <n v="13030.702086696136"/>
    <n v="10893.666944477969"/>
    <n v="8605.9968861375964"/>
  </r>
  <r>
    <s v="Название рассылки 181"/>
    <s v="Название кампании 181"/>
    <s v="Email"/>
    <x v="1"/>
    <x v="56"/>
    <x v="0"/>
    <n v="46"/>
    <n v="5"/>
    <s v="05-пятница"/>
    <x v="24"/>
    <s v="#ССЫЛКА"/>
    <s v="Тема письма 181"/>
    <s v="Сегмент 3"/>
    <n v="961202"/>
    <n v="941977.96"/>
    <n v="169556.03279999999"/>
    <n v="15260.042951999998"/>
    <n v="19224.040000000037"/>
    <n v="5369.2743719999989"/>
    <s v="Метка 181"/>
    <n v="14039.23951584"/>
    <n v="5431.7817686784965"/>
    <n v="4410.6067961669396"/>
    <n v="3307.9550971252047"/>
  </r>
  <r>
    <s v="Название рассылки 182"/>
    <s v="Название кампании 182"/>
    <s v="Email"/>
    <x v="1"/>
    <x v="56"/>
    <x v="0"/>
    <n v="46"/>
    <n v="5"/>
    <s v="05-пятница"/>
    <x v="24"/>
    <s v="#ССЫЛКА"/>
    <s v="Тема письма 182"/>
    <s v="Сегмент 1"/>
    <n v="553518"/>
    <n v="542447.64"/>
    <n v="94548.623652000009"/>
    <n v="7942.0843867680014"/>
    <n v="11070.359999999986"/>
    <n v="3091.9515479999995"/>
    <s v="Метка 182"/>
    <n v="7386.1384796942421"/>
    <n v="2552.6494585823298"/>
    <n v="2501.5964694106833"/>
    <n v="1826.1654226697988"/>
  </r>
  <r>
    <s v="Название рассылки 183"/>
    <s v="Название кампании 183"/>
    <s v="Email"/>
    <x v="8"/>
    <x v="63"/>
    <x v="0"/>
    <n v="48"/>
    <n v="4"/>
    <s v="04-четверг"/>
    <x v="25"/>
    <s v="#ССЫЛКА"/>
    <s v="Тема письма 183"/>
    <s v="Сегмент 2"/>
    <n v="2423128"/>
    <n v="2386781.08"/>
    <n v="263739.30934000004"/>
    <n v="10285.833064260001"/>
    <n v="36346.919999999925"/>
    <n v="11933.905400000001"/>
    <s v="Метка 183"/>
    <n v="9360.1080884766016"/>
    <n v="2259.5300925582519"/>
    <n v="1965.7911805256792"/>
    <n v="1552.9750326152866"/>
  </r>
  <r>
    <s v="Название рассылки 184"/>
    <s v="Название кампании 184"/>
    <s v="Email"/>
    <x v="8"/>
    <x v="63"/>
    <x v="0"/>
    <n v="48"/>
    <n v="4"/>
    <s v="04-четверг"/>
    <x v="26"/>
    <s v="#ССЫЛКА"/>
    <s v="Тема письма 184"/>
    <s v="Сегмент 3"/>
    <n v="1613899"/>
    <n v="1581621.02"/>
    <n v="145509.13383999999"/>
    <n v="10476.65763648"/>
    <n v="32277.979999999981"/>
    <n v="9173.4019159999989"/>
    <s v="Метка 184"/>
    <n v="9114.6921437376004"/>
    <n v="5189.9057066441901"/>
    <n v="4411.4198506475614"/>
    <n v="3661.478476037476"/>
  </r>
  <r>
    <s v="Название рассылки 185"/>
    <s v="Название кампании 185"/>
    <s v="Email"/>
    <x v="8"/>
    <x v="63"/>
    <x v="0"/>
    <n v="48"/>
    <n v="4"/>
    <s v="04-четверг"/>
    <x v="27"/>
    <s v="#ССЫЛКА"/>
    <s v="Тема письма 185"/>
    <s v="Сегмент 1"/>
    <n v="1168943"/>
    <n v="1145564.1399999999"/>
    <n v="199671.82960199998"/>
    <n v="23960.619552239998"/>
    <n v="23378.860000000102"/>
    <n v="6758.8284259999991"/>
    <s v="Метка 185"/>
    <n v="16532.827491045598"/>
    <n v="4293.5752994245422"/>
    <n v="3649.5390045108607"/>
    <n v="2992.6219836989058"/>
  </r>
  <r>
    <s v="Название рассылки 186"/>
    <s v="Название кампании 186"/>
    <s v="Email"/>
    <x v="8"/>
    <x v="64"/>
    <x v="0"/>
    <n v="49"/>
    <n v="1"/>
    <s v="01-понедельник"/>
    <x v="28"/>
    <s v="#ССЫЛКА"/>
    <s v="Тема письма 186"/>
    <s v="Сегмент 2"/>
    <n v="1227828"/>
    <n v="1209410.58"/>
    <n v="133639.86909000002"/>
    <n v="12027.588218100002"/>
    <n v="18417.419999999925"/>
    <n v="6893.6403059999993"/>
    <s v="Метка 186"/>
    <n v="11666.760571557001"/>
    <n v="4866.2058343964245"/>
    <n v="4068.1480775554105"/>
    <n v="3213.8369812687743"/>
  </r>
  <r>
    <s v="Название рассылки 187"/>
    <s v="Название кампании 187"/>
    <s v="Email"/>
    <x v="8"/>
    <x v="64"/>
    <x v="0"/>
    <n v="49"/>
    <n v="1"/>
    <s v="01-понедельник"/>
    <x v="29"/>
    <s v="#ССЫЛКА"/>
    <s v="Тема письма 187"/>
    <s v="Сегмент 3"/>
    <n v="1137692"/>
    <n v="1114938.1599999999"/>
    <n v="102574.31071999999"/>
    <n v="8616.2421004799999"/>
    <n v="22753.840000000084"/>
    <n v="6355.1475119999986"/>
    <s v="Метка 187"/>
    <n v="7323.8057854079998"/>
    <n v="4437.493925378707"/>
    <n v="3603.2450674075103"/>
    <n v="2702.4338005556328"/>
  </r>
  <r>
    <s v="Название рассылки 188"/>
    <s v="Название кампании 188"/>
    <s v="Email"/>
    <x v="8"/>
    <x v="65"/>
    <x v="0"/>
    <n v="50"/>
    <n v="1"/>
    <s v="01-понедельник"/>
    <x v="30"/>
    <s v="#ССЫЛКА"/>
    <s v="Тема письма 188"/>
    <s v="Сегмент 1"/>
    <n v="1730060"/>
    <n v="1695458.8"/>
    <n v="187348.1974"/>
    <n v="7306.5796986000005"/>
    <n v="34601.199999999953"/>
    <n v="8477.2939999999999"/>
    <s v="Метка 188"/>
    <n v="6722.0533227120004"/>
    <n v="2600.7624305572731"/>
    <n v="2548.7471819461275"/>
    <n v="1860.5854428206731"/>
  </r>
  <r>
    <s v="Название рассылки 189"/>
    <s v="Название кампании 189"/>
    <s v="Email"/>
    <x v="8"/>
    <x v="66"/>
    <x v="0"/>
    <n v="49"/>
    <n v="4"/>
    <s v="04-четверг"/>
    <x v="31"/>
    <s v="#ССЫЛКА"/>
    <s v="Тема письма 189"/>
    <s v="Сегмент 2"/>
    <n v="2131798"/>
    <n v="2099821.0299999998"/>
    <n v="377967.78539999994"/>
    <n v="27213.680548799999"/>
    <n v="31976.970000000205"/>
    <n v="12178.961973999998"/>
    <s v="Метка 189"/>
    <n v="25308.722910384"/>
    <n v="8746.6946378287103"/>
    <n v="7609.6243349109782"/>
    <n v="6011.6032245796732"/>
  </r>
  <r>
    <s v="Название рассылки 19"/>
    <s v="Название кампании 19"/>
    <s v="Email"/>
    <x v="1"/>
    <x v="56"/>
    <x v="0"/>
    <n v="46"/>
    <n v="5"/>
    <s v="05-пятница"/>
    <x v="16"/>
    <s v="#ССЫЛКА"/>
    <s v="Тема письма 19"/>
    <s v="Сегмент 1"/>
    <n v="2164372"/>
    <n v="2121084.56"/>
    <n v="234379.84388"/>
    <n v="28125.581265599998"/>
    <n v="43287.439999999944"/>
    <n v="12514.398904"/>
    <s v="Метка 19"/>
    <n v="25594.278951696"/>
    <n v="6178.458938939415"/>
    <n v="5251.6900980985029"/>
    <n v="4358.902781421757"/>
  </r>
  <r>
    <s v="Название рассылки 190"/>
    <s v="Название кампании 190"/>
    <s v="Email"/>
    <x v="8"/>
    <x v="66"/>
    <x v="0"/>
    <n v="49"/>
    <n v="4"/>
    <s v="04-четверг"/>
    <x v="32"/>
    <s v="#ССЫЛКА"/>
    <s v="Тема письма 190"/>
    <s v="Сегмент 2"/>
    <n v="1478133"/>
    <n v="1448570.34"/>
    <n v="260742.6612"/>
    <n v="23466.839508000001"/>
    <n v="29562.659999999916"/>
    <n v="4925.1391560000002"/>
    <s v="Метка 190"/>
    <n v="20416.15037196"/>
    <n v="11624.956021794025"/>
    <n v="9718.4632342198038"/>
    <n v="7969.1398520602388"/>
  </r>
  <r>
    <s v="Название рассылки 191"/>
    <s v="Название кампании 191"/>
    <s v="Email"/>
    <x v="8"/>
    <x v="67"/>
    <x v="0"/>
    <n v="50"/>
    <n v="3"/>
    <s v="03-среда"/>
    <x v="33"/>
    <s v="#ССЫЛКА"/>
    <s v="Тема письма 191"/>
    <s v="Сегмент 3"/>
    <n v="1729870"/>
    <n v="1703921.95"/>
    <n v="296993.59588500002"/>
    <n v="24947.462054340001"/>
    <n v="25948.050000000047"/>
    <n v="5793.3346300000003"/>
    <s v="Метка 191"/>
    <n v="17213.748817494601"/>
    <n v="4470.4105679033473"/>
    <n v="3629.9733811375181"/>
    <n v="2867.6789710986395"/>
  </r>
  <r>
    <s v="Название рассылки 192"/>
    <s v="Название кампании 192"/>
    <s v="Email"/>
    <x v="8"/>
    <x v="67"/>
    <x v="0"/>
    <n v="50"/>
    <n v="3"/>
    <s v="03-среда"/>
    <x v="34"/>
    <s v="#ССЫЛКА"/>
    <s v="Тема письма 192"/>
    <s v="Сегмент 1"/>
    <n v="649502"/>
    <n v="636511.96"/>
    <n v="70334.571580000003"/>
    <n v="2743.0482916200003"/>
    <n v="12990.040000000037"/>
    <n v="1845.8846839999997"/>
    <s v="Метка 192"/>
    <n v="2660.7568428714003"/>
    <n v="1109.801679161661"/>
    <n v="1087.6056455784278"/>
    <n v="815.70423418382086"/>
  </r>
  <r>
    <s v="Название рассылки 193"/>
    <s v="Название кампании 193"/>
    <s v="Email"/>
    <x v="8"/>
    <x v="68"/>
    <x v="0"/>
    <n v="50"/>
    <n v="4"/>
    <s v="04-четверг"/>
    <x v="35"/>
    <s v="#ССЫЛКА"/>
    <s v="Тема письма 193"/>
    <s v="Сегмент 2"/>
    <n v="2266270"/>
    <n v="2220944.6"/>
    <n v="204326.9032"/>
    <n v="14711.537030400003"/>
    <n v="45325.399999999907"/>
    <n v="6218.6448800000007"/>
    <s v="Метка 193"/>
    <n v="12504.806475840001"/>
    <n v="7576.6622437114565"/>
    <n v="6591.6961520289669"/>
    <n v="4811.9381909811455"/>
  </r>
  <r>
    <s v="Название рассылки 194"/>
    <s v="Название кампании 194"/>
    <s v="Email"/>
    <x v="8"/>
    <x v="68"/>
    <x v="0"/>
    <n v="50"/>
    <n v="4"/>
    <s v="04-четверг"/>
    <x v="36"/>
    <s v="#ССЫЛКА"/>
    <s v="Тема письма 194"/>
    <s v="Сегмент 3"/>
    <n v="1639899"/>
    <n v="1615300.5149999999"/>
    <n v="281546.87976450002"/>
    <n v="33785.625571739998"/>
    <n v="24598.485000000102"/>
    <n v="5492.0217510000002"/>
    <s v="Метка 194"/>
    <n v="31082.775526000798"/>
    <n v="12025.92585100971"/>
    <n v="10222.036973358254"/>
    <n v="8075.4092089530204"/>
  </r>
  <r>
    <s v="Название рассылки 195"/>
    <s v="Название кампании 195"/>
    <s v="Email"/>
    <x v="8"/>
    <x v="69"/>
    <x v="0"/>
    <n v="51"/>
    <n v="1"/>
    <s v="01-понедельник"/>
    <x v="37"/>
    <s v="#ССЫЛКА"/>
    <s v="Тема письма 195"/>
    <s v="Сегмент 1"/>
    <n v="1307090"/>
    <n v="1280948.2"/>
    <n v="141544.77609999999"/>
    <n v="12739.029848999999"/>
    <n v="26141.800000000047"/>
    <n v="4355.2238800000005"/>
    <s v="Метка 195"/>
    <n v="11847.297759569999"/>
    <n v="4094.4261057073913"/>
    <n v="3480.2621898512825"/>
    <n v="2888.6176175765645"/>
  </r>
  <r>
    <s v="Название рассылки 196"/>
    <s v="Название кампании 196"/>
    <s v="Email"/>
    <x v="8"/>
    <x v="69"/>
    <x v="0"/>
    <n v="51"/>
    <n v="1"/>
    <s v="01-понедельник"/>
    <x v="9"/>
    <s v="#ССЫЛКА"/>
    <s v="Тема письма 196"/>
    <s v="Сегмент 2"/>
    <n v="2089912"/>
    <n v="2048113.76"/>
    <n v="188426.46591999999"/>
    <n v="15827.82313728"/>
    <n v="41798.239999999991"/>
    <n v="5939.529904"/>
    <s v="Метка 196"/>
    <n v="14403.319054924801"/>
    <n v="3476.961219858847"/>
    <n v="2906.7395798019961"/>
    <n v="2383.5264554376367"/>
  </r>
  <r>
    <s v="Название рассылки 197"/>
    <s v="Название кампании 197"/>
    <s v="Email"/>
    <x v="8"/>
    <x v="70"/>
    <x v="0"/>
    <n v="52"/>
    <n v="1"/>
    <s v="01-понедельник"/>
    <x v="38"/>
    <s v="#ССЫЛКА"/>
    <s v="Тема письма 197"/>
    <s v="Сегмент 3"/>
    <n v="2478293"/>
    <n v="2441118.605"/>
    <n v="269743.60585250001"/>
    <n v="10520.000628247501"/>
    <n v="37174.395000000019"/>
    <n v="6835.1320940000005"/>
    <s v="Метка 197"/>
    <n v="9152.4005465753253"/>
    <n v="5211.3768712199899"/>
    <n v="4231.6380194306321"/>
    <n v="3342.9940353501993"/>
  </r>
  <r>
    <s v="Название рассылки 198"/>
    <s v="Название кампании 198"/>
    <s v="Email"/>
    <x v="8"/>
    <x v="70"/>
    <x v="0"/>
    <n v="52"/>
    <n v="1"/>
    <s v="01-понедельник"/>
    <x v="39"/>
    <s v="#ССЫЛКА"/>
    <s v="Тема письма 198"/>
    <s v="Сегмент 1"/>
    <n v="2107380"/>
    <n v="2065232.4"/>
    <n v="371741.83199999999"/>
    <n v="26765.411904000004"/>
    <n v="42147.600000000093"/>
    <n v="7021.7901600000005"/>
    <s v="Метка 198"/>
    <n v="18468.13421376"/>
    <n v="4796.1744553134722"/>
    <n v="4700.2509662072025"/>
    <n v="3525.1882246554019"/>
  </r>
  <r>
    <s v="Название рассылки 199"/>
    <s v="Название кампании 199"/>
    <s v="Email"/>
    <x v="8"/>
    <x v="70"/>
    <x v="0"/>
    <n v="52"/>
    <n v="1"/>
    <s v="01-понедельник"/>
    <x v="40"/>
    <s v="#ССЫЛКА"/>
    <s v="Тема письма 199"/>
    <s v="Сегмент 2"/>
    <n v="1352779"/>
    <n v="1325723.42"/>
    <n v="231073.592106"/>
    <n v="27728.831052719997"/>
    <n v="27055.580000000075"/>
    <n v="4507.4596280000005"/>
    <s v="Метка 199"/>
    <n v="26896.966121138397"/>
    <n v="11218.724569126825"/>
    <n v="9760.2903751403373"/>
    <n v="7125.0119738524463"/>
  </r>
  <r>
    <s v="Название рассылки 2"/>
    <s v="Название кампании 2"/>
    <s v="Email"/>
    <x v="0"/>
    <x v="71"/>
    <x v="0"/>
    <n v="44"/>
    <n v="5"/>
    <s v="05-пятница"/>
    <x v="41"/>
    <s v="#ССЫЛКА"/>
    <s v="Тема письма 2"/>
    <s v="Сегмент 3"/>
    <n v="2470588"/>
    <n v="2433529.1800000002"/>
    <n v="268904.97439000005"/>
    <n v="24201.447695100003"/>
    <n v="37058.819999999832"/>
    <n v="7057.2346219999999"/>
    <s v="Метка 2"/>
    <n v="20571.230540835004"/>
    <n v="12464.108584691929"/>
    <n v="10594.492296988139"/>
    <n v="8369.6489146206295"/>
  </r>
  <r>
    <s v="Название рассылки 20"/>
    <s v="Название кампании 20"/>
    <s v="Email"/>
    <x v="1"/>
    <x v="56"/>
    <x v="0"/>
    <n v="46"/>
    <n v="5"/>
    <s v="05-пятница"/>
    <x v="16"/>
    <s v="#ССЫЛКА"/>
    <s v="Тема письма 20"/>
    <s v="Сегмент 1"/>
    <n v="1813178"/>
    <n v="1776914.44"/>
    <n v="163476.12847999998"/>
    <n v="13731.99479232"/>
    <n v="36263.560000000056"/>
    <n v="4975.3604320000004"/>
    <s v="Метка 20"/>
    <n v="12633.435208934401"/>
    <n v="4887.8760823367202"/>
    <n v="4086.2644048334978"/>
    <n v="3391.5994560118029"/>
  </r>
  <r>
    <s v="Название рассылки 200"/>
    <s v="Название кампании 200"/>
    <s v="Email"/>
    <x v="8"/>
    <x v="72"/>
    <x v="0"/>
    <n v="51"/>
    <n v="4"/>
    <s v="04-четверг"/>
    <x v="42"/>
    <s v="#ССЫЛКА"/>
    <s v="Тема письма 200"/>
    <s v="Сегмент 2"/>
    <n v="2223699"/>
    <n v="2179225.02"/>
    <n v="379838.92098600004"/>
    <n v="14813.717918454002"/>
    <n v="44473.979999999981"/>
    <n v="5448.0625500000006"/>
    <s v="Метка 200"/>
    <n v="13776.757664162222"/>
    <n v="4761.2474487344634"/>
    <n v="3866.1329283723844"/>
    <n v="3170.2290012653552"/>
  </r>
  <r>
    <s v="Название рассылки 201"/>
    <s v="Название кампании 201"/>
    <s v="Email"/>
    <x v="8"/>
    <x v="72"/>
    <x v="0"/>
    <n v="51"/>
    <n v="4"/>
    <s v="04-четверг"/>
    <x v="43"/>
    <s v="#ССЫЛКА"/>
    <s v="Тема письма 201"/>
    <s v="Сегмент 3"/>
    <n v="1396682"/>
    <n v="1375731.77"/>
    <n v="152018.36058500002"/>
    <n v="10945.321962120002"/>
    <n v="20950.229999999981"/>
    <n v="3301.7562479999997"/>
    <s v="Метка 201"/>
    <n v="9960.242985529203"/>
    <n v="2404.4026567067499"/>
    <n v="2356.3146035726149"/>
    <n v="1861.4885368223659"/>
  </r>
  <r>
    <s v="Название рассылки 202"/>
    <s v="Название кампании 202"/>
    <s v="Email"/>
    <x v="8"/>
    <x v="70"/>
    <x v="0"/>
    <n v="52"/>
    <n v="1"/>
    <s v="01-понедельник"/>
    <x v="44"/>
    <s v="#ССЫЛКА"/>
    <s v="Тема письма 202"/>
    <s v="Сегмент 1"/>
    <n v="868107"/>
    <n v="850744.86"/>
    <n v="78268.527119999999"/>
    <n v="9392.2232543999999"/>
    <n v="17362.140000000014"/>
    <n v="2467.1600939999998"/>
    <s v="Метка 202"/>
    <n v="8171.2342313279996"/>
    <n v="4652.7007713181629"/>
    <n v="4047.8496710468016"/>
    <n v="3035.887253285101"/>
  </r>
  <r>
    <s v="Название рассылки 203"/>
    <s v="Название кампании 203"/>
    <s v="Email"/>
    <x v="9"/>
    <x v="73"/>
    <x v="1"/>
    <n v="1"/>
    <n v="3"/>
    <s v="03-среда"/>
    <x v="45"/>
    <s v="#ССЫЛКА"/>
    <s v="Тема письма 203"/>
    <s v="Сегмент 2"/>
    <n v="510034"/>
    <n v="499833.32"/>
    <n v="55231.581859999998"/>
    <n v="4970.8423673999996"/>
    <n v="10200.679999999993"/>
    <n v="1399.5332960000003"/>
    <s v="Метка 203"/>
    <n v="3429.8812335059993"/>
    <n v="890.74015634150794"/>
    <n v="757.12913289028177"/>
    <n v="552.70426700990572"/>
  </r>
  <r>
    <s v="Название рассылки 204"/>
    <s v="Название кампании 204"/>
    <s v="Email"/>
    <x v="9"/>
    <x v="74"/>
    <x v="1"/>
    <n v="2"/>
    <n v="1"/>
    <s v="01-понедельник"/>
    <x v="46"/>
    <s v="#ССЫЛКА"/>
    <s v="Тема письма 204"/>
    <s v="Сегмент 3"/>
    <n v="542459"/>
    <n v="534322.11499999999"/>
    <n v="96177.9807"/>
    <n v="8078.9503788000002"/>
    <n v="8136.8850000000093"/>
    <n v="1335.8052875000001"/>
    <s v="Метка 204"/>
    <n v="7836.5818674359998"/>
    <n v="3268.6382969075553"/>
    <n v="2778.3425523714218"/>
    <n v="2194.8906163734232"/>
  </r>
  <r>
    <s v="Название рассылки 205"/>
    <s v="Название кампании 205"/>
    <s v="Email"/>
    <x v="9"/>
    <x v="74"/>
    <x v="1"/>
    <n v="2"/>
    <n v="1"/>
    <s v="01-понедельник"/>
    <x v="47"/>
    <s v="#ССЫЛКА"/>
    <s v="Тема письма 205"/>
    <s v="Сегмент 1"/>
    <n v="553237"/>
    <n v="542172.26"/>
    <n v="59910.034729999999"/>
    <n v="2336.4913544699998"/>
    <n v="11064.739999999991"/>
    <n v="1301.2134239999998"/>
    <s v="Метка 205"/>
    <n v="1986.0176512994997"/>
    <n v="1203.3280949223667"/>
    <n v="1005.9822873550986"/>
    <n v="834.96529850473178"/>
  </r>
  <r>
    <s v="Название рассылки 206"/>
    <s v="Название кампании 206"/>
    <s v="Email"/>
    <x v="9"/>
    <x v="74"/>
    <x v="1"/>
    <n v="2"/>
    <n v="1"/>
    <s v="01-понедельник"/>
    <x v="31"/>
    <s v="#ССЫЛКА"/>
    <s v="Тема письма 206"/>
    <s v="Сегмент 2"/>
    <n v="838103"/>
    <n v="821340.94"/>
    <n v="147841.36919999999"/>
    <n v="10644.5785824"/>
    <n v="16762.060000000056"/>
    <n v="2381.8887259999997"/>
    <s v="Метка 206"/>
    <n v="9793.0122958079992"/>
    <n v="3788.916457248115"/>
    <n v="3076.6001632854695"/>
    <n v="2522.812133894085"/>
  </r>
  <r>
    <s v="Название рассылки 207"/>
    <s v="Название кампании 207"/>
    <s v="Email"/>
    <x v="9"/>
    <x v="74"/>
    <x v="1"/>
    <n v="2"/>
    <n v="1"/>
    <s v="01-понедельник"/>
    <x v="48"/>
    <s v="#ССЫЛКА"/>
    <s v="Тема письма 207"/>
    <s v="Сегмент 1"/>
    <n v="2289758"/>
    <n v="2255411.63"/>
    <n v="393118.24710899999"/>
    <n v="47174.18965308"/>
    <n v="34346.370000000112"/>
    <n v="6315.1525640000009"/>
    <s v="Метка 207"/>
    <n v="43871.996377364405"/>
    <n v="15162.161948017138"/>
    <n v="14858.918709056794"/>
    <n v="11738.545780154867"/>
  </r>
  <r>
    <s v="Название рассылки 208"/>
    <s v="Название кампании 208"/>
    <s v="Email"/>
    <x v="9"/>
    <x v="75"/>
    <x v="1"/>
    <n v="2"/>
    <n v="4"/>
    <s v="04-четверг"/>
    <x v="49"/>
    <s v="#ССЫЛКА"/>
    <s v="Тема письма 208"/>
    <s v="Сегмент 2"/>
    <n v="2395740"/>
    <n v="2347825.2000000002"/>
    <n v="259434.68460000004"/>
    <n v="23349.121614000003"/>
    <n v="47914.799999999814"/>
    <n v="5869.563000000001"/>
    <s v="Метка 208"/>
    <n v="21247.700668740003"/>
    <n v="5129.1949414338369"/>
    <n v="4462.3995990474377"/>
    <n v="3346.7996992855783"/>
  </r>
  <r>
    <s v="Название рассылки 209"/>
    <s v="Название кампании 209"/>
    <s v="Email"/>
    <x v="9"/>
    <x v="75"/>
    <x v="1"/>
    <n v="2"/>
    <n v="4"/>
    <s v="04-четверг"/>
    <x v="49"/>
    <s v="#ССЫЛКА"/>
    <s v="Тема письма 209"/>
    <s v="Сегмент 3"/>
    <n v="1539816"/>
    <n v="1509019.68"/>
    <n v="138829.81055999998"/>
    <n v="11661.70408704"/>
    <n v="30796.320000000065"/>
    <n v="3621.6472319999993"/>
    <s v="Метка 209"/>
    <n v="10145.682555724799"/>
    <n v="5776.9516472297009"/>
    <n v="4910.4089001452458"/>
    <n v="3584.5984971060293"/>
  </r>
  <r>
    <s v="Название рассылки 21"/>
    <s v="Название кампании 21"/>
    <s v="Email"/>
    <x v="1"/>
    <x v="56"/>
    <x v="0"/>
    <n v="46"/>
    <n v="5"/>
    <s v="05-пятница"/>
    <x v="16"/>
    <s v="#ССЫЛКА"/>
    <s v="Тема письма 21"/>
    <s v="Сегмент 1"/>
    <n v="1321760"/>
    <n v="1301933.6000000001"/>
    <n v="226927.02648000003"/>
    <n v="8850.1540327200019"/>
    <n v="19826.399999999907"/>
    <n v="3775.6074400000002"/>
    <s v="Метка 21"/>
    <n v="6106.6062825768004"/>
    <n v="1585.8856515851953"/>
    <n v="1325.8004047252232"/>
    <n v="1047.3823197329264"/>
  </r>
  <r>
    <s v="Название рассылки 210"/>
    <s v="Название кампании 210"/>
    <s v="Email"/>
    <x v="9"/>
    <x v="75"/>
    <x v="1"/>
    <n v="2"/>
    <n v="4"/>
    <s v="04-четверг"/>
    <x v="49"/>
    <s v="#ССЫЛКА"/>
    <s v="Тема письма 210"/>
    <s v="Сегмент 2"/>
    <n v="1839175"/>
    <n v="1802391.5"/>
    <n v="199164.26075000002"/>
    <n v="14339.826774000003"/>
    <n v="36783.5"/>
    <n v="2703.58725"/>
    <s v="Метка 210"/>
    <n v="13909.631970780003"/>
    <n v="5801.7074950123388"/>
    <n v="4710.9864859500194"/>
    <n v="3910.1187833385161"/>
  </r>
  <r>
    <s v="Название рассылки 211"/>
    <s v="Название кампании 211"/>
    <s v="Email"/>
    <x v="9"/>
    <x v="75"/>
    <x v="1"/>
    <n v="2"/>
    <n v="4"/>
    <s v="04-четверг"/>
    <x v="49"/>
    <s v="#ССЫЛКА"/>
    <s v="Тема письма 211"/>
    <s v="Сегмент 3"/>
    <n v="1953295"/>
    <n v="1914229.1"/>
    <n v="176109.0772"/>
    <n v="21133.089263999998"/>
    <n v="39065.899999999907"/>
    <n v="2871.3436500000003"/>
    <s v="Метка 211"/>
    <n v="17963.125874399997"/>
    <n v="10883.857967298958"/>
    <n v="10666.180807952978"/>
    <n v="8746.268262521442"/>
  </r>
  <r>
    <s v="Название рассылки 212"/>
    <s v="Название кампании 212"/>
    <s v="Email"/>
    <x v="9"/>
    <x v="76"/>
    <x v="1"/>
    <n v="3"/>
    <n v="1"/>
    <s v="01-понедельник"/>
    <x v="50"/>
    <s v="#ССЫЛКА"/>
    <s v="Тема письма 212"/>
    <s v="Сегмент 1"/>
    <n v="1616729"/>
    <n v="1592478.0649999999"/>
    <n v="175968.82618249999"/>
    <n v="15837.194356425"/>
    <n v="24250.935000000056"/>
    <n v="2388.7170974999999"/>
    <s v="Метка 212"/>
    <n v="14570.218807911"/>
    <n v="5637.2176567807655"/>
    <n v="4904.3793613992657"/>
    <n v="3874.4596955054199"/>
  </r>
  <r>
    <s v="Название рассылки 213"/>
    <s v="Название кампании 213"/>
    <s v="Email"/>
    <x v="9"/>
    <x v="77"/>
    <x v="1"/>
    <n v="3"/>
    <n v="3"/>
    <s v="03-среда"/>
    <x v="51"/>
    <s v="#ССЫЛКА"/>
    <s v="Тема письма 213"/>
    <s v="Сегмент 2"/>
    <n v="877792"/>
    <n v="860236.16"/>
    <n v="154842.50880000001"/>
    <n v="13006.770739200001"/>
    <n v="17555.839999999967"/>
    <n v="1290.3542400000001"/>
    <s v="Метка 213"/>
    <n v="12096.296787456002"/>
    <n v="4180.4801697447938"/>
    <n v="3553.4081442830748"/>
    <n v="2665.0561082123058"/>
  </r>
  <r>
    <s v="Название рассылки 214"/>
    <s v="Название кампании 214"/>
    <s v="Email"/>
    <x v="9"/>
    <x v="77"/>
    <x v="1"/>
    <n v="3"/>
    <n v="3"/>
    <s v="03-среда"/>
    <x v="52"/>
    <s v="#ССЫЛКА"/>
    <s v="Тема письма 214"/>
    <s v="Сегмент 3"/>
    <n v="2092885"/>
    <n v="2051027.3"/>
    <n v="357494.05839000002"/>
    <n v="13942.268277210002"/>
    <n v="41857.699999999953"/>
    <n v="3076.5409500000001"/>
    <s v="Метка 214"/>
    <n v="12687.464132261102"/>
    <n v="3062.75384152783"/>
    <n v="2603.3407652986552"/>
    <n v="1900.4387586680182"/>
  </r>
  <r>
    <s v="Название рассылки 215"/>
    <s v="Название кампании 215"/>
    <s v="Email"/>
    <x v="9"/>
    <x v="77"/>
    <x v="1"/>
    <n v="3"/>
    <n v="3"/>
    <s v="03-среда"/>
    <x v="53"/>
    <s v="#ССЫЛКА"/>
    <s v="Тема письма 215"/>
    <s v="Сегмент 1"/>
    <n v="1305992"/>
    <n v="1286402.1200000001"/>
    <n v="142147.43426000001"/>
    <n v="10234.615266720002"/>
    <n v="19589.879999999888"/>
    <n v="1929.6031800000003"/>
    <s v="Метка 215"/>
    <n v="8904.1152820464013"/>
    <n v="5070.0032415972209"/>
    <n v="4238.5227099752765"/>
    <n v="3348.4329408804688"/>
  </r>
  <r>
    <s v="Название рассылки 216"/>
    <s v="Название кампании 216"/>
    <s v="Email"/>
    <x v="9"/>
    <x v="77"/>
    <x v="1"/>
    <n v="3"/>
    <n v="3"/>
    <s v="03-среда"/>
    <x v="53"/>
    <s v="#ССЫЛКА"/>
    <s v="Тема письма 216"/>
    <s v="Сегмент 2"/>
    <n v="1712023"/>
    <n v="1677782.54"/>
    <n v="154355.99368000001"/>
    <n v="18522.7192416"/>
    <n v="34240.459999999963"/>
    <n v="2516.6738100000002"/>
    <s v="Метка 216"/>
    <n v="12780.676276703998"/>
    <n v="3319.1416290600287"/>
    <n v="2695.1430027967435"/>
    <n v="2236.9686923212971"/>
  </r>
  <r>
    <s v="Название рассылки 217"/>
    <s v="Название кампании 217"/>
    <s v="Email"/>
    <x v="9"/>
    <x v="78"/>
    <x v="1"/>
    <n v="3"/>
    <n v="4"/>
    <s v="04-четверг"/>
    <x v="54"/>
    <s v="#ССЫЛКА"/>
    <s v="Тема письма 217"/>
    <s v="Сегмент 3"/>
    <n v="2102905"/>
    <n v="2060846.9"/>
    <n v="359205.61466999998"/>
    <n v="32328.505320299999"/>
    <n v="42058.100000000093"/>
    <n v="3091.2703499999998"/>
    <s v="Метка 217"/>
    <n v="31358.650160690999"/>
    <n v="13079.692982024215"/>
    <n v="12818.09912238373"/>
    <n v="10510.841280354658"/>
  </r>
  <r>
    <s v="Название рассылки 218"/>
    <s v="Название кампании 218"/>
    <s v="Email"/>
    <x v="9"/>
    <x v="78"/>
    <x v="1"/>
    <n v="3"/>
    <n v="4"/>
    <s v="04-четверг"/>
    <x v="54"/>
    <s v="#ССЫЛКА"/>
    <s v="Тема письма 218"/>
    <s v="Сегмент 1"/>
    <n v="701456"/>
    <n v="690934.16"/>
    <n v="76348.224679999999"/>
    <n v="6413.2508731200005"/>
    <n v="10521.839999999967"/>
    <n v="1036.4012400000001"/>
    <s v="Метка 218"/>
    <n v="5451.2632421520002"/>
    <n v="3302.9203984198966"/>
    <n v="2873.54074662531"/>
    <n v="2270.0971898339949"/>
  </r>
  <r>
    <s v="Название рассылки 22"/>
    <s v="Название кампании 22"/>
    <s v="Email"/>
    <x v="1"/>
    <x v="56"/>
    <x v="0"/>
    <n v="46"/>
    <n v="5"/>
    <s v="05-пятница"/>
    <x v="16"/>
    <s v="#ССЫЛКА"/>
    <s v="Тема письма 22"/>
    <s v="Сегмент 2"/>
    <n v="709715"/>
    <n v="695520.7"/>
    <n v="63987.904399999992"/>
    <n v="2495.5282715999997"/>
    <n v="14194.300000000047"/>
    <n v="1043.2810500000001"/>
    <s v="Метка 22"/>
    <n v="2295.8860098719997"/>
    <n v="888.27829721947671"/>
    <n v="755.03655263655514"/>
    <n v="566.27741447741641"/>
  </r>
  <r>
    <s v="Название рассылки 23"/>
    <s v="Название кампании 23"/>
    <s v="Email"/>
    <x v="1"/>
    <x v="56"/>
    <x v="0"/>
    <n v="46"/>
    <n v="5"/>
    <s v="05-пятница"/>
    <x v="16"/>
    <s v="#ССЫЛКА"/>
    <s v="Тема письма 23"/>
    <s v="Сегмент 3"/>
    <n v="1423230"/>
    <n v="1394765.4"/>
    <n v="154121.57670000001"/>
    <n v="11096.753522400002"/>
    <n v="28464.600000000093"/>
    <n v="2092.1480999999999"/>
    <s v="Метка 23"/>
    <n v="10319.980775832002"/>
    <n v="3566.5853561275399"/>
    <n v="2981.6653577226234"/>
    <n v="2176.6157111375151"/>
  </r>
  <r>
    <s v="Название рассылки 24"/>
    <s v="Название кампании 24"/>
    <s v="Email"/>
    <x v="1"/>
    <x v="56"/>
    <x v="0"/>
    <n v="46"/>
    <n v="5"/>
    <s v="05-пятница"/>
    <x v="16"/>
    <s v="#ССЫЛКА"/>
    <s v="Тема письма 24"/>
    <s v="Сегмент 1"/>
    <n v="1042456"/>
    <n v="1026819.16"/>
    <n v="184827.44880000001"/>
    <n v="22179.293856"/>
    <n v="15636.839999999967"/>
    <n v="133486.4908"/>
    <s v="Метка 24"/>
    <n v="20183.15740896"/>
    <n v="4872.2141985229446"/>
    <n v="3956.2379292006312"/>
    <n v="3125.427964068499"/>
  </r>
  <r>
    <s v="Название рассылки 25"/>
    <s v="Название кампании 25"/>
    <s v="Email"/>
    <x v="1"/>
    <x v="56"/>
    <x v="0"/>
    <n v="46"/>
    <n v="5"/>
    <s v="05-пятница"/>
    <x v="16"/>
    <s v="#ССЫЛКА"/>
    <s v="Тема письма 25"/>
    <s v="Сегмент 2"/>
    <n v="804062"/>
    <n v="787980.76"/>
    <n v="87071.873980000004"/>
    <n v="7836.4686582000004"/>
    <n v="16081.239999999991"/>
    <n v="102437.4988"/>
    <s v="Метка 25"/>
    <n v="6817.7277326339999"/>
    <n v="3882.0141709617992"/>
    <n v="3804.3738875425634"/>
    <n v="3157.6303266603272"/>
  </r>
  <r>
    <s v="Название рассылки 26"/>
    <s v="Название кампании 26"/>
    <s v="Email"/>
    <x v="1"/>
    <x v="56"/>
    <x v="0"/>
    <n v="46"/>
    <n v="5"/>
    <s v="05-пятница"/>
    <x v="16"/>
    <s v="#ССЫЛКА"/>
    <s v="Тема письма 26"/>
    <s v="Сегмент 3"/>
    <n v="1364133"/>
    <n v="1336850.3400000001"/>
    <n v="240633.0612"/>
    <n v="20213.177140800002"/>
    <n v="27282.659999999916"/>
    <n v="173790.5442"/>
    <s v="Метка 26"/>
    <n v="13947.092227152001"/>
    <n v="3622.0598513913747"/>
    <n v="3151.192070710496"/>
    <n v="2583.9774979826066"/>
  </r>
  <r>
    <s v="Название рассылки 27"/>
    <s v="Название кампании 27"/>
    <s v="Email"/>
    <x v="1"/>
    <x v="56"/>
    <x v="0"/>
    <n v="46"/>
    <n v="5"/>
    <s v="05-пятница"/>
    <x v="16"/>
    <s v="#ССЫЛКА"/>
    <s v="Тема письма 27"/>
    <s v="Сегмент 1"/>
    <n v="869029"/>
    <n v="855993.56499999994"/>
    <n v="149199.67837949999"/>
    <n v="5818.7874568005"/>
    <n v="13035.435000000056"/>
    <n v="111279.16344999999"/>
    <s v="Метка 27"/>
    <n v="5644.2238330964847"/>
    <n v="2354.2057607845441"/>
    <n v="2001.0748966668623"/>
    <n v="1580.8491683668212"/>
  </r>
  <r>
    <s v="Название рассылки 28"/>
    <s v="Название кампании 28"/>
    <s v="Email"/>
    <x v="1"/>
    <x v="56"/>
    <x v="0"/>
    <n v="46"/>
    <n v="5"/>
    <s v="05-пятница"/>
    <x v="16"/>
    <s v="#ССЫЛКА"/>
    <s v="Тема письма 28"/>
    <s v="Сегмент 2"/>
    <n v="2117234"/>
    <n v="2074889.32"/>
    <n v="229275.26986"/>
    <n v="16507.81942992"/>
    <n v="42344.679999999935"/>
    <n v="269735.6116"/>
    <s v="Метка 28"/>
    <n v="14031.646515431999"/>
    <n v="8501.7746237002484"/>
    <n v="7226.5084301452107"/>
    <n v="5419.8813226089078"/>
  </r>
  <r>
    <s v="Название рассылки 29"/>
    <s v="Название кампании 29"/>
    <s v="Email"/>
    <x v="1"/>
    <x v="79"/>
    <x v="0"/>
    <n v="48"/>
    <n v="2"/>
    <s v="02-вторник"/>
    <x v="55"/>
    <s v="#ССЫЛКА"/>
    <s v="Тема письма 29"/>
    <s v="Сегмент 1"/>
    <n v="2373922"/>
    <n v="2326443.56"/>
    <n v="214032.80752"/>
    <n v="25683.936902400001"/>
    <n v="47478.439999999944"/>
    <n v="302437.66279999999"/>
    <s v="Метка 29"/>
    <n v="23629.221950208001"/>
    <n v="9142.1459725354762"/>
    <n v="7642.8340330396577"/>
    <n v="5579.2688441189503"/>
  </r>
  <r>
    <s v="Название рассылки 3"/>
    <s v="Название кампании 3"/>
    <s v="Email"/>
    <x v="0"/>
    <x v="71"/>
    <x v="0"/>
    <n v="44"/>
    <n v="5"/>
    <s v="05-пятница"/>
    <x v="56"/>
    <s v="#ССЫЛКА"/>
    <s v="Тема письма 3"/>
    <s v="Сегмент 2"/>
    <n v="867969"/>
    <n v="854949.46499999997"/>
    <n v="149017.69174949999"/>
    <n v="13411.592257454999"/>
    <n v="13019.535000000033"/>
    <n v="111143.43045"/>
    <s v="Метка 3"/>
    <n v="12472.780799433149"/>
    <n v="4310.5930442840963"/>
    <n v="3500.2015519586867"/>
    <n v="2765.1592260473626"/>
  </r>
  <r>
    <s v="Название рассылки 30"/>
    <s v="Название кампании 30"/>
    <s v="Email"/>
    <x v="8"/>
    <x v="64"/>
    <x v="0"/>
    <n v="49"/>
    <n v="1"/>
    <s v="01-понедельник"/>
    <x v="57"/>
    <s v="#ССЫЛКА"/>
    <s v="Тема письма 30"/>
    <s v="Сегмент 3"/>
    <n v="2384393"/>
    <n v="2336705.14"/>
    <n v="258205.91797000001"/>
    <n v="21689.297109480001"/>
    <n v="47687.85999999987"/>
    <n v="303771.66820000001"/>
    <s v="Метка 30"/>
    <n v="19737.260369626802"/>
    <n v="4764.5746532279099"/>
    <n v="4669.2831601633516"/>
    <n v="3875.5050229355816"/>
  </r>
  <r>
    <s v="Название рассылки 31"/>
    <s v="Название кампании 31"/>
    <s v="Email"/>
    <x v="8"/>
    <x v="64"/>
    <x v="0"/>
    <n v="49"/>
    <n v="1"/>
    <s v="01-понедельник"/>
    <x v="58"/>
    <s v="#ССЫЛКА"/>
    <s v="Тема письма 31"/>
    <s v="Сегмент 1"/>
    <n v="1688325"/>
    <n v="1654558.5"/>
    <n v="152219.38199999998"/>
    <n v="5936.5558979999996"/>
    <n v="33766.5"/>
    <n v="215092.60500000001"/>
    <s v="Метка 31"/>
    <n v="5164.8036312599997"/>
    <n v="2940.8391876394439"/>
    <n v="2558.530093246316"/>
    <n v="2097.994676461979"/>
  </r>
  <r>
    <s v="Название рассылки 32"/>
    <s v="Название кампании 32"/>
    <s v="Email"/>
    <x v="1"/>
    <x v="80"/>
    <x v="0"/>
    <n v="48"/>
    <n v="1"/>
    <s v="01-понедельник"/>
    <x v="59"/>
    <s v="#ССЫЛКА"/>
    <s v="Тема письма 32"/>
    <s v="Сегмент 2"/>
    <n v="1364105"/>
    <n v="1343643.425"/>
    <n v="148472.5984625"/>
    <n v="10690.027089300002"/>
    <n v="20461.574999999953"/>
    <n v="174673.64525"/>
    <s v="Метка 32"/>
    <n v="7376.1186916170009"/>
    <n v="1915.5780242129351"/>
    <n v="1628.2413205809949"/>
    <n v="1286.3106432589859"/>
  </r>
  <r>
    <s v="Название рассылки 33"/>
    <s v="Название кампании 33"/>
    <s v="Email"/>
    <x v="8"/>
    <x v="65"/>
    <x v="0"/>
    <n v="50"/>
    <n v="1"/>
    <s v="01-понедельник"/>
    <x v="3"/>
    <s v="#ССЫЛКА"/>
    <s v="Тема письма 33"/>
    <s v="Сегмент 3"/>
    <n v="2198000"/>
    <n v="2154040"/>
    <n v="387727.2"/>
    <n v="46527.264000000003"/>
    <n v="43960"/>
    <n v="280025.2"/>
    <s v="Метка 33"/>
    <n v="45131.446080000002"/>
    <n v="18824.326159967997"/>
    <n v="15737.136669733245"/>
    <n v="11802.852502299935"/>
  </r>
  <r>
    <s v="Название рассылки 34"/>
    <s v="Название кампании 34"/>
    <s v="Email"/>
    <x v="8"/>
    <x v="81"/>
    <x v="0"/>
    <n v="50"/>
    <n v="5"/>
    <s v="05-пятница"/>
    <x v="60"/>
    <s v="#ССЫЛКА"/>
    <s v="Тема письма 34"/>
    <s v="Сегмент 1"/>
    <n v="560494"/>
    <n v="549284.12"/>
    <n v="95740.222116000004"/>
    <n v="8616.61999044"/>
    <n v="11209.880000000005"/>
    <n v="71406.935599999997"/>
    <s v="Метка 34"/>
    <n v="7324.1269918739999"/>
    <n v="4437.6885443764559"/>
    <n v="3603.4030980336825"/>
    <n v="2630.484261564588"/>
  </r>
  <r>
    <s v="Название рассылки 35"/>
    <s v="Название кампании 35"/>
    <s v="Email"/>
    <x v="8"/>
    <x v="81"/>
    <x v="0"/>
    <n v="50"/>
    <n v="5"/>
    <s v="05-пятница"/>
    <x v="61"/>
    <s v="#ССЫЛКА"/>
    <s v="Тема письма 35"/>
    <s v="Сегмент 2"/>
    <n v="1857931"/>
    <n v="1830062.0349999999"/>
    <n v="202221.85486749999"/>
    <n v="16986.63580887"/>
    <n v="27868.965000000084"/>
    <n v="237908.06455000001"/>
    <s v="Метка 35"/>
    <n v="15627.704944160401"/>
    <n v="6046.3590428956595"/>
    <n v="5925.4318620377462"/>
    <n v="4681.0911710098198"/>
  </r>
  <r>
    <s v="Название рассылки 36"/>
    <s v="Название кампании 36"/>
    <s v="Email"/>
    <x v="8"/>
    <x v="68"/>
    <x v="0"/>
    <n v="50"/>
    <n v="4"/>
    <s v="04-четверг"/>
    <x v="62"/>
    <s v="#ССЫЛКА"/>
    <s v="Тема письма 36"/>
    <s v="Сегмент 3"/>
    <n v="2200788"/>
    <n v="2156772.2400000002"/>
    <n v="198423.04608000003"/>
    <n v="7738.4987971200007"/>
    <n v="44015.759999999776"/>
    <n v="280380.39120000001"/>
    <s v="Метка 36"/>
    <n v="7196.8038813216008"/>
    <n v="2487.2154213847448"/>
    <n v="2163.8774166047278"/>
    <n v="1796.0182557819239"/>
  </r>
  <r>
    <s v="Название рассылки 37"/>
    <s v="Название кампании 37"/>
    <s v="Email"/>
    <x v="8"/>
    <x v="68"/>
    <x v="0"/>
    <n v="50"/>
    <n v="4"/>
    <s v="04-четверг"/>
    <x v="63"/>
    <s v="#ССЫЛКА"/>
    <s v="Тема письма 37"/>
    <s v="Сегмент 1"/>
    <n v="1792197"/>
    <n v="1756353.06"/>
    <n v="306132.33835800004"/>
    <n v="22041.528361776007"/>
    <n v="35843.939999999944"/>
    <n v="193198.83660000001"/>
    <s v="Метка 37"/>
    <n v="20057.790809216167"/>
    <n v="4841.9507013447828"/>
    <n v="4115.6580961430654"/>
    <n v="3374.8396388373135"/>
  </r>
  <r>
    <s v="Название рассылки 38"/>
    <s v="Название кампании 38"/>
    <s v="Email"/>
    <x v="8"/>
    <x v="69"/>
    <x v="0"/>
    <n v="51"/>
    <n v="1"/>
    <s v="01-понедельник"/>
    <x v="64"/>
    <s v="#ССЫЛКА"/>
    <s v="Тема письма 38"/>
    <s v="Сегмент 2"/>
    <n v="1128193"/>
    <n v="1111270.105"/>
    <n v="122795.34660249999"/>
    <n v="14735.441592299998"/>
    <n v="16922.895000000019"/>
    <n v="122239.71154999999"/>
    <s v="Метка 38"/>
    <n v="12819.834185300999"/>
    <n v="7299.6135851103891"/>
    <n v="6204.6715473438308"/>
    <n v="4901.6905224016264"/>
  </r>
  <r>
    <s v="Название рассылки 39"/>
    <s v="Название кампании 39"/>
    <s v="Email"/>
    <x v="8"/>
    <x v="69"/>
    <x v="0"/>
    <n v="51"/>
    <n v="1"/>
    <s v="01-понедельник"/>
    <x v="37"/>
    <s v="#ССЫЛКА"/>
    <s v="Тема письма 39"/>
    <s v="Сегмент 3"/>
    <n v="1990579"/>
    <n v="1950767.42"/>
    <n v="179470.60264"/>
    <n v="16152.354237599999"/>
    <n v="39811.580000000075"/>
    <n v="214584.41620000001"/>
    <s v="Метка 39"/>
    <n v="11145.124423943998"/>
    <n v="2894.3888128982567"/>
    <n v="2419.7090475829423"/>
    <n v="1814.7817856872066"/>
  </r>
  <r>
    <s v="Название рассылки 4"/>
    <s v="Название кампании 4"/>
    <s v="Email"/>
    <x v="0"/>
    <x v="71"/>
    <x v="0"/>
    <n v="44"/>
    <n v="5"/>
    <s v="05-пятница"/>
    <x v="65"/>
    <s v="#ССЫЛКА"/>
    <s v="Тема письма 4"/>
    <s v="Сегмент 1"/>
    <n v="2172492"/>
    <n v="2129042.16"/>
    <n v="235259.15868000002"/>
    <n v="19761.769329120005"/>
    <n v="43449.839999999851"/>
    <n v="234194.63760000002"/>
    <s v="Метка 4"/>
    <n v="19168.916249246406"/>
    <n v="7995.3549675606746"/>
    <n v="6492.228233659268"/>
    <n v="4739.3266105712655"/>
  </r>
  <r>
    <s v="Название рассылки 40"/>
    <s v="Название кампании 40"/>
    <s v="Email"/>
    <x v="8"/>
    <x v="69"/>
    <x v="0"/>
    <n v="51"/>
    <n v="1"/>
    <s v="01-понедельник"/>
    <x v="66"/>
    <s v="#ССЫЛКА"/>
    <s v="Тема письма 40"/>
    <s v="Сегмент 2"/>
    <n v="2175402"/>
    <n v="2142770.9700000002"/>
    <n v="385698.7746"/>
    <n v="15042.2522094"/>
    <n v="32631.029999999795"/>
    <n v="235704.80670000002"/>
    <s v="Метка 40"/>
    <n v="12785.914377989999"/>
    <n v="7746.9855216241394"/>
    <n v="7592.0458111916569"/>
    <n v="5997.7161908414091"/>
  </r>
  <r>
    <s v="Название рассылки 41"/>
    <s v="Название кампании 41"/>
    <s v="Email"/>
    <x v="8"/>
    <x v="69"/>
    <x v="0"/>
    <n v="51"/>
    <n v="1"/>
    <s v="01-понедельник"/>
    <x v="67"/>
    <s v="#ССЫЛКА"/>
    <s v="Тема письма 41"/>
    <s v="Сегмент 3"/>
    <n v="1091818"/>
    <n v="1069981.6399999999"/>
    <n v="118232.97121999999"/>
    <n v="8512.7739278400004"/>
    <n v="21836.360000000102"/>
    <n v="117697.98039999999"/>
    <s v="Метка 41"/>
    <n v="7831.7520136128005"/>
    <n v="3030.1048540667925"/>
    <n v="2636.1912230381095"/>
    <n v="2188.038715121631"/>
  </r>
  <r>
    <s v="Название рассылки 42"/>
    <s v="Название кампании 42"/>
    <s v="Email"/>
    <x v="8"/>
    <x v="69"/>
    <x v="0"/>
    <n v="51"/>
    <n v="1"/>
    <s v="01-понедельник"/>
    <x v="68"/>
    <s v="#ССЫЛКА"/>
    <s v="Тема письма 42"/>
    <s v="Сегмент 1"/>
    <n v="2150823"/>
    <n v="2107806.54"/>
    <n v="379405.17719999998"/>
    <n v="45528.621263999994"/>
    <n v="43016.459999999963"/>
    <n v="231858.7194"/>
    <s v="Метка 42"/>
    <n v="42341.617775519997"/>
    <n v="14633.26310321971"/>
    <n v="12438.273637736753"/>
    <n v="10199.384382944138"/>
  </r>
  <r>
    <s v="Название рассылки 43"/>
    <s v="Название кампании 43"/>
    <s v="Email"/>
    <x v="8"/>
    <x v="82"/>
    <x v="0"/>
    <n v="51"/>
    <n v="2"/>
    <s v="02-вторник"/>
    <x v="69"/>
    <s v="#ССЫЛКА"/>
    <s v="Тема письма 43"/>
    <s v="Сегмент 2"/>
    <n v="2268535"/>
    <n v="2234506.9750000001"/>
    <n v="389474.56574250007"/>
    <n v="35052.710916825003"/>
    <n v="34028.024999999907"/>
    <n v="245795.76725"/>
    <s v="Метка 43"/>
    <n v="31897.966934310753"/>
    <n v="7700.1692179426154"/>
    <n v="6437.3414662000259"/>
    <n v="5085.4997582980204"/>
  </r>
  <r>
    <s v="Название рассылки 44"/>
    <s v="Название кампании 44"/>
    <s v="Email"/>
    <x v="8"/>
    <x v="83"/>
    <x v="0"/>
    <n v="52"/>
    <n v="2"/>
    <s v="02-вторник"/>
    <x v="70"/>
    <s v="#ССЫЛКА"/>
    <s v="Тема письма 44"/>
    <s v="Сегмент 3"/>
    <n v="1442683"/>
    <n v="1413829.34"/>
    <n v="156228.14207"/>
    <n v="13123.163933880001"/>
    <n v="28853.659999999916"/>
    <n v="155521.2274"/>
    <s v="Метка 44"/>
    <n v="11417.152622475602"/>
    <n v="6500.9267032376074"/>
    <n v="5278.7524830289376"/>
    <n v="3959.0643622717034"/>
  </r>
  <r>
    <s v="Название рассылки 45"/>
    <s v="Название кампании 45"/>
    <s v="Email"/>
    <x v="9"/>
    <x v="73"/>
    <x v="1"/>
    <n v="1"/>
    <n v="3"/>
    <s v="03-среда"/>
    <x v="71"/>
    <s v="#ССЫЛКА"/>
    <s v="Тема письма 45"/>
    <s v="Сегмент 1"/>
    <n v="919076"/>
    <n v="900694.48"/>
    <n v="82863.892160000003"/>
    <n v="3231.69179424"/>
    <n v="18381.520000000019"/>
    <n v="99076.392800000001"/>
    <s v="Метка 45"/>
    <n v="2229.8673380256"/>
    <n v="579.09654768524831"/>
    <n v="567.51461673154336"/>
    <n v="414.28567021402665"/>
  </r>
  <r>
    <s v="Название рассылки 46"/>
    <s v="Название кампании 46"/>
    <s v="Email"/>
    <x v="9"/>
    <x v="73"/>
    <x v="1"/>
    <n v="1"/>
    <n v="3"/>
    <s v="03-среда"/>
    <x v="71"/>
    <s v="#ССЫЛКА"/>
    <s v="Тема письма 46"/>
    <s v="Сегмент 2"/>
    <n v="773615"/>
    <n v="762010.77500000002"/>
    <n v="132818.47808250002"/>
    <n v="9562.9304219400019"/>
    <n v="11604.224999999977"/>
    <n v="83821.18525000001"/>
    <s v="Метка 46"/>
    <n v="9276.0425092818023"/>
    <n v="3869.0373306214397"/>
    <n v="3366.0624776406526"/>
    <n v="2659.1893573361158"/>
  </r>
  <r>
    <s v="Название рассылки 47"/>
    <s v="Название кампании 47"/>
    <s v="Email"/>
    <x v="9"/>
    <x v="74"/>
    <x v="1"/>
    <n v="2"/>
    <n v="1"/>
    <s v="01-понедельник"/>
    <x v="17"/>
    <s v="#ССЫЛКА"/>
    <s v="Тема письма 47"/>
    <s v="Сегмент 1"/>
    <n v="1588300"/>
    <n v="1556534"/>
    <n v="171997.00700000001"/>
    <n v="20639.64084"/>
    <n v="31766"/>
    <n v="171218.74"/>
    <s v="Метка 47"/>
    <n v="17543.694714000001"/>
    <n v="10629.724627212599"/>
    <n v="9035.2659331307095"/>
    <n v="7499.2707244984886"/>
  </r>
  <r>
    <s v="Название рассылки 48"/>
    <s v="Название кампании 48"/>
    <s v="Email"/>
    <x v="9"/>
    <x v="74"/>
    <x v="1"/>
    <n v="2"/>
    <n v="1"/>
    <s v="01-понедельник"/>
    <x v="72"/>
    <s v="#ССЫЛКА"/>
    <s v="Тема письма 48"/>
    <s v="Сегмент 2"/>
    <n v="1759690"/>
    <n v="1724496.2"/>
    <n v="158653.65039999998"/>
    <n v="14278.828535999997"/>
    <n v="35193.800000000047"/>
    <n v="189694.58199999999"/>
    <s v="Метка 48"/>
    <n v="13136.522253119998"/>
    <n v="5082.5204597321272"/>
    <n v="4320.1423907723083"/>
    <n v="3542.5167604332928"/>
  </r>
  <r>
    <s v="Название рассылки 49"/>
    <s v="Название кампании 49"/>
    <s v="Email"/>
    <x v="9"/>
    <x v="84"/>
    <x v="1"/>
    <n v="3"/>
    <n v="5"/>
    <s v="05-пятница"/>
    <x v="73"/>
    <s v="#ССЫЛКА"/>
    <s v="Тема письма 49"/>
    <s v="Сегмент 3"/>
    <n v="1925119"/>
    <n v="1896242.2150000001"/>
    <n v="209534.7647575"/>
    <n v="17600.920239630002"/>
    <n v="28876.784999999916"/>
    <n v="208586.64365000001"/>
    <s v="Метка 49"/>
    <n v="16368.855822855903"/>
    <n v="5657.076572379"/>
    <n v="4729.3160145088441"/>
    <n v="3736.1596514619869"/>
  </r>
  <r>
    <s v="Название рассылки 5"/>
    <s v="Название кампании 5"/>
    <s v="Email"/>
    <x v="1"/>
    <x v="85"/>
    <x v="0"/>
    <n v="44"/>
    <n v="3"/>
    <s v="03-среда"/>
    <x v="42"/>
    <s v="#ССЫЛКА"/>
    <s v="Тема письма 5"/>
    <s v="Сегмент 1"/>
    <n v="1426654"/>
    <n v="1398120.92"/>
    <n v="251661.76559999998"/>
    <n v="9814.8088583999997"/>
    <n v="28533.080000000075"/>
    <n v="153793.30119999999"/>
    <s v="Метка 5"/>
    <n v="8931.4760611439997"/>
    <n v="2156.0583211601615"/>
    <n v="1750.7193567820514"/>
    <n v="1313.0395175865385"/>
  </r>
  <r>
    <s v="Название рассылки 50"/>
    <s v="Название кампании 50"/>
    <s v="Email"/>
    <x v="9"/>
    <x v="84"/>
    <x v="1"/>
    <n v="3"/>
    <n v="5"/>
    <s v="05-пятница"/>
    <x v="73"/>
    <s v="#ССЫЛКА"/>
    <s v="Тема письма 50"/>
    <s v="Сегмент 2"/>
    <n v="2113773"/>
    <n v="2071497.54"/>
    <n v="361062.02122200001"/>
    <n v="25996.465527984004"/>
    <n v="42275.459999999963"/>
    <n v="227864.72940000001"/>
    <s v="Метка 50"/>
    <n v="22616.925009346083"/>
    <n v="12878.07710032166"/>
    <n v="12620.515558315226"/>
    <n v="9212.9763575701145"/>
  </r>
  <r>
    <s v="Название рассылки 51"/>
    <s v="Название кампании 51"/>
    <s v="Email"/>
    <x v="9"/>
    <x v="84"/>
    <x v="1"/>
    <n v="3"/>
    <n v="5"/>
    <s v="05-пятница"/>
    <x v="73"/>
    <s v="#ССЫЛКА"/>
    <s v="Тема письма 51"/>
    <s v="Сегмент 3"/>
    <n v="963320"/>
    <n v="948870.2"/>
    <n v="104850.1571"/>
    <n v="12582.018851999999"/>
    <n v="14449.800000000047"/>
    <n v="104375.72199999999"/>
    <s v="Метка 51"/>
    <n v="8681.5930078799993"/>
    <n v="2254.6097041464359"/>
    <n v="1961.5104426073992"/>
    <n v="1549.5932496598455"/>
  </r>
  <r>
    <s v="Название рассылки 52"/>
    <s v="Название кампании 52"/>
    <s v="Email"/>
    <x v="9"/>
    <x v="84"/>
    <x v="1"/>
    <n v="3"/>
    <n v="5"/>
    <s v="05-пятница"/>
    <x v="73"/>
    <s v="#ССЫЛКА"/>
    <s v="Тема письма 52"/>
    <s v="Сегмент 1"/>
    <n v="1085551"/>
    <n v="1063839.98"/>
    <n v="97873.278160000002"/>
    <n v="8808.5950343999993"/>
    <n v="21711.020000000019"/>
    <n v="117022.39779999999"/>
    <s v="Метка 52"/>
    <n v="8544.3371833679994"/>
    <n v="3563.8430391827924"/>
    <n v="3029.2665833053734"/>
    <n v="2514.29126414346"/>
  </r>
  <r>
    <s v="Название рассылки 53"/>
    <s v="Название кампании 53"/>
    <s v="Email"/>
    <x v="9"/>
    <x v="75"/>
    <x v="1"/>
    <n v="2"/>
    <n v="4"/>
    <s v="04-четверг"/>
    <x v="48"/>
    <s v="#ССЫЛКА"/>
    <s v="Тема письма 53"/>
    <s v="Сегмент 2"/>
    <n v="2288886"/>
    <n v="2243108.2799999998"/>
    <n v="390973.77320399997"/>
    <n v="32841.796949135998"/>
    <n v="45777.720000000205"/>
    <n v="246741.91079999998"/>
    <s v="Метка 53"/>
    <n v="27915.527406765599"/>
    <n v="16914.018055759276"/>
    <n v="14140.119094614754"/>
    <n v="11594.897657584099"/>
  </r>
  <r>
    <s v="Название рассылки 54"/>
    <s v="Название кампании 54"/>
    <s v="Email"/>
    <x v="9"/>
    <x v="75"/>
    <x v="1"/>
    <n v="2"/>
    <n v="4"/>
    <s v="04-четверг"/>
    <x v="48"/>
    <s v="#ССЫЛКА"/>
    <s v="Тема письма 54"/>
    <s v="Сегмент 3"/>
    <n v="1082722"/>
    <n v="1066481.17"/>
    <n v="117846.169285"/>
    <n v="4596.0006021150002"/>
    <n v="16240.830000000075"/>
    <n v="117312.92869999999"/>
    <s v="Метка 54"/>
    <n v="4228.3205539458004"/>
    <n v="1635.9372223216303"/>
    <n v="1328.3810245251639"/>
    <n v="1049.4210093748795"/>
  </r>
  <r>
    <s v="Название рассылки 55"/>
    <s v="Название кампании 55"/>
    <s v="Email"/>
    <x v="9"/>
    <x v="75"/>
    <x v="1"/>
    <n v="2"/>
    <n v="4"/>
    <s v="04-четверг"/>
    <x v="48"/>
    <s v="#ССЫЛКА"/>
    <s v="Тема письма 55"/>
    <s v="Сегмент 1"/>
    <n v="1217975"/>
    <n v="1193615.5"/>
    <n v="109812.626"/>
    <n v="7906.5090720000017"/>
    <n v="24359.5"/>
    <n v="131297.70499999999"/>
    <s v="Метка 55"/>
    <n v="7353.0534369600018"/>
    <n v="2541.2152678133766"/>
    <n v="2490.3909624571093"/>
    <n v="1867.7932218428318"/>
  </r>
  <r>
    <s v="Название рассылки 56"/>
    <s v="Название кампании 56"/>
    <s v="Email"/>
    <x v="9"/>
    <x v="75"/>
    <x v="1"/>
    <n v="2"/>
    <n v="4"/>
    <s v="04-четверг"/>
    <x v="48"/>
    <s v="#ССЫЛКА"/>
    <s v="Тема письма 56"/>
    <s v="Сегмент 2"/>
    <n v="2434236"/>
    <n v="2385551.2799999998"/>
    <n v="263603.41644"/>
    <n v="31632.4099728"/>
    <n v="48684.720000000205"/>
    <n v="262410.64079999999"/>
    <s v="Метка 56"/>
    <n v="28785.493075248"/>
    <n v="6948.8180283648671"/>
    <n v="6045.4716846774345"/>
    <n v="4413.194329814527"/>
  </r>
  <r>
    <s v="Название рассылки 57"/>
    <s v="Название кампании 57"/>
    <s v="Email"/>
    <x v="9"/>
    <x v="76"/>
    <x v="1"/>
    <n v="3"/>
    <n v="1"/>
    <s v="01-понедельник"/>
    <x v="48"/>
    <s v="#ССЫЛКА"/>
    <s v="Тема письма 57"/>
    <s v="Сегмент 3"/>
    <n v="1722650"/>
    <n v="1696810.25"/>
    <n v="305425.84499999997"/>
    <n v="27488.326049999996"/>
    <n v="25839.75"/>
    <n v="15271.292250000002"/>
    <s v="Метка 57"/>
    <n v="23914.843663499996"/>
    <n v="13617.111981996899"/>
    <n v="11574.545184697365"/>
    <n v="9143.890695910919"/>
  </r>
  <r>
    <s v="Название рассылки 58"/>
    <s v="Название кампании 58"/>
    <s v="Email"/>
    <x v="9"/>
    <x v="86"/>
    <x v="1"/>
    <n v="4"/>
    <n v="5"/>
    <s v="05-пятница"/>
    <x v="74"/>
    <s v="#ССЫЛКА"/>
    <s v="Тема письма 58"/>
    <s v="Сегмент 1"/>
    <n v="1532716"/>
    <n v="1502061.68"/>
    <n v="165977.81563999999"/>
    <n v="13942.136513760001"/>
    <n v="30654.320000000065"/>
    <n v="13518.555120000001"/>
    <s v="Метка 58"/>
    <n v="9620.0741944944002"/>
    <n v="2498.3332683101962"/>
    <n v="2123.5832780636665"/>
    <n v="1762.5741207928431"/>
  </r>
  <r>
    <s v="Название рассылки 59"/>
    <s v="Название кампании 59"/>
    <s v="Email"/>
    <x v="9"/>
    <x v="87"/>
    <x v="1"/>
    <n v="4"/>
    <n v="2"/>
    <s v="02-вторник"/>
    <x v="48"/>
    <s v="#ССЫЛКА"/>
    <s v="Тема письма 59"/>
    <s v="Сегмент 2"/>
    <n v="2054933"/>
    <n v="2013834.34"/>
    <n v="362490.18119999999"/>
    <n v="14137.1170668"/>
    <n v="41098.659999999916"/>
    <n v="18124.509060000004"/>
    <s v="Метка 59"/>
    <n v="13713.003554796"/>
    <n v="5719.6937827054107"/>
    <n v="4781.6640023417231"/>
    <n v="3920.9644819202126"/>
  </r>
  <r>
    <s v="Название рассылки 6"/>
    <s v="Название кампании 6"/>
    <s v="Email"/>
    <x v="1"/>
    <x v="85"/>
    <x v="0"/>
    <n v="44"/>
    <n v="3"/>
    <s v="03-среда"/>
    <x v="75"/>
    <s v="#ССЫЛКА"/>
    <s v="Тема письма 6"/>
    <s v="Сегмент 3"/>
    <n v="1098904"/>
    <n v="1082420.44"/>
    <n v="188665.88269200001"/>
    <n v="13583.943553824003"/>
    <n v="16483.560000000056"/>
    <n v="9741.7839600000007"/>
    <s v="Метка 6"/>
    <n v="11546.352020750403"/>
    <n v="6995.9346893726679"/>
    <n v="5680.6989677706069"/>
    <n v="4487.7521845387801"/>
  </r>
  <r>
    <s v="Название рассылки 60"/>
    <s v="Название кампании 60"/>
    <s v="Email"/>
    <x v="9"/>
    <x v="87"/>
    <x v="1"/>
    <n v="4"/>
    <n v="2"/>
    <s v="02-вторник"/>
    <x v="48"/>
    <s v="#ССЫЛКА"/>
    <s v="Тема письма 60"/>
    <s v="Сегмент 1"/>
    <n v="756282"/>
    <n v="741156.36"/>
    <n v="81897.777780000004"/>
    <n v="9827.7333335999992"/>
    <n v="15125.640000000014"/>
    <n v="6670.4072400000005"/>
    <s v="Метка 60"/>
    <n v="9041.5146669120004"/>
    <n v="3498.1620246282532"/>
    <n v="3428.1987841356881"/>
    <n v="2571.1490881017662"/>
  </r>
  <r>
    <s v="Название рассылки 61"/>
    <s v="Название кампании 61"/>
    <s v="Email"/>
    <x v="9"/>
    <x v="88"/>
    <x v="1"/>
    <n v="4"/>
    <n v="4"/>
    <s v="04-четверг"/>
    <x v="74"/>
    <s v="#ССЫЛКА"/>
    <s v="Тема письма 61"/>
    <s v="Сегмент 2"/>
    <n v="664194"/>
    <n v="650910.12"/>
    <n v="59883.731039999999"/>
    <n v="5389.5357936"/>
    <n v="13283.880000000005"/>
    <n v="5858.1910800000005"/>
    <s v="Метка 61"/>
    <n v="5012.2682880480006"/>
    <n v="1732.239920349389"/>
    <n v="1507.0487307039684"/>
    <n v="1100.145573413897"/>
  </r>
  <r>
    <s v="Название рассылки 62"/>
    <s v="Название кампании 62"/>
    <s v="Email"/>
    <x v="9"/>
    <x v="88"/>
    <x v="1"/>
    <n v="4"/>
    <n v="4"/>
    <s v="04-четверг"/>
    <x v="74"/>
    <s v="#ССЫЛКА"/>
    <s v="Тема письма 62"/>
    <s v="Сегмент 3"/>
    <n v="1778134"/>
    <n v="1751461.99"/>
    <n v="305279.82485700003"/>
    <n v="25643.505287988002"/>
    <n v="26672.010000000009"/>
    <n v="15763.157910000002"/>
    <s v="Метка 62"/>
    <n v="23335.589812069084"/>
    <n v="5633.2113806334764"/>
    <n v="4788.2296735384552"/>
    <n v="3782.7014420953797"/>
  </r>
  <r>
    <s v="Название рассылки 63"/>
    <s v="Название кампании 63"/>
    <s v="Email"/>
    <x v="9"/>
    <x v="88"/>
    <x v="1"/>
    <n v="4"/>
    <n v="4"/>
    <s v="04-четверг"/>
    <x v="74"/>
    <s v="#ССЫЛКА"/>
    <s v="Тема письма 63"/>
    <s v="Сегмент 1"/>
    <n v="1689302"/>
    <n v="1655515.96"/>
    <n v="182934.51358"/>
    <n v="7134.4460296199995"/>
    <n v="33786.040000000037"/>
    <n v="14899.643640000002"/>
    <s v="Метка 63"/>
    <n v="6206.9680457693994"/>
    <n v="3534.2476052610964"/>
    <n v="2954.6309979982766"/>
    <n v="2452.3437283385692"/>
  </r>
  <r>
    <s v="Название рассылки 64"/>
    <s v="Название кампании 64"/>
    <s v="Email"/>
    <x v="9"/>
    <x v="88"/>
    <x v="1"/>
    <n v="4"/>
    <n v="4"/>
    <s v="04-четверг"/>
    <x v="74"/>
    <s v="#ССЫЛКА"/>
    <s v="Тема письма 64"/>
    <s v="Сегмент 2"/>
    <n v="2314892"/>
    <n v="2268594.16"/>
    <n v="208710.66272000002"/>
    <n v="15027.167715840003"/>
    <n v="46297.839999999851"/>
    <n v="20417.347440000005"/>
    <s v="Метка 64"/>
    <n v="10368.745723929602"/>
    <n v="2692.7632645045178"/>
    <n v="2186.5237707776687"/>
    <n v="1792.9494920376883"/>
  </r>
  <r>
    <s v="Название рассылки 65"/>
    <s v="Название кампании 65"/>
    <s v="Email"/>
    <x v="10"/>
    <x v="89"/>
    <x v="1"/>
    <n v="5"/>
    <n v="2"/>
    <s v="02-вторник"/>
    <x v="43"/>
    <s v="#ССЫЛКА"/>
    <s v="Тема письма 65"/>
    <s v="Сегмент 1"/>
    <n v="928141"/>
    <n v="914218.88500000001"/>
    <n v="101021.1867925"/>
    <n v="12122.542415099999"/>
    <n v="13922.114999999991"/>
    <n v="8227.9699650000002"/>
    <s v="Метка 65"/>
    <n v="11758.866142646999"/>
    <n v="4904.6230680980625"/>
    <n v="4806.5306067361016"/>
    <n v="3797.1591793215202"/>
  </r>
  <r>
    <s v="Название рассылки 66"/>
    <s v="Название кампании 66"/>
    <s v="Email"/>
    <x v="10"/>
    <x v="89"/>
    <x v="1"/>
    <n v="5"/>
    <n v="2"/>
    <s v="02-вторник"/>
    <x v="30"/>
    <s v="#ССЫЛКА"/>
    <s v="Тема письма 66"/>
    <s v="Сегмент 2"/>
    <n v="762530"/>
    <n v="747279.4"/>
    <n v="134510.29199999999"/>
    <n v="12105.926279999998"/>
    <n v="15250.599999999977"/>
    <n v="6725.5146000000013"/>
    <s v="Метка 66"/>
    <n v="10290.037337999998"/>
    <n v="6234.7336230941983"/>
    <n v="5424.2182520919523"/>
    <n v="4068.1636890689642"/>
  </r>
  <r>
    <s v="Название рассылки 67"/>
    <s v="Название кампании 67"/>
    <s v="Email"/>
    <x v="10"/>
    <x v="90"/>
    <x v="1"/>
    <n v="5"/>
    <n v="4"/>
    <s v="04-четверг"/>
    <x v="38"/>
    <s v="#ССЫЛКА"/>
    <s v="Тема письма 67"/>
    <s v="Сегмент 3"/>
    <n v="1416809"/>
    <n v="1388472.82"/>
    <n v="242010.81252600002"/>
    <n v="20328.908252184003"/>
    <n v="28336.179999999935"/>
    <n v="12496.255380000002"/>
    <s v="Метка 67"/>
    <n v="18702.595592009282"/>
    <n v="7236.0342345483914"/>
    <n v="6150.6290993661323"/>
    <n v="4489.9592425372766"/>
  </r>
  <r>
    <s v="Название рассылки 68"/>
    <s v="Название кампании 68"/>
    <s v="Email"/>
    <x v="10"/>
    <x v="90"/>
    <x v="1"/>
    <n v="5"/>
    <n v="4"/>
    <s v="04-четверг"/>
    <x v="76"/>
    <s v="#ССЫЛКА"/>
    <s v="Тема письма 68"/>
    <s v="Сегмент 1"/>
    <n v="1273715"/>
    <n v="1254609.2749999999"/>
    <n v="138634.3248875"/>
    <n v="5406.7386706124998"/>
    <n v="19105.725000000093"/>
    <n v="11291.483475000001"/>
    <s v="Метка 68"/>
    <n v="5028.2669636696255"/>
    <n v="1737.7690626442225"/>
    <n v="1477.103703247589"/>
    <n v="1166.9119255655953"/>
  </r>
  <r>
    <s v="Название рассылки 69"/>
    <s v="Название кампании 69"/>
    <s v="Email"/>
    <x v="10"/>
    <x v="91"/>
    <x v="1"/>
    <n v="6"/>
    <n v="2"/>
    <s v="02-вторник"/>
    <x v="77"/>
    <s v="#ССЫЛКА"/>
    <s v="Тема письма 69"/>
    <s v="Сегмент 2"/>
    <n v="1544032"/>
    <n v="1513151.36"/>
    <n v="139209.92512"/>
    <n v="10023.11460864"/>
    <n v="30880.639999999898"/>
    <n v="13618.362240000002"/>
    <s v="Метка 69"/>
    <n v="9121.0342938623999"/>
    <n v="2201.8176785383835"/>
    <n v="1840.7195792580885"/>
    <n v="1527.7972507842135"/>
  </r>
  <r>
    <s v="Название рассылки 7"/>
    <s v="Название кампании 7"/>
    <s v="Email"/>
    <x v="1"/>
    <x v="85"/>
    <x v="0"/>
    <n v="44"/>
    <n v="3"/>
    <s v="03-среда"/>
    <x v="30"/>
    <s v="#ССЫЛКА"/>
    <s v="Тема письма 7"/>
    <s v="Сегмент 3"/>
    <n v="1905139"/>
    <n v="1867036.22"/>
    <n v="325424.41314600001"/>
    <n v="39050.929577520001"/>
    <n v="38102.780000000028"/>
    <n v="16803.325980000001"/>
    <s v="Метка 7"/>
    <n v="33974.308732442398"/>
    <n v="19344.971392252701"/>
    <n v="15708.116770509194"/>
    <n v="12880.655751817538"/>
  </r>
  <r>
    <s v="Название рассылки 70"/>
    <s v="Название кампании 70"/>
    <s v="Email"/>
    <x v="10"/>
    <x v="91"/>
    <x v="1"/>
    <n v="6"/>
    <n v="2"/>
    <s v="02-вторник"/>
    <x v="77"/>
    <s v="#ССЫЛКА"/>
    <s v="Тема письма 70"/>
    <s v="Сегмент 1"/>
    <n v="925705"/>
    <n v="911819.42500000005"/>
    <n v="100756.0464625"/>
    <n v="9068.0441816250004"/>
    <n v="13885.574999999953"/>
    <n v="8206.3748250000008"/>
    <s v="Метка 70"/>
    <n v="6256.9504853212502"/>
    <n v="1624.9300410379287"/>
    <n v="1592.4314402171701"/>
    <n v="1258.0208377715644"/>
  </r>
  <r>
    <s v="Название рассылки 71"/>
    <s v="Название кампании 71"/>
    <s v="Email"/>
    <x v="10"/>
    <x v="92"/>
    <x v="1"/>
    <n v="6"/>
    <n v="4"/>
    <s v="04-четверг"/>
    <x v="50"/>
    <s v="#ССЫЛКА"/>
    <s v="Тема письма 71"/>
    <s v="Сегмент 2"/>
    <n v="1719605"/>
    <n v="1685212.9"/>
    <n v="155039.58679999999"/>
    <n v="13023.325291200001"/>
    <n v="34392.100000000093"/>
    <n v="15166.9161"/>
    <s v="Метка 71"/>
    <n v="12632.625532464001"/>
    <n v="5269.0681095907339"/>
    <n v="4584.0892553439389"/>
    <n v="3438.0669415079542"/>
  </r>
  <r>
    <s v="Название рассылки 72"/>
    <s v="Название кампании 72"/>
    <s v="Email"/>
    <x v="10"/>
    <x v="93"/>
    <x v="1"/>
    <n v="7"/>
    <n v="1"/>
    <s v="01-понедельник"/>
    <x v="57"/>
    <s v="#ССЫЛКА"/>
    <s v="Тема письма 72"/>
    <s v="Сегмент 3"/>
    <n v="2028149"/>
    <n v="1987586.02"/>
    <n v="219628.25521"/>
    <n v="8565.5019531899998"/>
    <n v="40562.979999999981"/>
    <n v="17888.274180000004"/>
    <s v="Метка 72"/>
    <n v="7280.6766602114994"/>
    <n v="4411.3619884221471"/>
    <n v="3749.6576901588251"/>
    <n v="2737.2501138159423"/>
  </r>
  <r>
    <s v="Название рассылки 73"/>
    <s v="Название кампании 73"/>
    <s v="Email"/>
    <x v="10"/>
    <x v="94"/>
    <x v="1"/>
    <n v="8"/>
    <n v="5"/>
    <s v="05-пятница"/>
    <x v="78"/>
    <s v="#ССЫЛКА"/>
    <s v="Тема письма 73"/>
    <s v="Сегмент 1"/>
    <n v="1026345"/>
    <n v="1010949.825"/>
    <n v="181970.96849999999"/>
    <n v="13101.909732"/>
    <n v="15395.175000000047"/>
    <n v="9098.5484250000009"/>
    <s v="Метка 73"/>
    <n v="12053.756953440001"/>
    <n v="4663.5985652859363"/>
    <n v="3898.7684005790425"/>
    <n v="3080.0270364574435"/>
  </r>
  <r>
    <s v="Название рассылки 74"/>
    <s v="Название кампании 74"/>
    <s v="Email"/>
    <x v="10"/>
    <x v="95"/>
    <x v="1"/>
    <n v="8"/>
    <n v="3"/>
    <s v="03-среда"/>
    <x v="57"/>
    <s v="#ССЫЛКА"/>
    <s v="Тема письма 74"/>
    <s v="Сегмент 2"/>
    <n v="2170743"/>
    <n v="2127328.14"/>
    <n v="235069.75947000002"/>
    <n v="28208.371136400001"/>
    <n v="43414.85999999987"/>
    <n v="19145.953260000002"/>
    <s v="Метка 74"/>
    <n v="26233.785156852002"/>
    <n v="9066.396150208051"/>
    <n v="7361.9136739689384"/>
    <n v="6110.3883493942185"/>
  </r>
  <r>
    <s v="Название рассылки 75"/>
    <s v="Название кампании 75"/>
    <s v="Email"/>
    <x v="10"/>
    <x v="95"/>
    <x v="1"/>
    <n v="8"/>
    <n v="3"/>
    <s v="03-среда"/>
    <x v="57"/>
    <s v="#ССЫЛКА"/>
    <s v="Тема письма 75"/>
    <s v="Сегмент 3"/>
    <n v="1812082"/>
    <n v="1775840.36"/>
    <n v="319651.2648"/>
    <n v="28768.613831999999"/>
    <n v="36241.639999999898"/>
    <n v="15982.563240000003"/>
    <s v="Метка 75"/>
    <n v="26179.438587119999"/>
    <n v="6319.7164749307676"/>
    <n v="6193.322145432152"/>
    <n v="5078.5241592543643"/>
  </r>
  <r>
    <s v="Название рассылки 76"/>
    <s v="Название кампании 76"/>
    <s v="Email"/>
    <x v="10"/>
    <x v="95"/>
    <x v="1"/>
    <n v="8"/>
    <n v="3"/>
    <s v="03-среда"/>
    <x v="57"/>
    <s v="#ССЫЛКА"/>
    <s v="Тема письма 76"/>
    <s v="Сегмент 1"/>
    <n v="1188879"/>
    <n v="1171045.8149999999"/>
    <n v="204113.28555450001"/>
    <n v="17145.515986578001"/>
    <n v="17833.185000000056"/>
    <n v="10539.412335000001"/>
    <s v="Метка 76"/>
    <n v="14916.59890832286"/>
    <n v="8493.5114183990372"/>
    <n v="7389.3549340071622"/>
    <n v="5837.5903978656588"/>
  </r>
  <r>
    <s v="Название рассылки 77"/>
    <s v="Название кампании 77"/>
    <s v="Email"/>
    <x v="10"/>
    <x v="95"/>
    <x v="1"/>
    <n v="8"/>
    <n v="3"/>
    <s v="03-среда"/>
    <x v="57"/>
    <s v="#ССЫЛКА"/>
    <s v="Тема письма 77"/>
    <s v="Сегмент 2"/>
    <n v="901704"/>
    <n v="883669.92"/>
    <n v="97645.526160000009"/>
    <n v="3808.1755202400004"/>
    <n v="18034.079999999958"/>
    <n v="7953.0292800000016"/>
    <s v="Метка 77"/>
    <n v="2627.6411089655999"/>
    <n v="682.39839599836637"/>
    <n v="580.03863659861145"/>
    <n v="435.02897744895859"/>
  </r>
  <r>
    <s v="Название рассылки 78"/>
    <s v="Название кампании 78"/>
    <s v="Email"/>
    <x v="10"/>
    <x v="95"/>
    <x v="1"/>
    <n v="8"/>
    <n v="3"/>
    <s v="03-среда"/>
    <x v="57"/>
    <s v="#ССЫЛКА"/>
    <s v="Тема письма 78"/>
    <s v="Сегмент 3"/>
    <n v="2239201"/>
    <n v="2194416.98"/>
    <n v="201886.36215999999"/>
    <n v="14535.818075520001"/>
    <n v="44784.020000000019"/>
    <n v="19749.752820000002"/>
    <s v="Метка 78"/>
    <n v="14099.743533254401"/>
    <n v="5881.0030277204105"/>
    <n v="4998.8525735623489"/>
    <n v="3649.1623787005146"/>
  </r>
  <r>
    <s v="Название рассылки 79"/>
    <s v="Название кампании 79"/>
    <s v="Email"/>
    <x v="10"/>
    <x v="95"/>
    <x v="1"/>
    <n v="8"/>
    <n v="3"/>
    <s v="03-среда"/>
    <x v="57"/>
    <s v="#ССЫЛКА"/>
    <s v="Тема письма 79"/>
    <s v="Сегмент 1"/>
    <n v="890442"/>
    <n v="877085.37"/>
    <n v="152875.979991"/>
    <n v="18345.117598919998"/>
    <n v="13356.630000000005"/>
    <n v="7893.7683300000008"/>
    <s v="Метка 79"/>
    <n v="15593.349959081997"/>
    <n v="9448.0107402077811"/>
    <n v="7898.536978813705"/>
    <n v="6239.844213262827"/>
  </r>
  <r>
    <s v="Название рассылки 8"/>
    <s v="Название кампании 8"/>
    <s v="Email"/>
    <x v="1"/>
    <x v="85"/>
    <x v="0"/>
    <n v="44"/>
    <n v="3"/>
    <s v="03-среда"/>
    <x v="79"/>
    <s v="#ССЫЛКА"/>
    <s v="Тема письма 8"/>
    <s v="Сегмент 2"/>
    <n v="1885534"/>
    <n v="1847823.32"/>
    <n v="204184.47686"/>
    <n v="18376.6029174"/>
    <n v="37710.679999999935"/>
    <n v="16630.409880000003"/>
    <s v="Метка 8"/>
    <n v="16906.474684008001"/>
    <n v="6541.1150552426961"/>
    <n v="5311.3854248570697"/>
    <n v="4408.4499026313679"/>
  </r>
  <r>
    <s v="Название рассылки 80"/>
    <s v="Название кампании 80"/>
    <s v="Email"/>
    <x v="10"/>
    <x v="95"/>
    <x v="1"/>
    <n v="8"/>
    <n v="3"/>
    <s v="03-среда"/>
    <x v="57"/>
    <s v="#ССЫЛКА"/>
    <s v="Тема письма 80"/>
    <s v="Сегмент 3"/>
    <n v="2065892"/>
    <n v="2024574.16"/>
    <n v="186260.82272"/>
    <n v="15645.90910848"/>
    <n v="41317.840000000084"/>
    <n v="18221.167440000001"/>
    <s v="Метка 80"/>
    <n v="14550.695470886401"/>
    <n v="5028.7203547383397"/>
    <n v="4928.145947643573"/>
    <n v="4041.0796770677298"/>
  </r>
  <r>
    <s v="Название рассылки 81"/>
    <s v="Название кампании 81"/>
    <s v="Email"/>
    <x v="10"/>
    <x v="95"/>
    <x v="1"/>
    <n v="8"/>
    <n v="3"/>
    <s v="03-среда"/>
    <x v="57"/>
    <s v="#ССЫЛКА"/>
    <s v="Тема письма 81"/>
    <s v="Сегмент 1"/>
    <n v="961099"/>
    <n v="946682.51500000001"/>
    <n v="104608.4179075"/>
    <n v="4079.7282983925002"/>
    <n v="14416.484999999986"/>
    <n v="8520.142635000002"/>
    <s v="Метка 81"/>
    <n v="3712.5527515371755"/>
    <n v="896.2102342210743"/>
    <n v="779.70290377233459"/>
    <n v="615.96529398014434"/>
  </r>
  <r>
    <s v="Название рассылки 82"/>
    <s v="Название кампании 82"/>
    <s v="Email"/>
    <x v="11"/>
    <x v="96"/>
    <x v="1"/>
    <n v="10"/>
    <n v="4"/>
    <s v="04-четверг"/>
    <x v="80"/>
    <s v="#ССЫЛКА"/>
    <s v="Тема письма 82"/>
    <s v="Сегмент 2"/>
    <n v="2273314"/>
    <n v="2227847.7200000002"/>
    <n v="401012.58960000001"/>
    <n v="28872.906451200004"/>
    <n v="45466.279999999795"/>
    <n v="20050.629480000003"/>
    <s v="Метка 82"/>
    <n v="25119.428612544005"/>
    <n v="14303.002651982557"/>
    <n v="12157.552254185173"/>
    <n v="9118.1641906388795"/>
  </r>
  <r>
    <s v="Название рассылки 83"/>
    <s v="Название кампании 83"/>
    <s v="Email"/>
    <x v="11"/>
    <x v="96"/>
    <x v="1"/>
    <n v="10"/>
    <n v="4"/>
    <s v="04-четверг"/>
    <x v="80"/>
    <s v="#ССЫЛКА"/>
    <s v="Тема письма 83"/>
    <s v="Сегмент 1"/>
    <n v="773590"/>
    <n v="758118.2"/>
    <n v="132140.00226000001"/>
    <n v="15856.8002712"/>
    <n v="15471.800000000047"/>
    <n v="6823.0638000000008"/>
    <s v="Метка 83"/>
    <n v="10941.192187127999"/>
    <n v="2841.4276109971415"/>
    <n v="2375.4334827936104"/>
    <n v="1734.0664424393356"/>
  </r>
  <r>
    <s v="Название рассылки 84"/>
    <s v="Название кампании 84"/>
    <s v="Email"/>
    <x v="11"/>
    <x v="97"/>
    <x v="1"/>
    <n v="11"/>
    <n v="2"/>
    <s v="02-вторник"/>
    <x v="81"/>
    <s v="#ССЫЛКА"/>
    <s v="Тема письма 84"/>
    <s v="Сегмент 2"/>
    <n v="1003090"/>
    <n v="988043.65"/>
    <n v="109178.823325"/>
    <n v="9826.09409925"/>
    <n v="15046.349999999977"/>
    <n v="8892.392850000002"/>
    <s v="Метка 84"/>
    <n v="9531.3112762724995"/>
    <n v="3975.5099333332596"/>
    <n v="3228.1140658666072"/>
    <n v="2550.2101120346197"/>
  </r>
  <r>
    <s v="Название рассылки 85"/>
    <s v="Название кампании 85"/>
    <s v="Email"/>
    <x v="11"/>
    <x v="98"/>
    <x v="1"/>
    <n v="12"/>
    <n v="5"/>
    <s v="05-пятница"/>
    <x v="82"/>
    <s v="#ССЫЛКА"/>
    <s v="Тема письма 85"/>
    <s v="Сегмент 3"/>
    <n v="2410055"/>
    <n v="2361853.9"/>
    <n v="217290.5588"/>
    <n v="18252.406939200002"/>
    <n v="48201.100000000093"/>
    <n v="21256.685100000002"/>
    <s v="Метка 85"/>
    <n v="15514.545898320001"/>
    <n v="9400.2633597920885"/>
    <n v="9212.2580925962466"/>
    <n v="7646.1742168548844"/>
  </r>
  <r>
    <s v="Название рассылки 86"/>
    <s v="Название кампании 86"/>
    <s v="Email"/>
    <x v="11"/>
    <x v="98"/>
    <x v="1"/>
    <n v="12"/>
    <n v="5"/>
    <s v="05-пятница"/>
    <x v="82"/>
    <s v="#ССЫЛКА"/>
    <s v="Тема письма 86"/>
    <s v="Сегмент 1"/>
    <n v="2377276"/>
    <n v="2329730.48"/>
    <n v="406072.02266400005"/>
    <n v="15836.808883896001"/>
    <n v="47545.520000000019"/>
    <n v="20967.574320000003"/>
    <s v="Метка 86"/>
    <n v="14569.864173184322"/>
    <n v="5637.0804486050147"/>
    <n v="4904.2599902863631"/>
    <n v="4021.4931920348176"/>
  </r>
  <r>
    <s v="Название рассылки 87"/>
    <s v="Название кампании 87"/>
    <s v="Email"/>
    <x v="11"/>
    <x v="98"/>
    <x v="1"/>
    <n v="12"/>
    <n v="5"/>
    <s v="05-пятница"/>
    <x v="82"/>
    <s v="#ССЫЛКА"/>
    <s v="Тема письма 87"/>
    <s v="Сегмент 2"/>
    <n v="2109213"/>
    <n v="2077574.8049999999"/>
    <n v="229572.01595249999"/>
    <n v="16529.18514858"/>
    <n v="31638.195000000065"/>
    <n v="18698.173245000002"/>
    <s v="Метка 87"/>
    <n v="15372.142188179401"/>
    <n v="5312.6123402348012"/>
    <n v="4515.7204891995807"/>
    <n v="3567.4191864676691"/>
  </r>
  <r>
    <s v="Название рассылки 88"/>
    <s v="Название кампании 88"/>
    <s v="Email"/>
    <x v="11"/>
    <x v="98"/>
    <x v="1"/>
    <n v="12"/>
    <n v="5"/>
    <s v="05-пятница"/>
    <x v="82"/>
    <s v="#ССЫЛКА"/>
    <s v="Тема письма 88"/>
    <s v="Сегмент 3"/>
    <n v="978161"/>
    <n v="958597.78"/>
    <n v="88190.995760000005"/>
    <n v="10582.9194912"/>
    <n v="19563.219999999972"/>
    <n v="8627.3800200000005"/>
    <s v="Метка 88"/>
    <n v="9630.4567369920005"/>
    <n v="2324.7922563098691"/>
    <n v="1976.0734178633886"/>
    <n v="1482.0550633975415"/>
  </r>
  <r>
    <s v="Название рассылки 89"/>
    <s v="Название кампании 89"/>
    <s v="Email"/>
    <x v="11"/>
    <x v="98"/>
    <x v="1"/>
    <n v="12"/>
    <n v="5"/>
    <s v="05-пятница"/>
    <x v="82"/>
    <s v="#ССЫЛКА"/>
    <s v="Тема письма 89"/>
    <s v="Сегмент 1"/>
    <n v="857219"/>
    <n v="840074.62"/>
    <n v="92828.245509999993"/>
    <n v="8354.5420958999985"/>
    <n v="17144.380000000005"/>
    <n v="7560.6715800000011"/>
    <s v="Метка 89"/>
    <n v="7268.4516234329985"/>
    <n v="4138.6563543827497"/>
    <n v="3459.9167122639788"/>
    <n v="2525.7391999527044"/>
  </r>
  <r>
    <s v="Название рассылки 9"/>
    <s v="Название кампании 9"/>
    <s v="Email"/>
    <x v="1"/>
    <x v="1"/>
    <x v="0"/>
    <n v="45"/>
    <n v="5"/>
    <s v="05-пятница"/>
    <x v="1"/>
    <s v="#ССЫЛКА"/>
    <s v="Тема письма 9"/>
    <s v="Сегмент 2"/>
    <n v="635111"/>
    <n v="625584.33499999996"/>
    <n v="112605.18029999999"/>
    <n v="9458.8351452000006"/>
    <n v="9526.6650000000373"/>
    <n v="5630.2590150000005"/>
    <s v="Метка 9"/>
    <n v="6526.5962501880003"/>
    <n v="1694.9570461738238"/>
    <n v="1376.305121493145"/>
    <n v="1087.2810459795846"/>
  </r>
  <r>
    <s v="Название рассылки 90"/>
    <s v="Название кампании 90"/>
    <s v="Email"/>
    <x v="11"/>
    <x v="98"/>
    <x v="1"/>
    <n v="12"/>
    <n v="5"/>
    <s v="05-пятница"/>
    <x v="82"/>
    <s v="#ССЫЛКА"/>
    <s v="Тема письма 90"/>
    <s v="Сегмент 3"/>
    <n v="585396"/>
    <n v="573688.07999999996"/>
    <n v="63392.532839999993"/>
    <n v="2472.3087807599995"/>
    <n v="11707.920000000042"/>
    <n v="5163.19272"/>
    <s v="Метка 90"/>
    <n v="2398.1395173371993"/>
    <n v="1000.2639926813458"/>
    <n v="980.25871282771891"/>
    <n v="813.61473164700669"/>
  </r>
  <r>
    <s v="Название рассылки 91"/>
    <s v="Название кампании 91"/>
    <s v="Email"/>
    <x v="11"/>
    <x v="98"/>
    <x v="1"/>
    <n v="12"/>
    <n v="5"/>
    <s v="05-пятница"/>
    <x v="82"/>
    <s v="#ССЫЛКА"/>
    <s v="Тема письма 91"/>
    <s v="Сегмент 1"/>
    <n v="1867794"/>
    <n v="1830438.12"/>
    <n v="329478.8616"/>
    <n v="23722.478035200002"/>
    <n v="37355.879999999888"/>
    <n v="16473.943080000005"/>
    <s v="Метка 91"/>
    <n v="20164.10632992"/>
    <n v="12217.432025298525"/>
    <n v="10629.165862009717"/>
    <n v="8715.9160068479669"/>
  </r>
  <r>
    <s v="Название рассылки 92"/>
    <s v="Название кампании 92"/>
    <s v="Email"/>
    <x v="11"/>
    <x v="99"/>
    <x v="1"/>
    <n v="12"/>
    <n v="4"/>
    <s v="04-четверг"/>
    <x v="77"/>
    <s v="#ССЫЛКА"/>
    <s v="Тема письма 92"/>
    <s v="Сегмент 2"/>
    <n v="1509215"/>
    <n v="1486576.7749999999"/>
    <n v="259110.3318825"/>
    <n v="31093.2398259"/>
    <n v="22638.225000000093"/>
    <n v="13379.190975000001"/>
    <s v="Метка 92"/>
    <n v="28605.780639828001"/>
    <n v="11067.576529549453"/>
    <n v="9407.4400501170348"/>
    <n v="7431.8776395924579"/>
  </r>
  <r>
    <s v="Название рассылки 93"/>
    <s v="Название кампании 93"/>
    <s v="Email"/>
    <x v="11"/>
    <x v="99"/>
    <x v="1"/>
    <n v="12"/>
    <n v="4"/>
    <s v="04-четверг"/>
    <x v="83"/>
    <s v="#ССЫЛКА"/>
    <s v="Тема письма 93"/>
    <s v="Сегмент 3"/>
    <n v="911950"/>
    <n v="893711"/>
    <n v="98755.065499999997"/>
    <n v="8887.9558949999991"/>
    <n v="18239"/>
    <n v="8043.3990000000013"/>
    <s v="Метка 93"/>
    <n v="8265.7989823499993"/>
    <n v="2856.6601283001596"/>
    <n v="2388.1678672589333"/>
    <n v="1791.1259004441999"/>
  </r>
  <r>
    <s v="Название рассылки 94"/>
    <s v="Название кампании 94"/>
    <s v="Email"/>
    <x v="11"/>
    <x v="99"/>
    <x v="1"/>
    <n v="12"/>
    <n v="4"/>
    <s v="04-четверг"/>
    <x v="31"/>
    <s v="#ССЫЛКА"/>
    <s v="Тема письма 94"/>
    <s v="Сегмент 1"/>
    <n v="1803085"/>
    <n v="1767023.3"/>
    <n v="162566.14360000001"/>
    <n v="13655.556062400001"/>
    <n v="36061.699999999953"/>
    <n v="15903.209700000003"/>
    <s v="Метка 94"/>
    <n v="12426.556016784001"/>
    <n v="2999.7706224516578"/>
    <n v="2435.8137454307462"/>
    <n v="1778.1440341644447"/>
  </r>
  <r>
    <s v="Название рассылки 95"/>
    <s v="Название кампании 95"/>
    <s v="Email"/>
    <x v="11"/>
    <x v="99"/>
    <x v="1"/>
    <n v="12"/>
    <n v="4"/>
    <s v="04-четверг"/>
    <x v="84"/>
    <s v="#ССЫЛКА"/>
    <s v="Тема письма 95"/>
    <s v="Сегмент 2"/>
    <n v="2458586"/>
    <n v="2421707.21"/>
    <n v="422103.56670300005"/>
    <n v="16462.039101417002"/>
    <n v="36878.790000000037"/>
    <n v="21795.364890000001"/>
    <s v="Метка 95"/>
    <n v="14321.974018232791"/>
    <n v="8154.932005981751"/>
    <n v="7991.8333658621159"/>
    <n v="6313.5483590310714"/>
  </r>
  <r>
    <s v="Название рассылки 96"/>
    <s v="Название кампании 96"/>
    <s v="Email"/>
    <x v="11"/>
    <x v="99"/>
    <x v="1"/>
    <n v="12"/>
    <n v="4"/>
    <s v="04-четверг"/>
    <x v="84"/>
    <s v="#ССЫЛКА"/>
    <s v="Тема письма 96"/>
    <s v="Сегмент 3"/>
    <n v="1099253"/>
    <n v="1077267.94"/>
    <n v="119038.10737"/>
    <n v="8570.7437306400006"/>
    <n v="21985.060000000056"/>
    <n v="9695.4114600000012"/>
    <s v="Метка 96"/>
    <n v="5913.8131741416"/>
    <n v="1535.8172813245735"/>
    <n v="1336.161034752379"/>
    <n v="1109.0136588444745"/>
  </r>
  <r>
    <s v="Название рассылки 97"/>
    <s v="Название кампании 97"/>
    <s v="Email"/>
    <x v="11"/>
    <x v="99"/>
    <x v="1"/>
    <n v="12"/>
    <n v="4"/>
    <s v="04-четверг"/>
    <x v="85"/>
    <s v="#ССЫЛКА"/>
    <s v="Тема письма 97"/>
    <s v="Сегмент 1"/>
    <n v="2054044"/>
    <n v="2012963.12"/>
    <n v="185192.60704"/>
    <n v="22223.112844799998"/>
    <n v="41080.879999999888"/>
    <n v="18116.668080000003"/>
    <s v="Метка 97"/>
    <n v="21556.419459455996"/>
    <n v="8991.1825565390955"/>
    <n v="7642.5051730582309"/>
    <n v="6266.8542419077494"/>
  </r>
  <r>
    <s v="Название рассылки 98"/>
    <s v="Название кампании 98"/>
    <s v="Email"/>
    <x v="11"/>
    <x v="100"/>
    <x v="1"/>
    <n v="13"/>
    <n v="1"/>
    <s v="01-понедельник"/>
    <x v="84"/>
    <s v="#ССЫЛКА"/>
    <s v="Тема письма 98"/>
    <s v="Сегмент 2"/>
    <n v="1007370"/>
    <n v="992259.45"/>
    <n v="109644.66922499999"/>
    <n v="9868.0202302499983"/>
    <n v="15110.550000000047"/>
    <n v="8930.3350500000015"/>
    <s v="Метка 98"/>
    <n v="8387.8171957124978"/>
    <n v="5082.1784388822016"/>
    <n v="3811.6338291616512"/>
    <n v="3011.1907250377044"/>
  </r>
  <r>
    <s v="Название рассылки 99"/>
    <s v="Название кампании 99"/>
    <s v="Email"/>
    <x v="11"/>
    <x v="100"/>
    <x v="1"/>
    <n v="13"/>
    <n v="1"/>
    <s v="01-понедельник"/>
    <x v="31"/>
    <s v="#ССЫЛКА"/>
    <s v="Тема письма 99"/>
    <s v="Сегмент 3"/>
    <n v="2475420"/>
    <n v="2425911.6"/>
    <n v="436664.08799999999"/>
    <n v="36679.783392000005"/>
    <n v="49508.399999999907"/>
    <n v="21833.204400000002"/>
    <s v="Метка 99"/>
    <n v="33745.400720640006"/>
    <n v="13056.095538815618"/>
    <n v="10314.315475664338"/>
    <n v="7735.73660674825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B7276-38A8-4A2C-B3D1-0E4B13C8A92D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rowHeaderCaption="Date">
  <location ref="A2:E103" firstHeaderRow="0" firstDataRow="1" firstDataCol="1"/>
  <pivotFields count="29">
    <pivotField showAll="0" defaultSubtotal="0"/>
    <pivotField showAll="0" defaultSubtotal="0"/>
    <pivotField showAll="0" defaultSubtotal="0"/>
    <pivotField showAll="0" defaultSubtotal="0">
      <items count="12">
        <item x="9"/>
        <item x="10"/>
        <item x="11"/>
        <item x="2"/>
        <item x="3"/>
        <item x="4"/>
        <item x="5"/>
        <item x="6"/>
        <item x="7"/>
        <item x="0"/>
        <item x="1"/>
        <item x="8"/>
      </items>
    </pivotField>
    <pivotField axis="axisRow" showAll="0" defaultSubtotal="0">
      <items count="101">
        <item x="14"/>
        <item x="15"/>
        <item x="16"/>
        <item x="17"/>
        <item x="18"/>
        <item x="19"/>
        <item x="22"/>
        <item x="20"/>
        <item x="21"/>
        <item x="23"/>
        <item x="25"/>
        <item x="26"/>
        <item x="27"/>
        <item x="28"/>
        <item x="29"/>
        <item x="30"/>
        <item x="24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6"/>
        <item x="47"/>
        <item x="43"/>
        <item x="48"/>
        <item x="44"/>
        <item x="49"/>
        <item x="50"/>
        <item x="53"/>
        <item x="54"/>
        <item x="51"/>
        <item x="55"/>
        <item x="52"/>
        <item x="57"/>
        <item x="58"/>
        <item x="59"/>
        <item x="0"/>
        <item x="71"/>
        <item x="60"/>
        <item x="61"/>
        <item x="85"/>
        <item x="1"/>
        <item x="62"/>
        <item x="9"/>
        <item x="45"/>
        <item x="56"/>
        <item x="80"/>
        <item x="79"/>
        <item x="63"/>
        <item x="64"/>
        <item x="66"/>
        <item x="81"/>
        <item x="65"/>
        <item x="67"/>
        <item x="68"/>
        <item x="69"/>
        <item x="82"/>
        <item x="72"/>
        <item x="70"/>
        <item x="83"/>
        <item x="73"/>
        <item x="74"/>
        <item x="75"/>
        <item x="84"/>
        <item x="76"/>
        <item x="77"/>
        <item x="78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2"/>
        <item x="3"/>
        <item x="4"/>
        <item x="5"/>
        <item x="6"/>
        <item x="7"/>
        <item x="8"/>
        <item x="10"/>
        <item x="11"/>
        <item x="12"/>
        <item x="13"/>
      </items>
    </pivotField>
    <pivotField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numFmtId="20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showAll="0" defaultSubtotal="0"/>
    <pivotField showAll="0" defaultSubtotal="0"/>
    <pivotField showAll="0" defaultSubtotal="0"/>
    <pivotField numFmtId="3" showAll="0" defaultSubtotal="0"/>
    <pivotField numFmtId="3" showAll="0" defaultSubtotal="0"/>
    <pivotField numFmtId="3" showAll="0" defaultSubtotal="0"/>
    <pivotField numFmtId="3" showAll="0" defaultSubtotal="0"/>
    <pivotField numFmtId="3" showAll="0" defaultSubtotal="0"/>
    <pivotField numFmtId="3" showAll="0" defaultSubtotal="0"/>
    <pivotField showAll="0" defaultSubtotal="0"/>
    <pivotField numFmtId="3" showAll="0" defaultSubtotal="0"/>
    <pivotField numFmtId="1" showAll="0" defaultSubtotal="0"/>
    <pivotField numFmtId="1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4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Delivery Rate (DR)" fld="24" baseField="5" baseItem="0" numFmtId="10"/>
    <dataField name="Open Rate (OR)" fld="25" baseField="5" baseItem="0" numFmtId="3"/>
    <dataField name="Click To Open Rate (CTOR)" fld="26" baseField="5" baseItem="0" numFmtId="3"/>
    <dataField name="Unsubscribe Rate (UR)" fld="27" baseField="5" baseItem="0" numFmtId="3"/>
  </dataFields>
  <formats count="14">
    <format dxfId="27">
      <pivotArea outline="0" collapsedLevelsAreSubtotals="1" fieldPosition="0"/>
    </format>
    <format dxfId="26">
      <pivotArea dataOnly="0" labelOnly="1" outline="0" axis="axisValues" fieldPosition="0"/>
    </format>
    <format dxfId="25">
      <pivotArea field="5" type="button" dataOnly="0" labelOnly="1" outline="0"/>
    </format>
    <format dxfId="2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5" type="button" dataOnly="0" labelOnly="1" outline="0"/>
    </format>
    <format dxfId="20">
      <pivotArea dataOnly="0" labelOnly="1" grandRow="1" outline="0" fieldPosition="0"/>
    </format>
    <format dxfId="1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5" type="button" dataOnly="0" labelOnly="1" outline="0"/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3F094-22EC-4DC5-A581-B1E5C5DAAD02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rowHeaderCaption="Date">
  <location ref="A3:E21" firstHeaderRow="0" firstDataRow="1" firstDataCol="1"/>
  <pivotFields count="29">
    <pivotField subtotalTop="0" showAll="0" insertBlankRow="1" defaultSubtotal="0"/>
    <pivotField subtotalTop="0" showAll="0" insertBlankRow="1" defaultSubtotal="0"/>
    <pivotField subtotalTop="0" showAll="0" insertBlankRow="1" defaultSubtotal="0"/>
    <pivotField axis="axisRow" subtotalTop="0" showAll="0" insertBlankRow="1" defaultSubtotal="0">
      <items count="12">
        <item x="9"/>
        <item x="10"/>
        <item x="11"/>
        <item x="2"/>
        <item x="3"/>
        <item x="4"/>
        <item x="5"/>
        <item x="6"/>
        <item x="7"/>
        <item x="0"/>
        <item x="1"/>
        <item x="8"/>
      </items>
    </pivotField>
    <pivotField subtotalTop="0" showAll="0" insertBlankRow="1" defaultSubtotal="0">
      <items count="101">
        <item x="14"/>
        <item x="15"/>
        <item x="16"/>
        <item x="17"/>
        <item x="18"/>
        <item x="19"/>
        <item x="22"/>
        <item x="20"/>
        <item x="21"/>
        <item x="23"/>
        <item x="25"/>
        <item x="26"/>
        <item x="27"/>
        <item x="28"/>
        <item x="29"/>
        <item x="30"/>
        <item x="24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6"/>
        <item x="47"/>
        <item x="43"/>
        <item x="48"/>
        <item x="44"/>
        <item x="49"/>
        <item x="50"/>
        <item x="53"/>
        <item x="54"/>
        <item x="51"/>
        <item x="55"/>
        <item x="52"/>
        <item x="57"/>
        <item x="58"/>
        <item x="59"/>
        <item x="0"/>
        <item x="71"/>
        <item x="60"/>
        <item x="61"/>
        <item x="85"/>
        <item x="1"/>
        <item x="62"/>
        <item x="9"/>
        <item x="45"/>
        <item x="56"/>
        <item x="80"/>
        <item x="79"/>
        <item x="63"/>
        <item x="64"/>
        <item x="66"/>
        <item x="81"/>
        <item x="65"/>
        <item x="67"/>
        <item x="68"/>
        <item x="69"/>
        <item x="82"/>
        <item x="72"/>
        <item x="70"/>
        <item x="83"/>
        <item x="73"/>
        <item x="74"/>
        <item x="75"/>
        <item x="84"/>
        <item x="76"/>
        <item x="77"/>
        <item x="78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2"/>
        <item x="3"/>
        <item x="4"/>
        <item x="5"/>
        <item x="6"/>
        <item x="7"/>
        <item x="8"/>
        <item x="10"/>
        <item x="11"/>
        <item x="12"/>
        <item x="13"/>
      </items>
    </pivotField>
    <pivotField axis="axisRow" subtotalTop="0" showAll="0" insertBlankRow="1" defaultSubtotal="0">
      <items count="2">
        <item x="0"/>
        <item x="1"/>
      </items>
    </pivotField>
    <pivotField subtotalTop="0" showAll="0" insertBlankRow="1" defaultSubtotal="0"/>
    <pivotField subtotalTop="0" showAll="0" insertBlankRow="1" defaultSubtotal="0"/>
    <pivotField subtotalTop="0" showAll="0" insertBlankRow="1" defaultSubtotal="0"/>
    <pivotField numFmtId="20" subtotalTop="0" showAll="0" insertBlankRow="1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subtotalTop="0" showAll="0" insertBlankRow="1" defaultSubtotal="0"/>
    <pivotField subtotalTop="0" showAll="0" insertBlankRow="1" defaultSubtotal="0"/>
    <pivotField subtotalTop="0" showAll="0" insertBlankRow="1" defaultSubtotal="0"/>
    <pivotField numFmtId="3" subtotalTop="0" showAll="0" insertBlankRow="1" defaultSubtotal="0"/>
    <pivotField numFmtId="3" subtotalTop="0" showAll="0" insertBlankRow="1" defaultSubtotal="0"/>
    <pivotField numFmtId="3" subtotalTop="0" showAll="0" insertBlankRow="1" defaultSubtotal="0"/>
    <pivotField numFmtId="3" subtotalTop="0" showAll="0" insertBlankRow="1" defaultSubtotal="0"/>
    <pivotField numFmtId="3" subtotalTop="0" showAll="0" insertBlankRow="1" defaultSubtotal="0"/>
    <pivotField numFmtId="3" subtotalTop="0" showAll="0" insertBlankRow="1" defaultSubtotal="0"/>
    <pivotField subtotalTop="0" showAll="0" insertBlankRow="1" defaultSubtotal="0"/>
    <pivotField numFmtId="3" subtotalTop="0" showAll="0" insertBlankRow="1" defaultSubtotal="0"/>
    <pivotField numFmtId="1" subtotalTop="0" showAll="0" insertBlankRow="1" defaultSubtotal="0"/>
    <pivotField numFmtId="1" subtotalTop="0" showAll="0" insertBlankRow="1" defaultSubtotal="0"/>
    <pivotField numFmtId="1" subtotalTop="0" showAll="0" insertBlankRow="1" defaultSubtotal="0"/>
    <pivotField dataField="1" subtotalTop="0" dragToRow="0" dragToCol="0" dragToPage="0" showAll="0" insertBlankRow="1" defaultSubtotal="0"/>
    <pivotField dataField="1" subtotalTop="0" dragToRow="0" dragToCol="0" dragToPage="0" showAll="0" insertBlankRow="1" defaultSubtotal="0"/>
    <pivotField dataField="1" subtotalTop="0" dragToRow="0" dragToCol="0" dragToPage="0" showAll="0" insertBlankRow="1" defaultSubtotal="0"/>
    <pivotField dataField="1" subtotalTop="0" dragToRow="0" dragToCol="0" dragToPage="0" showAll="0" insertBlankRow="1" defaultSubtotal="0"/>
    <pivotField subtotalTop="0" showAll="0" insertBlankRow="1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5"/>
    <field x="3"/>
  </rowFields>
  <rowItems count="18">
    <i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t="blank">
      <x v="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Delivery Rate (DR)" fld="24" baseField="5" baseItem="0" numFmtId="10"/>
    <dataField name="Open Rate (OR)" fld="25" baseField="5" baseItem="0" numFmtId="3"/>
    <dataField name="Click To Open Rate (CTOR)" fld="26" baseField="5" baseItem="0" numFmtId="3"/>
    <dataField name="Unsubscribe Rate (UR)" fld="27" baseField="5" baseItem="0" numFmtId="3"/>
  </dataFields>
  <formats count="14">
    <format dxfId="13">
      <pivotArea outline="0" collapsedLevelsAreSubtotals="1" fieldPosition="0"/>
    </format>
    <format dxfId="12">
      <pivotArea dataOnly="0" labelOnly="1" outline="0" axis="axisValues" fieldPosition="0"/>
    </format>
    <format dxfId="11">
      <pivotArea field="5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5" type="button" dataOnly="0" labelOnly="1" outline="0" axis="axisRow" fieldPosition="0"/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5" type="button" dataOnly="0" labelOnly="1" outline="0" axis="axisRow" fieldPosition="0"/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Unbeliev4ble/mail_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B12F1-9A48-4B49-B75E-36129727F984}">
  <dimension ref="A2:E217"/>
  <sheetViews>
    <sheetView zoomScale="190" zoomScaleNormal="190" workbookViewId="0">
      <selection activeCell="G23" sqref="G23"/>
    </sheetView>
  </sheetViews>
  <sheetFormatPr defaultRowHeight="12.75"/>
  <cols>
    <col min="1" max="1" width="10.42578125" bestFit="1" customWidth="1"/>
    <col min="2" max="2" width="17.7109375" style="35" bestFit="1" customWidth="1"/>
    <col min="3" max="3" width="15.140625" bestFit="1" customWidth="1"/>
    <col min="4" max="4" width="25.85546875" bestFit="1" customWidth="1"/>
    <col min="5" max="5" width="21.42578125" bestFit="1" customWidth="1"/>
  </cols>
  <sheetData>
    <row r="2" spans="1:5" s="34" customFormat="1" ht="33.75" customHeight="1">
      <c r="A2" s="37" t="s">
        <v>935</v>
      </c>
      <c r="B2" s="37" t="s">
        <v>931</v>
      </c>
      <c r="C2" s="37" t="s">
        <v>932</v>
      </c>
      <c r="D2" s="37" t="s">
        <v>933</v>
      </c>
      <c r="E2" s="37" t="s">
        <v>934</v>
      </c>
    </row>
    <row r="3" spans="1:5">
      <c r="A3" s="39">
        <v>44301</v>
      </c>
      <c r="B3" s="38">
        <v>0.95</v>
      </c>
      <c r="C3" s="38">
        <v>0.14410000000000001</v>
      </c>
      <c r="D3" s="38">
        <v>3.9E-2</v>
      </c>
      <c r="E3" s="38">
        <v>6.8999999999999999E-3</v>
      </c>
    </row>
    <row r="4" spans="1:5">
      <c r="A4" s="39">
        <v>44307</v>
      </c>
      <c r="B4" s="38">
        <v>0.95000000000000007</v>
      </c>
      <c r="C4" s="38">
        <v>0.13980000000000001</v>
      </c>
      <c r="D4" s="38">
        <v>7.2000000000000008E-2</v>
      </c>
      <c r="E4" s="38">
        <v>6.8999999999999999E-3</v>
      </c>
    </row>
    <row r="5" spans="1:5">
      <c r="A5" s="39">
        <v>44308</v>
      </c>
      <c r="B5" s="38">
        <v>0.95</v>
      </c>
      <c r="C5" s="38">
        <v>0.1595</v>
      </c>
      <c r="D5" s="38">
        <v>0.12</v>
      </c>
      <c r="E5" s="38">
        <v>6.8999999999999999E-3</v>
      </c>
    </row>
    <row r="6" spans="1:5">
      <c r="A6" s="39">
        <v>44309</v>
      </c>
      <c r="B6" s="38">
        <v>0.95000000000000007</v>
      </c>
      <c r="C6" s="38">
        <v>0.16320000000000001</v>
      </c>
      <c r="D6" s="38">
        <v>0.09</v>
      </c>
      <c r="E6" s="38">
        <v>6.8999999999999999E-3</v>
      </c>
    </row>
    <row r="7" spans="1:5">
      <c r="A7" s="39">
        <v>44316</v>
      </c>
      <c r="B7" s="38">
        <v>0.95000000000000007</v>
      </c>
      <c r="C7" s="38">
        <v>0.14410000000000001</v>
      </c>
      <c r="D7" s="38">
        <v>8.4000000000000005E-2</v>
      </c>
      <c r="E7" s="38">
        <v>6.9000000000000008E-3</v>
      </c>
    </row>
    <row r="8" spans="1:5">
      <c r="A8" s="39">
        <v>44321</v>
      </c>
      <c r="B8" s="38">
        <v>0.95</v>
      </c>
      <c r="C8" s="38">
        <v>0.1595</v>
      </c>
      <c r="D8" s="38">
        <v>7.2000000000000008E-2</v>
      </c>
      <c r="E8" s="38">
        <v>6.3E-3</v>
      </c>
    </row>
    <row r="9" spans="1:5">
      <c r="A9" s="39">
        <v>44322</v>
      </c>
      <c r="B9" s="38">
        <v>0.98499999999999999</v>
      </c>
      <c r="C9" s="38">
        <v>0.13980000000000001</v>
      </c>
      <c r="D9" s="38">
        <v>8.4000000000000005E-2</v>
      </c>
      <c r="E9" s="38">
        <v>6.3000000000000009E-3</v>
      </c>
    </row>
    <row r="10" spans="1:5">
      <c r="A10" s="39">
        <v>44327</v>
      </c>
      <c r="B10" s="38">
        <v>0.95</v>
      </c>
      <c r="C10" s="38">
        <v>0.16320000000000001</v>
      </c>
      <c r="D10" s="38">
        <v>0.12000000000000001</v>
      </c>
      <c r="E10" s="38">
        <v>6.3E-3</v>
      </c>
    </row>
    <row r="11" spans="1:5">
      <c r="A11" s="39">
        <v>44342</v>
      </c>
      <c r="B11" s="38">
        <v>0.95000000000000007</v>
      </c>
      <c r="C11" s="38">
        <v>0.14410000000000001</v>
      </c>
      <c r="D11" s="38">
        <v>0.09</v>
      </c>
      <c r="E11" s="38">
        <v>6.3E-3</v>
      </c>
    </row>
    <row r="12" spans="1:5">
      <c r="A12" s="39">
        <v>44350</v>
      </c>
      <c r="B12" s="38">
        <v>0.98</v>
      </c>
      <c r="C12" s="38">
        <v>0.15950000000000003</v>
      </c>
      <c r="D12" s="38">
        <v>3.9E-2</v>
      </c>
      <c r="E12" s="38">
        <v>6.3000000000000009E-3</v>
      </c>
    </row>
    <row r="13" spans="1:5">
      <c r="A13" s="39">
        <v>44358</v>
      </c>
      <c r="B13" s="38">
        <v>0.98</v>
      </c>
      <c r="C13" s="38">
        <v>0.15142217899707427</v>
      </c>
      <c r="D13" s="38">
        <v>8.6271417301607228E-2</v>
      </c>
      <c r="E13" s="38">
        <v>6.3E-3</v>
      </c>
    </row>
    <row r="14" spans="1:5">
      <c r="A14" s="39">
        <v>44364</v>
      </c>
      <c r="B14" s="38">
        <v>0.9831340244637693</v>
      </c>
      <c r="C14" s="38">
        <v>0.15326895780543706</v>
      </c>
      <c r="D14" s="38">
        <v>8.4072045142952495E-2</v>
      </c>
      <c r="E14" s="38">
        <v>6.0889836460913237E-3</v>
      </c>
    </row>
    <row r="15" spans="1:5">
      <c r="A15" s="39">
        <v>44370</v>
      </c>
      <c r="B15" s="38">
        <v>0.98</v>
      </c>
      <c r="C15" s="38">
        <v>0.16320000000000001</v>
      </c>
      <c r="D15" s="38">
        <v>8.4000000000000005E-2</v>
      </c>
      <c r="E15" s="38">
        <v>6.0000000000000001E-3</v>
      </c>
    </row>
    <row r="16" spans="1:5">
      <c r="A16" s="39">
        <v>44371</v>
      </c>
      <c r="B16" s="38">
        <v>0.98</v>
      </c>
      <c r="C16" s="38">
        <v>0.14410000000000001</v>
      </c>
      <c r="D16" s="38">
        <v>3.9E-2</v>
      </c>
      <c r="E16" s="38">
        <v>6.0000000000000001E-3</v>
      </c>
    </row>
    <row r="17" spans="1:5">
      <c r="A17" s="39">
        <v>44372</v>
      </c>
      <c r="B17" s="38">
        <v>0.98499999999999999</v>
      </c>
      <c r="C17" s="38">
        <v>0.13980000000000001</v>
      </c>
      <c r="D17" s="38">
        <v>7.2000000000000008E-2</v>
      </c>
      <c r="E17" s="38">
        <v>6.0000000000000001E-3</v>
      </c>
    </row>
    <row r="18" spans="1:5">
      <c r="A18" s="39">
        <v>44376</v>
      </c>
      <c r="B18" s="38">
        <v>0.97999999999999987</v>
      </c>
      <c r="C18" s="38">
        <v>0.1595</v>
      </c>
      <c r="D18" s="38">
        <v>0.12</v>
      </c>
      <c r="E18" s="38">
        <v>6.0000000000000001E-3</v>
      </c>
    </row>
    <row r="19" spans="1:5">
      <c r="A19" s="39">
        <v>44377</v>
      </c>
      <c r="B19" s="38">
        <v>0.9826045759175942</v>
      </c>
      <c r="C19" s="38">
        <v>0.15322626484211133</v>
      </c>
      <c r="D19" s="38">
        <v>9.5572001915618987E-2</v>
      </c>
      <c r="E19" s="38">
        <v>6.3E-3</v>
      </c>
    </row>
    <row r="20" spans="1:5">
      <c r="A20" s="39">
        <v>44387</v>
      </c>
      <c r="B20" s="38">
        <v>0.98</v>
      </c>
      <c r="C20" s="38">
        <v>0.16319999999999998</v>
      </c>
      <c r="D20" s="38">
        <v>0.09</v>
      </c>
      <c r="E20" s="38">
        <v>6.0000000000000001E-3</v>
      </c>
    </row>
    <row r="21" spans="1:5">
      <c r="A21" s="39">
        <v>44390</v>
      </c>
      <c r="B21" s="38">
        <v>0.98499999999999999</v>
      </c>
      <c r="C21" s="38">
        <v>0.14410000000000001</v>
      </c>
      <c r="D21" s="38">
        <v>8.4000000000000005E-2</v>
      </c>
      <c r="E21" s="38">
        <v>6.0000000000000001E-3</v>
      </c>
    </row>
    <row r="22" spans="1:5">
      <c r="A22" s="39">
        <v>44392</v>
      </c>
      <c r="B22" s="38">
        <v>0.98</v>
      </c>
      <c r="C22" s="38">
        <v>0.13980000000000001</v>
      </c>
      <c r="D22" s="38">
        <v>3.9E-2</v>
      </c>
      <c r="E22" s="38">
        <v>6.0000000000000001E-3</v>
      </c>
    </row>
    <row r="23" spans="1:5">
      <c r="A23" s="39">
        <v>44398</v>
      </c>
      <c r="B23" s="38">
        <v>0.98</v>
      </c>
      <c r="C23" s="38">
        <v>0.1595</v>
      </c>
      <c r="D23" s="38">
        <v>7.2000000000000008E-2</v>
      </c>
      <c r="E23" s="38">
        <v>6.0000000000000001E-3</v>
      </c>
    </row>
    <row r="24" spans="1:5">
      <c r="A24" s="39">
        <v>44401</v>
      </c>
      <c r="B24" s="38">
        <v>0.98</v>
      </c>
      <c r="C24" s="38">
        <v>0.14410000000000001</v>
      </c>
      <c r="D24" s="38">
        <v>0.09</v>
      </c>
      <c r="E24" s="38">
        <v>6.0000000000000001E-3</v>
      </c>
    </row>
    <row r="25" spans="1:5">
      <c r="A25" s="39">
        <v>44405</v>
      </c>
      <c r="B25" s="38">
        <v>0.98</v>
      </c>
      <c r="C25" s="38">
        <v>0.13980000000000001</v>
      </c>
      <c r="D25" s="38">
        <v>8.4000000000000005E-2</v>
      </c>
      <c r="E25" s="38">
        <v>6.0000000000000001E-3</v>
      </c>
    </row>
    <row r="26" spans="1:5">
      <c r="A26" s="39">
        <v>44411</v>
      </c>
      <c r="B26" s="38">
        <v>0.98499999999999999</v>
      </c>
      <c r="C26" s="38">
        <v>0.1105</v>
      </c>
      <c r="D26" s="38">
        <v>3.9E-2</v>
      </c>
      <c r="E26" s="38">
        <v>5.7999999999999996E-3</v>
      </c>
    </row>
    <row r="27" spans="1:5">
      <c r="A27" s="39">
        <v>44420</v>
      </c>
      <c r="B27" s="38">
        <v>0.98</v>
      </c>
      <c r="C27" s="38">
        <v>0.18</v>
      </c>
      <c r="D27" s="38">
        <v>7.2000000000000008E-2</v>
      </c>
      <c r="E27" s="38">
        <v>5.7999999999999996E-3</v>
      </c>
    </row>
    <row r="28" spans="1:5">
      <c r="A28" s="39">
        <v>44425</v>
      </c>
      <c r="B28" s="38">
        <v>0.97999999999999987</v>
      </c>
      <c r="C28" s="38">
        <v>0.17430000000000001</v>
      </c>
      <c r="D28" s="38">
        <v>0.11999999999999998</v>
      </c>
      <c r="E28" s="38">
        <v>5.8999999999999999E-3</v>
      </c>
    </row>
    <row r="29" spans="1:5">
      <c r="A29" s="39">
        <v>44428</v>
      </c>
      <c r="B29" s="38">
        <v>0.9850000000000001</v>
      </c>
      <c r="C29" s="38">
        <v>0.1105</v>
      </c>
      <c r="D29" s="38">
        <v>0.09</v>
      </c>
      <c r="E29" s="38">
        <v>5.6999999999999993E-3</v>
      </c>
    </row>
    <row r="30" spans="1:5">
      <c r="A30" s="39">
        <v>44432</v>
      </c>
      <c r="B30" s="38">
        <v>0.98</v>
      </c>
      <c r="C30" s="38">
        <v>0.18</v>
      </c>
      <c r="D30" s="38">
        <v>8.4000000000000005E-2</v>
      </c>
      <c r="E30" s="38">
        <v>5.6999999999999993E-3</v>
      </c>
    </row>
    <row r="31" spans="1:5">
      <c r="A31" s="39">
        <v>44438</v>
      </c>
      <c r="B31" s="38">
        <v>0.98</v>
      </c>
      <c r="C31" s="38">
        <v>0.17430000000000001</v>
      </c>
      <c r="D31" s="38">
        <v>3.9E-2</v>
      </c>
      <c r="E31" s="38">
        <v>5.0000000000000001E-3</v>
      </c>
    </row>
    <row r="32" spans="1:5">
      <c r="A32" s="39">
        <v>44440</v>
      </c>
      <c r="B32" s="38">
        <v>0.98499999999999999</v>
      </c>
      <c r="C32" s="38">
        <v>0.11049999999999999</v>
      </c>
      <c r="D32" s="38">
        <v>8.4000000000000005E-2</v>
      </c>
      <c r="E32" s="38">
        <v>5.6999999999999993E-3</v>
      </c>
    </row>
    <row r="33" spans="1:5">
      <c r="A33" s="39">
        <v>44447</v>
      </c>
      <c r="B33" s="38">
        <v>0.97000000000000008</v>
      </c>
      <c r="C33" s="38">
        <v>9.1999999999999998E-2</v>
      </c>
      <c r="D33" s="38">
        <v>3.9E-2</v>
      </c>
      <c r="E33" s="38">
        <v>5.0000000000000001E-3</v>
      </c>
    </row>
    <row r="34" spans="1:5">
      <c r="A34" s="39">
        <v>44448</v>
      </c>
      <c r="B34" s="38">
        <v>0.98499999999999988</v>
      </c>
      <c r="C34" s="38">
        <v>0.1105</v>
      </c>
      <c r="D34" s="38">
        <v>7.2000000000000008E-2</v>
      </c>
      <c r="E34" s="38">
        <v>5.7999999999999996E-3</v>
      </c>
    </row>
    <row r="35" spans="1:5">
      <c r="A35" s="39">
        <v>44452</v>
      </c>
      <c r="B35" s="38">
        <v>0.97</v>
      </c>
      <c r="C35" s="38">
        <v>0.17430000000000001</v>
      </c>
      <c r="D35" s="38">
        <v>7.2000000000000008E-2</v>
      </c>
      <c r="E35" s="38">
        <v>5.7999999999999996E-3</v>
      </c>
    </row>
    <row r="36" spans="1:5">
      <c r="A36" s="39">
        <v>44455</v>
      </c>
      <c r="B36" s="38">
        <v>0.98</v>
      </c>
      <c r="C36" s="38">
        <v>0.18</v>
      </c>
      <c r="D36" s="38">
        <v>0.12</v>
      </c>
      <c r="E36" s="38">
        <v>5.8999999999999999E-3</v>
      </c>
    </row>
    <row r="37" spans="1:5">
      <c r="A37" s="39">
        <v>44456</v>
      </c>
      <c r="B37" s="38">
        <v>0.97</v>
      </c>
      <c r="C37" s="38">
        <v>0.1105</v>
      </c>
      <c r="D37" s="38">
        <v>0.12</v>
      </c>
      <c r="E37" s="38">
        <v>5.9000000000000007E-3</v>
      </c>
    </row>
    <row r="38" spans="1:5">
      <c r="A38" s="39">
        <v>44461</v>
      </c>
      <c r="B38" s="38">
        <v>0.97</v>
      </c>
      <c r="C38" s="38">
        <v>9.2000000000000012E-2</v>
      </c>
      <c r="D38" s="38">
        <v>0.09</v>
      </c>
      <c r="E38" s="38">
        <v>5.6999999999999993E-3</v>
      </c>
    </row>
    <row r="39" spans="1:5">
      <c r="A39" s="39">
        <v>44470</v>
      </c>
      <c r="B39" s="38">
        <v>0.97</v>
      </c>
      <c r="C39" s="38">
        <v>0.1105</v>
      </c>
      <c r="D39" s="38">
        <v>7.2000000000000008E-2</v>
      </c>
      <c r="E39" s="38">
        <v>5.7999999999999987E-3</v>
      </c>
    </row>
    <row r="40" spans="1:5">
      <c r="A40" s="39">
        <v>44475</v>
      </c>
      <c r="B40" s="38">
        <v>0.97</v>
      </c>
      <c r="C40" s="38">
        <v>0.18</v>
      </c>
      <c r="D40" s="38">
        <v>0.12</v>
      </c>
      <c r="E40" s="38">
        <v>5.8999999999999999E-3</v>
      </c>
    </row>
    <row r="41" spans="1:5">
      <c r="A41" s="39">
        <v>44477</v>
      </c>
      <c r="B41" s="38">
        <v>0.97000000000000008</v>
      </c>
      <c r="C41" s="38">
        <v>0.17430000000000001</v>
      </c>
      <c r="D41" s="38">
        <v>8.4000000000000005E-2</v>
      </c>
      <c r="E41" s="38">
        <v>5.6999999999999993E-3</v>
      </c>
    </row>
    <row r="42" spans="1:5">
      <c r="A42" s="39">
        <v>44482</v>
      </c>
      <c r="B42" s="38">
        <v>0.97000000000000008</v>
      </c>
      <c r="C42" s="38">
        <v>0.17430000000000001</v>
      </c>
      <c r="D42" s="38">
        <v>0.09</v>
      </c>
      <c r="E42" s="38">
        <v>5.6999999999999993E-3</v>
      </c>
    </row>
    <row r="43" spans="1:5">
      <c r="A43" s="39">
        <v>44484</v>
      </c>
      <c r="B43" s="38">
        <v>0.97000000000000008</v>
      </c>
      <c r="C43" s="38">
        <v>0.14000000000000001</v>
      </c>
      <c r="D43" s="38">
        <v>3.9E-2</v>
      </c>
      <c r="E43" s="38">
        <v>5.0000000000000001E-3</v>
      </c>
    </row>
    <row r="44" spans="1:5">
      <c r="A44" s="39">
        <v>44485</v>
      </c>
      <c r="B44" s="38">
        <v>0.97000000000000008</v>
      </c>
      <c r="C44" s="38">
        <v>9.1999999999999998E-2</v>
      </c>
      <c r="D44" s="38">
        <v>3.9E-2</v>
      </c>
      <c r="E44" s="38">
        <v>5.0000000000000001E-3</v>
      </c>
    </row>
    <row r="45" spans="1:5">
      <c r="A45" s="39">
        <v>44487</v>
      </c>
      <c r="B45" s="38">
        <v>0.97</v>
      </c>
      <c r="C45" s="38">
        <v>0.17430000000000004</v>
      </c>
      <c r="D45" s="38">
        <v>7.2000000000000008E-2</v>
      </c>
      <c r="E45" s="38">
        <v>5.7999999999999987E-3</v>
      </c>
    </row>
    <row r="46" spans="1:5">
      <c r="A46" s="39">
        <v>44495</v>
      </c>
      <c r="B46" s="38">
        <v>0.97000000000000008</v>
      </c>
      <c r="C46" s="38">
        <v>9.5581662640738932E-2</v>
      </c>
      <c r="D46" s="38">
        <v>9.6714627124195596E-2</v>
      </c>
      <c r="E46" s="38">
        <v>5.7387206771971778E-3</v>
      </c>
    </row>
    <row r="47" spans="1:5">
      <c r="A47" s="39">
        <v>44496</v>
      </c>
      <c r="B47" s="38">
        <v>0.95000000000000007</v>
      </c>
      <c r="C47" s="38">
        <v>0.19999999999999998</v>
      </c>
      <c r="D47" s="38">
        <v>0.12</v>
      </c>
      <c r="E47" s="38">
        <v>0.01</v>
      </c>
    </row>
    <row r="48" spans="1:5">
      <c r="A48" s="39">
        <v>44498</v>
      </c>
      <c r="B48" s="38">
        <v>0.98302896689904218</v>
      </c>
      <c r="C48" s="38">
        <v>0.12056840173399207</v>
      </c>
      <c r="D48" s="38">
        <v>8.7838955558094303E-2</v>
      </c>
      <c r="E48" s="38">
        <v>6.5047337214979101E-2</v>
      </c>
    </row>
    <row r="49" spans="1:5">
      <c r="A49" s="39">
        <v>44499</v>
      </c>
      <c r="B49" s="38">
        <v>0.97</v>
      </c>
      <c r="C49" s="38">
        <v>0.13154678121914418</v>
      </c>
      <c r="D49" s="38">
        <v>6.5353141511357835E-2</v>
      </c>
      <c r="E49" s="38">
        <v>5.4880180308863177E-3</v>
      </c>
    </row>
    <row r="50" spans="1:5">
      <c r="A50" s="39">
        <v>44502</v>
      </c>
      <c r="B50" s="38">
        <v>0.97</v>
      </c>
      <c r="C50" s="38">
        <v>0.13582312980669867</v>
      </c>
      <c r="D50" s="38">
        <v>9.5550972267815698E-2</v>
      </c>
      <c r="E50" s="38">
        <v>5.860308573970692E-3</v>
      </c>
    </row>
    <row r="51" spans="1:5">
      <c r="A51" s="39">
        <v>44503</v>
      </c>
      <c r="B51" s="38">
        <v>0.98086990485306824</v>
      </c>
      <c r="C51" s="38">
        <v>0.15655750999067714</v>
      </c>
      <c r="D51" s="38">
        <v>8.3331518832123017E-2</v>
      </c>
      <c r="E51" s="38">
        <v>3.179274823361309E-2</v>
      </c>
    </row>
    <row r="52" spans="1:5">
      <c r="A52" s="39">
        <v>44505</v>
      </c>
      <c r="B52" s="38">
        <v>0.96892966213045628</v>
      </c>
      <c r="C52" s="38">
        <v>0.13355326614071431</v>
      </c>
      <c r="D52" s="38">
        <v>8.7387444535068443E-2</v>
      </c>
      <c r="E52" s="38">
        <v>6.8370038925844243E-3</v>
      </c>
    </row>
    <row r="53" spans="1:5">
      <c r="A53" s="39">
        <v>44509</v>
      </c>
      <c r="B53" s="38">
        <v>0.97</v>
      </c>
      <c r="C53" s="38">
        <v>0.10126496355230398</v>
      </c>
      <c r="D53" s="38">
        <v>9.8231087216217622E-2</v>
      </c>
      <c r="E53" s="38">
        <v>5.8500808840665072E-3</v>
      </c>
    </row>
    <row r="54" spans="1:5">
      <c r="A54" s="39">
        <v>44510</v>
      </c>
      <c r="B54" s="38">
        <v>0.97527530394614459</v>
      </c>
      <c r="C54" s="38">
        <v>0.1519550643643548</v>
      </c>
      <c r="D54" s="38">
        <v>9.382182458894911E-2</v>
      </c>
      <c r="E54" s="38">
        <v>6.2333780271331277E-3</v>
      </c>
    </row>
    <row r="55" spans="1:5">
      <c r="A55" s="39">
        <v>44511</v>
      </c>
      <c r="B55" s="38">
        <v>0.98</v>
      </c>
      <c r="C55" s="38">
        <v>0.17430000000000001</v>
      </c>
      <c r="D55" s="38">
        <v>9.0000000000000011E-2</v>
      </c>
      <c r="E55" s="38">
        <v>5.6999999999999993E-3</v>
      </c>
    </row>
    <row r="56" spans="1:5">
      <c r="A56" s="39">
        <v>44512</v>
      </c>
      <c r="B56" s="38">
        <v>0.98039640961627417</v>
      </c>
      <c r="C56" s="38">
        <v>0.1308828329791823</v>
      </c>
      <c r="D56" s="38">
        <v>7.6567460859756756E-2</v>
      </c>
      <c r="E56" s="38">
        <v>2.6830557964017707E-2</v>
      </c>
    </row>
    <row r="57" spans="1:5">
      <c r="A57" s="39">
        <v>44529</v>
      </c>
      <c r="B57" s="38">
        <v>0.98499999999999999</v>
      </c>
      <c r="C57" s="38">
        <v>0.1105</v>
      </c>
      <c r="D57" s="38">
        <v>7.2000000000000008E-2</v>
      </c>
      <c r="E57" s="38">
        <v>0.13</v>
      </c>
    </row>
    <row r="58" spans="1:5">
      <c r="A58" s="39">
        <v>44530</v>
      </c>
      <c r="B58" s="38">
        <v>0.98</v>
      </c>
      <c r="C58" s="38">
        <v>9.1999999999999998E-2</v>
      </c>
      <c r="D58" s="38">
        <v>0.12</v>
      </c>
      <c r="E58" s="38">
        <v>0.13</v>
      </c>
    </row>
    <row r="59" spans="1:5">
      <c r="A59" s="39">
        <v>44532</v>
      </c>
      <c r="B59" s="38">
        <v>0.98232725889699712</v>
      </c>
      <c r="C59" s="38">
        <v>0.1190700611238294</v>
      </c>
      <c r="D59" s="38">
        <v>7.3446577905267652E-2</v>
      </c>
      <c r="E59" s="38">
        <v>5.4490261441381745E-3</v>
      </c>
    </row>
    <row r="60" spans="1:5">
      <c r="A60" s="39">
        <v>44536</v>
      </c>
      <c r="B60" s="38">
        <v>0.98095354350056663</v>
      </c>
      <c r="C60" s="38">
        <v>0.10238745522567994</v>
      </c>
      <c r="D60" s="38">
        <v>7.4646978471655245E-2</v>
      </c>
      <c r="E60" s="38">
        <v>8.4253597118004245E-2</v>
      </c>
    </row>
    <row r="61" spans="1:5">
      <c r="A61" s="39">
        <v>44539</v>
      </c>
      <c r="B61" s="38">
        <v>0.9829526852452305</v>
      </c>
      <c r="C61" s="38">
        <v>0.17999999999999997</v>
      </c>
      <c r="D61" s="38">
        <v>7.9348193420952895E-2</v>
      </c>
      <c r="E61" s="38">
        <v>4.8202408772062815E-3</v>
      </c>
    </row>
    <row r="62" spans="1:5">
      <c r="A62" s="39">
        <v>44540</v>
      </c>
      <c r="B62" s="38">
        <v>0.98384120036800804</v>
      </c>
      <c r="C62" s="38">
        <v>0.12522855338108632</v>
      </c>
      <c r="D62" s="38">
        <v>8.5927900820505457E-2</v>
      </c>
      <c r="E62" s="38">
        <v>0.13</v>
      </c>
    </row>
    <row r="63" spans="1:5">
      <c r="A63" s="39">
        <v>44543</v>
      </c>
      <c r="B63" s="38">
        <v>0.98</v>
      </c>
      <c r="C63" s="38">
        <v>0.14938968091118773</v>
      </c>
      <c r="D63" s="38">
        <v>9.3611801064678965E-2</v>
      </c>
      <c r="E63" s="38">
        <v>7.4945469264726103E-2</v>
      </c>
    </row>
    <row r="64" spans="1:5">
      <c r="A64" s="39">
        <v>44545</v>
      </c>
      <c r="B64" s="38">
        <v>0.98363513986043383</v>
      </c>
      <c r="C64" s="38">
        <v>0.15694874608315684</v>
      </c>
      <c r="D64" s="38">
        <v>7.5383574684885629E-2</v>
      </c>
      <c r="E64" s="38">
        <v>3.2640183862316366E-3</v>
      </c>
    </row>
    <row r="65" spans="1:5">
      <c r="A65" s="39">
        <v>44546</v>
      </c>
      <c r="B65" s="38">
        <v>0.98103802191981582</v>
      </c>
      <c r="C65" s="38">
        <v>0.12780769460773025</v>
      </c>
      <c r="D65" s="38">
        <v>7.9033607184980037E-2</v>
      </c>
      <c r="E65" s="38">
        <v>6.2623138196059497E-2</v>
      </c>
    </row>
    <row r="66" spans="1:5">
      <c r="A66" s="39">
        <v>44550</v>
      </c>
      <c r="B66" s="38">
        <v>0.98138413174929706</v>
      </c>
      <c r="C66" s="38">
        <v>0.12940729930030956</v>
      </c>
      <c r="D66" s="38">
        <v>8.4811620234271634E-2</v>
      </c>
      <c r="E66" s="38">
        <v>7.9611301617655103E-2</v>
      </c>
    </row>
    <row r="67" spans="1:5">
      <c r="A67" s="39">
        <v>44551</v>
      </c>
      <c r="B67" s="38">
        <v>0.98499999999999999</v>
      </c>
      <c r="C67" s="38">
        <v>0.17430000000000001</v>
      </c>
      <c r="D67" s="38">
        <v>0.09</v>
      </c>
      <c r="E67" s="38">
        <v>0.11</v>
      </c>
    </row>
    <row r="68" spans="1:5">
      <c r="A68" s="39">
        <v>44553</v>
      </c>
      <c r="B68" s="38">
        <v>0.98192891576881003</v>
      </c>
      <c r="C68" s="38">
        <v>0.14961005519591705</v>
      </c>
      <c r="D68" s="38">
        <v>4.8432240702782049E-2</v>
      </c>
      <c r="E68" s="38">
        <v>2.4613010269528479E-3</v>
      </c>
    </row>
    <row r="69" spans="1:5">
      <c r="A69" s="39">
        <v>44557</v>
      </c>
      <c r="B69" s="38">
        <v>0.9818205182677473</v>
      </c>
      <c r="C69" s="38">
        <v>0.14227940582093715</v>
      </c>
      <c r="D69" s="38">
        <v>7.8254428245630364E-2</v>
      </c>
      <c r="E69" s="38">
        <v>3.1171787067110555E-3</v>
      </c>
    </row>
    <row r="70" spans="1:5">
      <c r="A70" s="39">
        <v>44558</v>
      </c>
      <c r="B70" s="38">
        <v>0.98000000000000009</v>
      </c>
      <c r="C70" s="38">
        <v>0.1105</v>
      </c>
      <c r="D70" s="38">
        <v>8.4000000000000005E-2</v>
      </c>
      <c r="E70" s="38">
        <v>0.11</v>
      </c>
    </row>
    <row r="71" spans="1:5">
      <c r="A71" s="39">
        <v>44566</v>
      </c>
      <c r="B71" s="38">
        <v>0.98175604081308387</v>
      </c>
      <c r="C71" s="38">
        <v>0.12527589344966944</v>
      </c>
      <c r="D71" s="38">
        <v>6.5576041564882045E-2</v>
      </c>
      <c r="E71" s="38">
        <v>8.5222577519108514E-2</v>
      </c>
    </row>
    <row r="72" spans="1:5">
      <c r="A72" s="39">
        <v>44571</v>
      </c>
      <c r="B72" s="38">
        <v>0.98187030272677445</v>
      </c>
      <c r="C72" s="38">
        <v>0.13823782313929325</v>
      </c>
      <c r="D72" s="38">
        <v>0.10037253193363856</v>
      </c>
      <c r="E72" s="38">
        <v>5.0071765518165917E-2</v>
      </c>
    </row>
    <row r="73" spans="1:5">
      <c r="A73" s="39">
        <v>44574</v>
      </c>
      <c r="B73" s="38">
        <v>0.98036697850336685</v>
      </c>
      <c r="C73" s="38">
        <v>0.1144895888917333</v>
      </c>
      <c r="D73" s="38">
        <v>8.9058334374277279E-2</v>
      </c>
      <c r="E73" s="38">
        <v>5.3437801046683026E-2</v>
      </c>
    </row>
    <row r="74" spans="1:5">
      <c r="A74" s="39">
        <v>44575</v>
      </c>
      <c r="B74" s="38">
        <v>0.98237233200438334</v>
      </c>
      <c r="C74" s="38">
        <v>0.12930803361695559</v>
      </c>
      <c r="D74" s="38">
        <v>8.4037631331881329E-2</v>
      </c>
      <c r="E74" s="38">
        <v>0.11</v>
      </c>
    </row>
    <row r="75" spans="1:5">
      <c r="A75" s="39">
        <v>44578</v>
      </c>
      <c r="B75" s="38">
        <v>0.98499999999999999</v>
      </c>
      <c r="C75" s="38">
        <v>0.14635222731531819</v>
      </c>
      <c r="D75" s="38">
        <v>9.0000000000000011E-2</v>
      </c>
      <c r="E75" s="38">
        <v>5.3689453937393761E-3</v>
      </c>
    </row>
    <row r="76" spans="1:5">
      <c r="A76" s="39">
        <v>44580</v>
      </c>
      <c r="B76" s="38">
        <v>0.98109038167265905</v>
      </c>
      <c r="C76" s="38">
        <v>0.13766439233404382</v>
      </c>
      <c r="D76" s="38">
        <v>6.8871932471361835E-2</v>
      </c>
      <c r="E76" s="38">
        <v>1.5000000000000002E-3</v>
      </c>
    </row>
    <row r="77" spans="1:5">
      <c r="A77" s="39">
        <v>44581</v>
      </c>
      <c r="B77" s="38">
        <v>0.9812506521093397</v>
      </c>
      <c r="C77" s="38">
        <v>0.15828070251708179</v>
      </c>
      <c r="D77" s="38">
        <v>8.8948260107720251E-2</v>
      </c>
      <c r="E77" s="38">
        <v>1.5E-3</v>
      </c>
    </row>
    <row r="78" spans="1:5">
      <c r="A78" s="39">
        <v>44582</v>
      </c>
      <c r="B78" s="38">
        <v>0.98</v>
      </c>
      <c r="C78" s="38">
        <v>0.1105</v>
      </c>
      <c r="D78" s="38">
        <v>8.4000000000000005E-2</v>
      </c>
      <c r="E78" s="38">
        <v>9.0000000000000011E-3</v>
      </c>
    </row>
    <row r="79" spans="1:5">
      <c r="A79" s="39">
        <v>44586</v>
      </c>
      <c r="B79" s="38">
        <v>0.98000000000000009</v>
      </c>
      <c r="C79" s="38">
        <v>0.16130288896438016</v>
      </c>
      <c r="D79" s="38">
        <v>5.3927767204598256E-2</v>
      </c>
      <c r="E79" s="38">
        <v>9.0000000000000011E-3</v>
      </c>
    </row>
    <row r="80" spans="1:5">
      <c r="A80" s="39">
        <v>44588</v>
      </c>
      <c r="B80" s="38">
        <v>0.98137914211725341</v>
      </c>
      <c r="C80" s="38">
        <v>0.11962552089504565</v>
      </c>
      <c r="D80" s="38">
        <v>7.0288109219650549E-2</v>
      </c>
      <c r="E80" s="38">
        <v>9.0000000000000011E-3</v>
      </c>
    </row>
    <row r="81" spans="1:5">
      <c r="A81" s="39">
        <v>44593</v>
      </c>
      <c r="B81" s="38">
        <v>0.98274488945513361</v>
      </c>
      <c r="C81" s="38">
        <v>0.14175848444676545</v>
      </c>
      <c r="D81" s="38">
        <v>0.10286722105814547</v>
      </c>
      <c r="E81" s="38">
        <v>9.0000000000000011E-3</v>
      </c>
    </row>
    <row r="82" spans="1:5">
      <c r="A82" s="39">
        <v>44595</v>
      </c>
      <c r="B82" s="38">
        <v>0.98236703891137922</v>
      </c>
      <c r="C82" s="38">
        <v>0.1440156316497237</v>
      </c>
      <c r="D82" s="38">
        <v>6.7610602089051564E-2</v>
      </c>
      <c r="E82" s="38">
        <v>9.0000000000000028E-3</v>
      </c>
    </row>
    <row r="83" spans="1:5">
      <c r="A83" s="39">
        <v>44600</v>
      </c>
      <c r="B83" s="38">
        <v>0.98187409631065981</v>
      </c>
      <c r="C83" s="38">
        <v>9.8956231995388749E-2</v>
      </c>
      <c r="D83" s="38">
        <v>7.9557775064376085E-2</v>
      </c>
      <c r="E83" s="38">
        <v>8.9999999999999993E-3</v>
      </c>
    </row>
    <row r="84" spans="1:5">
      <c r="A84" s="39">
        <v>44602</v>
      </c>
      <c r="B84" s="38">
        <v>0.98</v>
      </c>
      <c r="C84" s="38">
        <v>9.1999999999999998E-2</v>
      </c>
      <c r="D84" s="38">
        <v>8.4000000000000005E-2</v>
      </c>
      <c r="E84" s="38">
        <v>9.0000000000000011E-3</v>
      </c>
    </row>
    <row r="85" spans="1:5">
      <c r="A85" s="39">
        <v>44606</v>
      </c>
      <c r="B85" s="38">
        <v>0.98</v>
      </c>
      <c r="C85" s="38">
        <v>0.1105</v>
      </c>
      <c r="D85" s="38">
        <v>3.9E-2</v>
      </c>
      <c r="E85" s="38">
        <v>9.0000000000000011E-3</v>
      </c>
    </row>
    <row r="86" spans="1:5">
      <c r="A86" s="39">
        <v>44610</v>
      </c>
      <c r="B86" s="38">
        <v>0.98499999999999999</v>
      </c>
      <c r="C86" s="38">
        <v>0.18</v>
      </c>
      <c r="D86" s="38">
        <v>7.2000000000000008E-2</v>
      </c>
      <c r="E86" s="38">
        <v>9.0000000000000011E-3</v>
      </c>
    </row>
    <row r="87" spans="1:5">
      <c r="A87" s="39">
        <v>44615</v>
      </c>
      <c r="B87" s="38">
        <v>0.98124301290216331</v>
      </c>
      <c r="C87" s="38">
        <v>0.12516924186637307</v>
      </c>
      <c r="D87" s="38">
        <v>8.6902507980419264E-2</v>
      </c>
      <c r="E87" s="38">
        <v>9.0000000000000011E-3</v>
      </c>
    </row>
    <row r="88" spans="1:5">
      <c r="A88" s="39">
        <v>44630</v>
      </c>
      <c r="B88" s="38">
        <v>0.98</v>
      </c>
      <c r="C88" s="38">
        <v>0.17855280540509319</v>
      </c>
      <c r="D88" s="38">
        <v>8.3896631856092585E-2</v>
      </c>
      <c r="E88" s="38">
        <v>9.0000000000000011E-3</v>
      </c>
    </row>
    <row r="89" spans="1:5">
      <c r="A89" s="39">
        <v>44635</v>
      </c>
      <c r="B89" s="38">
        <v>0.98499999999999999</v>
      </c>
      <c r="C89" s="38">
        <v>0.1105</v>
      </c>
      <c r="D89" s="38">
        <v>0.09</v>
      </c>
      <c r="E89" s="38">
        <v>9.0000000000000011E-3</v>
      </c>
    </row>
    <row r="90" spans="1:5">
      <c r="A90" s="39">
        <v>44638</v>
      </c>
      <c r="B90" s="38">
        <v>0.98094286611651882</v>
      </c>
      <c r="C90" s="38">
        <v>0.13004290219537148</v>
      </c>
      <c r="D90" s="38">
        <v>6.7107482508509092E-2</v>
      </c>
      <c r="E90" s="38">
        <v>8.9999999999999993E-3</v>
      </c>
    </row>
    <row r="91" spans="1:5">
      <c r="A91" s="39">
        <v>44644</v>
      </c>
      <c r="B91" s="38">
        <v>0.98201695168212944</v>
      </c>
      <c r="C91" s="38">
        <v>0.1290748149845489</v>
      </c>
      <c r="D91" s="38">
        <v>8.0923494751068636E-2</v>
      </c>
      <c r="E91" s="38">
        <v>9.0000000000000011E-3</v>
      </c>
    </row>
    <row r="92" spans="1:5">
      <c r="A92" s="39">
        <v>44648</v>
      </c>
      <c r="B92" s="38">
        <v>0.98144621122720577</v>
      </c>
      <c r="C92" s="38">
        <v>0.1598248739556202</v>
      </c>
      <c r="D92" s="38">
        <v>8.5204205509521166E-2</v>
      </c>
      <c r="E92" s="38">
        <v>9.0000000000000011E-3</v>
      </c>
    </row>
    <row r="93" spans="1:5">
      <c r="A93" s="39">
        <v>44662</v>
      </c>
      <c r="B93" s="38">
        <v>0.95</v>
      </c>
      <c r="C93" s="38">
        <v>0.16</v>
      </c>
      <c r="D93" s="38">
        <v>8.4000000000000005E-2</v>
      </c>
      <c r="E93" s="38">
        <v>0.01</v>
      </c>
    </row>
    <row r="94" spans="1:5">
      <c r="A94" s="39">
        <v>44663</v>
      </c>
      <c r="B94" s="38">
        <v>0.95</v>
      </c>
      <c r="C94" s="38">
        <v>0.2</v>
      </c>
      <c r="D94" s="38">
        <v>3.9E-2</v>
      </c>
      <c r="E94" s="38">
        <v>0.01</v>
      </c>
    </row>
    <row r="95" spans="1:5">
      <c r="A95" s="39">
        <v>44664</v>
      </c>
      <c r="B95" s="38">
        <v>0.95</v>
      </c>
      <c r="C95" s="38">
        <v>0.18</v>
      </c>
      <c r="D95" s="38">
        <v>7.2000000000000008E-2</v>
      </c>
      <c r="E95" s="38">
        <v>0.01</v>
      </c>
    </row>
    <row r="96" spans="1:5">
      <c r="A96" s="39">
        <v>44665</v>
      </c>
      <c r="B96" s="38">
        <v>0.95</v>
      </c>
      <c r="C96" s="38">
        <v>0.14750419037252233</v>
      </c>
      <c r="D96" s="38">
        <v>8.0421754209183738E-2</v>
      </c>
      <c r="E96" s="38">
        <v>8.6999999999999994E-3</v>
      </c>
    </row>
    <row r="97" spans="1:5">
      <c r="A97" s="39">
        <v>44666</v>
      </c>
      <c r="B97" s="38">
        <v>0.95000000000000007</v>
      </c>
      <c r="C97" s="38">
        <v>0.16</v>
      </c>
      <c r="D97" s="38">
        <v>0.09</v>
      </c>
      <c r="E97" s="38">
        <v>8.6999999999999994E-3</v>
      </c>
    </row>
    <row r="98" spans="1:5">
      <c r="A98" s="39">
        <v>44673</v>
      </c>
      <c r="B98" s="38">
        <v>0.95</v>
      </c>
      <c r="C98" s="38">
        <v>0.14000000000000001</v>
      </c>
      <c r="D98" s="38">
        <v>9.8920534119118719E-2</v>
      </c>
      <c r="E98" s="38">
        <v>8.6999999999999977E-3</v>
      </c>
    </row>
    <row r="99" spans="1:5">
      <c r="A99" s="39">
        <v>44677</v>
      </c>
      <c r="B99" s="38">
        <v>0.94999999999999984</v>
      </c>
      <c r="C99" s="38">
        <v>0.14000000000000001</v>
      </c>
      <c r="D99" s="38">
        <v>7.4123606978780177E-2</v>
      </c>
      <c r="E99" s="38">
        <v>8.1396567168981245E-3</v>
      </c>
    </row>
    <row r="100" spans="1:5">
      <c r="A100" s="39">
        <v>44686</v>
      </c>
      <c r="B100" s="38">
        <v>0.95</v>
      </c>
      <c r="C100" s="38">
        <v>0.14000000000000001</v>
      </c>
      <c r="D100" s="38">
        <v>7.2000000000000008E-2</v>
      </c>
      <c r="E100" s="38">
        <v>6.8999999999999999E-3</v>
      </c>
    </row>
    <row r="101" spans="1:5">
      <c r="A101" s="39">
        <v>44693</v>
      </c>
      <c r="B101" s="38">
        <v>0.95</v>
      </c>
      <c r="C101" s="38">
        <v>0.14000000000000001</v>
      </c>
      <c r="D101" s="38">
        <v>0.12</v>
      </c>
      <c r="E101" s="38">
        <v>6.8999999999999999E-3</v>
      </c>
    </row>
    <row r="102" spans="1:5">
      <c r="A102" s="39">
        <v>44697</v>
      </c>
      <c r="B102" s="38">
        <v>0.95</v>
      </c>
      <c r="C102" s="38">
        <v>0.1595</v>
      </c>
      <c r="D102" s="38">
        <v>9.0000000000000011E-2</v>
      </c>
      <c r="E102" s="38">
        <v>6.899999999999999E-3</v>
      </c>
    </row>
    <row r="103" spans="1:5">
      <c r="A103" s="39">
        <v>44701</v>
      </c>
      <c r="B103" s="38">
        <v>0.95</v>
      </c>
      <c r="C103" s="38">
        <v>0.16320000000000001</v>
      </c>
      <c r="D103" s="38">
        <v>8.4000000000000005E-2</v>
      </c>
      <c r="E103" s="38">
        <v>6.8999999999999999E-3</v>
      </c>
    </row>
    <row r="104" spans="1:5">
      <c r="B104"/>
    </row>
    <row r="105" spans="1:5">
      <c r="B105"/>
    </row>
    <row r="106" spans="1:5">
      <c r="B106"/>
    </row>
    <row r="107" spans="1:5">
      <c r="B107"/>
    </row>
    <row r="108" spans="1:5">
      <c r="B108"/>
    </row>
    <row r="109" spans="1:5">
      <c r="B109"/>
    </row>
    <row r="110" spans="1:5">
      <c r="B110"/>
    </row>
    <row r="111" spans="1:5">
      <c r="B111"/>
    </row>
    <row r="112" spans="1:5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19"/>
  <sheetViews>
    <sheetView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AD23" sqref="AD23"/>
    </sheetView>
  </sheetViews>
  <sheetFormatPr defaultColWidth="13.7109375" defaultRowHeight="15.75" customHeight="1"/>
  <sheetData>
    <row r="1" spans="1:28" ht="22.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5" t="s">
        <v>7</v>
      </c>
      <c r="J1" s="6" t="s">
        <v>8</v>
      </c>
      <c r="K1" s="6" t="s">
        <v>9</v>
      </c>
      <c r="L1" s="7" t="s">
        <v>10</v>
      </c>
      <c r="M1" s="8" t="s">
        <v>11</v>
      </c>
      <c r="N1" s="9" t="s">
        <v>12</v>
      </c>
      <c r="O1" s="9" t="s">
        <v>13</v>
      </c>
      <c r="P1" s="10" t="s">
        <v>14</v>
      </c>
      <c r="Q1" s="9" t="s">
        <v>15</v>
      </c>
      <c r="R1" s="9" t="s">
        <v>16</v>
      </c>
      <c r="S1" s="9" t="s">
        <v>17</v>
      </c>
      <c r="T1" s="2" t="s">
        <v>18</v>
      </c>
      <c r="U1" s="10" t="s">
        <v>19</v>
      </c>
      <c r="V1" s="2" t="s">
        <v>20</v>
      </c>
      <c r="W1" s="2" t="s">
        <v>21</v>
      </c>
      <c r="X1" s="2" t="s">
        <v>22</v>
      </c>
      <c r="Y1" s="10" t="s">
        <v>936</v>
      </c>
      <c r="Z1" s="10" t="s">
        <v>937</v>
      </c>
      <c r="AA1" s="10" t="s">
        <v>938</v>
      </c>
      <c r="AB1" s="10" t="s">
        <v>939</v>
      </c>
    </row>
    <row r="2" spans="1:28" ht="15.75" customHeight="1">
      <c r="A2" s="11" t="s">
        <v>23</v>
      </c>
      <c r="B2" s="12" t="s">
        <v>24</v>
      </c>
      <c r="C2" s="13" t="s">
        <v>25</v>
      </c>
      <c r="D2" s="13" t="s">
        <v>26</v>
      </c>
      <c r="E2" s="14">
        <v>44496</v>
      </c>
      <c r="F2" s="15">
        <f t="shared" ref="F2:F219" si="0">YEAR(E2)</f>
        <v>2021</v>
      </c>
      <c r="G2" s="16">
        <f t="shared" ref="G2:G219" si="1">WEEKNUM(E2,15)</f>
        <v>43</v>
      </c>
      <c r="H2" s="16">
        <f t="shared" ref="H2:H219" si="2">WEEKDAY(E2,2)</f>
        <v>3</v>
      </c>
      <c r="I2" s="16" t="str">
        <f>VLOOKUP(H2,'Дни недели сортировка'!A:B,2,FALSE)</f>
        <v>03-среда</v>
      </c>
      <c r="J2" s="17">
        <v>0.80833333333333335</v>
      </c>
      <c r="K2" s="12" t="s">
        <v>27</v>
      </c>
      <c r="L2" s="12" t="s">
        <v>28</v>
      </c>
      <c r="M2" s="12" t="s">
        <v>29</v>
      </c>
      <c r="N2" s="18">
        <v>780789</v>
      </c>
      <c r="O2" s="18">
        <f t="shared" ref="O2:O28" si="3">N2-5%*N2</f>
        <v>741749.55</v>
      </c>
      <c r="P2" s="18">
        <f>O2*20%</f>
        <v>148349.91</v>
      </c>
      <c r="Q2" s="18">
        <f>P2*12%</f>
        <v>17801.9892</v>
      </c>
      <c r="R2" s="18">
        <f t="shared" ref="R2:R219" si="4">N2-O2</f>
        <v>39039.449999999953</v>
      </c>
      <c r="S2" s="18">
        <f t="shared" ref="S2:S6" si="5">O2*1%</f>
        <v>7417.4955000000009</v>
      </c>
      <c r="T2" s="12" t="s">
        <v>30</v>
      </c>
      <c r="U2" s="18">
        <v>16377.830064000002</v>
      </c>
      <c r="V2" s="19">
        <v>6336.5824517616002</v>
      </c>
      <c r="W2" s="19">
        <v>6209.8508027263679</v>
      </c>
      <c r="X2" s="19">
        <v>5154.1761662628851</v>
      </c>
      <c r="Y2" s="40">
        <f>ROUNDDOWN(U2,0)</f>
        <v>16377</v>
      </c>
      <c r="Z2" s="40">
        <f>ROUNDDOWN(V2,0)</f>
        <v>6336</v>
      </c>
      <c r="AA2" s="40">
        <f>ROUNDDOWN(W2,0)</f>
        <v>6209</v>
      </c>
      <c r="AB2" s="40">
        <f>ROUNDDOWN(X2,0)</f>
        <v>5154</v>
      </c>
    </row>
    <row r="3" spans="1:28" ht="15.75" customHeight="1">
      <c r="A3" s="11" t="s">
        <v>31</v>
      </c>
      <c r="B3" s="12" t="s">
        <v>32</v>
      </c>
      <c r="C3" s="13" t="s">
        <v>25</v>
      </c>
      <c r="D3" s="13" t="s">
        <v>33</v>
      </c>
      <c r="E3" s="14">
        <v>44505</v>
      </c>
      <c r="F3" s="15">
        <f t="shared" si="0"/>
        <v>2021</v>
      </c>
      <c r="G3" s="16">
        <f t="shared" si="1"/>
        <v>45</v>
      </c>
      <c r="H3" s="16">
        <f t="shared" si="2"/>
        <v>5</v>
      </c>
      <c r="I3" s="16" t="str">
        <f>VLOOKUP(H3,'Дни недели сортировка'!A:B,2,FALSE)</f>
        <v>05-пятница</v>
      </c>
      <c r="J3" s="17">
        <v>0.50138888888888888</v>
      </c>
      <c r="K3" s="12" t="s">
        <v>27</v>
      </c>
      <c r="L3" s="12" t="s">
        <v>34</v>
      </c>
      <c r="M3" s="12" t="s">
        <v>35</v>
      </c>
      <c r="N3" s="18">
        <v>719370</v>
      </c>
      <c r="O3" s="18">
        <f t="shared" si="3"/>
        <v>683401.5</v>
      </c>
      <c r="P3" s="18">
        <f>O3*18%</f>
        <v>123012.26999999999</v>
      </c>
      <c r="Q3" s="18">
        <f>P3*9%</f>
        <v>11071.104299999999</v>
      </c>
      <c r="R3" s="18">
        <f t="shared" si="4"/>
        <v>35968.5</v>
      </c>
      <c r="S3" s="18">
        <f t="shared" si="5"/>
        <v>6834.0150000000003</v>
      </c>
      <c r="T3" s="12" t="s">
        <v>36</v>
      </c>
      <c r="U3" s="18">
        <v>10296.126999</v>
      </c>
      <c r="V3" s="19">
        <v>3558.3414908543996</v>
      </c>
      <c r="W3" s="19">
        <v>3095.7570970433276</v>
      </c>
      <c r="X3" s="19">
        <v>2538.5208195755285</v>
      </c>
      <c r="Y3" s="40">
        <f t="shared" ref="Y3:Y66" si="6">ROUNDDOWN(U3,0)</f>
        <v>10296</v>
      </c>
      <c r="Z3" s="40">
        <f t="shared" ref="Z3:Z66" si="7">ROUNDDOWN(V3,0)</f>
        <v>3558</v>
      </c>
      <c r="AA3" s="40">
        <f t="shared" ref="AA3:AA66" si="8">ROUNDDOWN(W3,0)</f>
        <v>3095</v>
      </c>
      <c r="AB3" s="40">
        <f t="shared" ref="AB3:AB66" si="9">ROUNDDOWN(X3,0)</f>
        <v>2538</v>
      </c>
    </row>
    <row r="4" spans="1:28" ht="15.75" customHeight="1">
      <c r="A4" s="11" t="s">
        <v>37</v>
      </c>
      <c r="B4" s="12" t="s">
        <v>38</v>
      </c>
      <c r="C4" s="13" t="s">
        <v>25</v>
      </c>
      <c r="D4" s="15" t="s">
        <v>39</v>
      </c>
      <c r="E4" s="20">
        <v>44662</v>
      </c>
      <c r="F4" s="21">
        <f t="shared" si="0"/>
        <v>2022</v>
      </c>
      <c r="G4" s="22">
        <f t="shared" si="1"/>
        <v>15</v>
      </c>
      <c r="H4" s="22">
        <f t="shared" si="2"/>
        <v>1</v>
      </c>
      <c r="I4" s="23" t="str">
        <f>VLOOKUP(H4,'Дни недели сортировка'!A:B,2,FALSE)</f>
        <v>01-понедельник</v>
      </c>
      <c r="J4" s="24">
        <v>0.68472222222222223</v>
      </c>
      <c r="K4" s="12" t="s">
        <v>27</v>
      </c>
      <c r="L4" s="12" t="s">
        <v>40</v>
      </c>
      <c r="M4" s="12" t="s">
        <v>41</v>
      </c>
      <c r="N4" s="18">
        <v>1201415</v>
      </c>
      <c r="O4" s="18">
        <f t="shared" si="3"/>
        <v>1141344.25</v>
      </c>
      <c r="P4" s="18">
        <f>O4*16%</f>
        <v>182615.08000000002</v>
      </c>
      <c r="Q4" s="18">
        <f>P4*8.4%</f>
        <v>15339.666720000003</v>
      </c>
      <c r="R4" s="18">
        <f t="shared" si="4"/>
        <v>60070.75</v>
      </c>
      <c r="S4" s="18">
        <f t="shared" si="5"/>
        <v>11413.442500000001</v>
      </c>
      <c r="T4" s="12" t="s">
        <v>42</v>
      </c>
      <c r="U4" s="18">
        <v>13959.096715200003</v>
      </c>
      <c r="V4" s="19">
        <v>3369.7259470492809</v>
      </c>
      <c r="W4" s="19">
        <v>2864.2670549918885</v>
      </c>
      <c r="X4" s="19">
        <v>2262.7709734435921</v>
      </c>
      <c r="Y4" s="40">
        <f t="shared" si="6"/>
        <v>13959</v>
      </c>
      <c r="Z4" s="40">
        <f t="shared" si="7"/>
        <v>3369</v>
      </c>
      <c r="AA4" s="40">
        <f t="shared" si="8"/>
        <v>2864</v>
      </c>
      <c r="AB4" s="40">
        <f t="shared" si="9"/>
        <v>2262</v>
      </c>
    </row>
    <row r="5" spans="1:28" ht="15.75" customHeight="1">
      <c r="A5" s="11" t="s">
        <v>43</v>
      </c>
      <c r="B5" s="12" t="s">
        <v>44</v>
      </c>
      <c r="C5" s="13" t="s">
        <v>25</v>
      </c>
      <c r="D5" s="15" t="s">
        <v>39</v>
      </c>
      <c r="E5" s="20">
        <v>44663</v>
      </c>
      <c r="F5" s="21">
        <f t="shared" si="0"/>
        <v>2022</v>
      </c>
      <c r="G5" s="22">
        <f t="shared" si="1"/>
        <v>15</v>
      </c>
      <c r="H5" s="22">
        <f t="shared" si="2"/>
        <v>2</v>
      </c>
      <c r="I5" s="23" t="str">
        <f>VLOOKUP(H5,'Дни недели сортировка'!A:B,2,FALSE)</f>
        <v>02-вторник</v>
      </c>
      <c r="J5" s="24">
        <v>0.68472222222222223</v>
      </c>
      <c r="K5" s="12" t="s">
        <v>27</v>
      </c>
      <c r="L5" s="12" t="s">
        <v>45</v>
      </c>
      <c r="M5" s="12" t="s">
        <v>29</v>
      </c>
      <c r="N5" s="18">
        <v>1393827</v>
      </c>
      <c r="O5" s="18">
        <f t="shared" si="3"/>
        <v>1324135.6499999999</v>
      </c>
      <c r="P5" s="18">
        <f>O5*20%</f>
        <v>264827.13</v>
      </c>
      <c r="Q5" s="18">
        <f>P5*3.9%</f>
        <v>10328.25807</v>
      </c>
      <c r="R5" s="18">
        <f t="shared" si="4"/>
        <v>69691.350000000093</v>
      </c>
      <c r="S5" s="18">
        <f t="shared" si="5"/>
        <v>13241.3565</v>
      </c>
      <c r="T5" s="12" t="s">
        <v>46</v>
      </c>
      <c r="U5" s="18">
        <v>8985.5845208999999</v>
      </c>
      <c r="V5" s="19">
        <v>5116.3918262004599</v>
      </c>
      <c r="W5" s="19">
        <v>4277.3035667035847</v>
      </c>
      <c r="X5" s="19">
        <v>3207.9776750276887</v>
      </c>
      <c r="Y5" s="40">
        <f t="shared" si="6"/>
        <v>8985</v>
      </c>
      <c r="Z5" s="40">
        <f t="shared" si="7"/>
        <v>5116</v>
      </c>
      <c r="AA5" s="40">
        <f t="shared" si="8"/>
        <v>4277</v>
      </c>
      <c r="AB5" s="40">
        <f t="shared" si="9"/>
        <v>3207</v>
      </c>
    </row>
    <row r="6" spans="1:28" ht="15.75" customHeight="1">
      <c r="A6" s="11" t="s">
        <v>47</v>
      </c>
      <c r="B6" s="12" t="s">
        <v>48</v>
      </c>
      <c r="C6" s="13" t="s">
        <v>25</v>
      </c>
      <c r="D6" s="15" t="s">
        <v>39</v>
      </c>
      <c r="E6" s="20">
        <v>44664</v>
      </c>
      <c r="F6" s="21">
        <f t="shared" si="0"/>
        <v>2022</v>
      </c>
      <c r="G6" s="22">
        <f t="shared" si="1"/>
        <v>15</v>
      </c>
      <c r="H6" s="22">
        <f t="shared" si="2"/>
        <v>3</v>
      </c>
      <c r="I6" s="23" t="str">
        <f>VLOOKUP(H6,'Дни недели сортировка'!A:B,2,FALSE)</f>
        <v>03-среда</v>
      </c>
      <c r="J6" s="24">
        <v>0.68472222222222223</v>
      </c>
      <c r="K6" s="12" t="s">
        <v>27</v>
      </c>
      <c r="L6" s="12" t="s">
        <v>49</v>
      </c>
      <c r="M6" s="12" t="s">
        <v>35</v>
      </c>
      <c r="N6" s="18">
        <v>1276821</v>
      </c>
      <c r="O6" s="18">
        <f t="shared" si="3"/>
        <v>1212979.95</v>
      </c>
      <c r="P6" s="18">
        <f>O6*18%</f>
        <v>218336.39099999997</v>
      </c>
      <c r="Q6" s="18">
        <f>P6*7.2%</f>
        <v>15720.220152</v>
      </c>
      <c r="R6" s="18">
        <f t="shared" si="4"/>
        <v>63841.050000000047</v>
      </c>
      <c r="S6" s="18">
        <f t="shared" si="5"/>
        <v>12129.799499999999</v>
      </c>
      <c r="T6" s="12" t="s">
        <v>50</v>
      </c>
      <c r="U6" s="18">
        <v>10846.951904879999</v>
      </c>
      <c r="V6" s="19">
        <v>2816.9534096973362</v>
      </c>
      <c r="W6" s="19">
        <v>2287.3661686742371</v>
      </c>
      <c r="X6" s="19">
        <v>1669.7773031321931</v>
      </c>
      <c r="Y6" s="40">
        <f t="shared" si="6"/>
        <v>10846</v>
      </c>
      <c r="Z6" s="40">
        <f t="shared" si="7"/>
        <v>2816</v>
      </c>
      <c r="AA6" s="40">
        <f t="shared" si="8"/>
        <v>2287</v>
      </c>
      <c r="AB6" s="40">
        <f t="shared" si="9"/>
        <v>1669</v>
      </c>
    </row>
    <row r="7" spans="1:28" ht="15.75" customHeight="1">
      <c r="A7" s="11" t="s">
        <v>51</v>
      </c>
      <c r="B7" s="12" t="s">
        <v>52</v>
      </c>
      <c r="C7" s="13" t="s">
        <v>25</v>
      </c>
      <c r="D7" s="15" t="s">
        <v>39</v>
      </c>
      <c r="E7" s="20">
        <v>44665</v>
      </c>
      <c r="F7" s="21">
        <f t="shared" si="0"/>
        <v>2022</v>
      </c>
      <c r="G7" s="22">
        <f t="shared" si="1"/>
        <v>15</v>
      </c>
      <c r="H7" s="22">
        <f t="shared" si="2"/>
        <v>4</v>
      </c>
      <c r="I7" s="23" t="str">
        <f>VLOOKUP(H7,'Дни недели сортировка'!A:B,2,FALSE)</f>
        <v>04-четверг</v>
      </c>
      <c r="J7" s="24">
        <v>0.68472222222222223</v>
      </c>
      <c r="K7" s="12" t="s">
        <v>27</v>
      </c>
      <c r="L7" s="12" t="s">
        <v>53</v>
      </c>
      <c r="M7" s="12" t="s">
        <v>41</v>
      </c>
      <c r="N7" s="18">
        <v>1816560</v>
      </c>
      <c r="O7" s="18">
        <f t="shared" si="3"/>
        <v>1725732</v>
      </c>
      <c r="P7" s="18">
        <f t="shared" ref="P7:P8" si="10">O7*16%</f>
        <v>276117.12</v>
      </c>
      <c r="Q7" s="18">
        <f>P7*12%</f>
        <v>33134.054400000001</v>
      </c>
      <c r="R7" s="18">
        <f t="shared" si="4"/>
        <v>90828</v>
      </c>
      <c r="S7" s="18">
        <f t="shared" ref="S7:S13" si="11">O7*0.87%</f>
        <v>15013.868399999999</v>
      </c>
      <c r="T7" s="12" t="s">
        <v>54</v>
      </c>
      <c r="U7" s="18">
        <v>32140.032768000001</v>
      </c>
      <c r="V7" s="19">
        <v>13405.6076675328</v>
      </c>
      <c r="W7" s="19">
        <v>13137.495514182145</v>
      </c>
      <c r="X7" s="19">
        <v>10378.621456203895</v>
      </c>
      <c r="Y7" s="40">
        <f t="shared" si="6"/>
        <v>32140</v>
      </c>
      <c r="Z7" s="40">
        <f t="shared" si="7"/>
        <v>13405</v>
      </c>
      <c r="AA7" s="40">
        <f t="shared" si="8"/>
        <v>13137</v>
      </c>
      <c r="AB7" s="40">
        <f t="shared" si="9"/>
        <v>10378</v>
      </c>
    </row>
    <row r="8" spans="1:28" ht="15.75" customHeight="1">
      <c r="A8" s="11" t="s">
        <v>55</v>
      </c>
      <c r="B8" s="12" t="s">
        <v>56</v>
      </c>
      <c r="C8" s="13" t="s">
        <v>25</v>
      </c>
      <c r="D8" s="15" t="s">
        <v>39</v>
      </c>
      <c r="E8" s="20">
        <v>44666</v>
      </c>
      <c r="F8" s="21">
        <f t="shared" si="0"/>
        <v>2022</v>
      </c>
      <c r="G8" s="22">
        <f t="shared" si="1"/>
        <v>16</v>
      </c>
      <c r="H8" s="22">
        <f t="shared" si="2"/>
        <v>5</v>
      </c>
      <c r="I8" s="23" t="str">
        <f>VLOOKUP(H8,'Дни недели сортировка'!A:B,2,FALSE)</f>
        <v>05-пятница</v>
      </c>
      <c r="J8" s="24">
        <v>0.68472222222222223</v>
      </c>
      <c r="K8" s="12" t="s">
        <v>27</v>
      </c>
      <c r="L8" s="12" t="s">
        <v>57</v>
      </c>
      <c r="M8" s="12" t="s">
        <v>29</v>
      </c>
      <c r="N8" s="18">
        <v>1002437</v>
      </c>
      <c r="O8" s="18">
        <f t="shared" si="3"/>
        <v>952315.15</v>
      </c>
      <c r="P8" s="18">
        <f t="shared" si="10"/>
        <v>152370.424</v>
      </c>
      <c r="Q8" s="18">
        <f>P8*9%</f>
        <v>13713.338159999999</v>
      </c>
      <c r="R8" s="18">
        <f t="shared" si="4"/>
        <v>50121.849999999977</v>
      </c>
      <c r="S8" s="18">
        <f t="shared" si="11"/>
        <v>8285.1418049999993</v>
      </c>
      <c r="T8" s="12" t="s">
        <v>58</v>
      </c>
      <c r="U8" s="18">
        <v>11656.337436</v>
      </c>
      <c r="V8" s="19">
        <v>7062.5748524723986</v>
      </c>
      <c r="W8" s="19">
        <v>6144.4401216509868</v>
      </c>
      <c r="X8" s="19">
        <v>2273.4428450108653</v>
      </c>
      <c r="Y8" s="40">
        <f t="shared" si="6"/>
        <v>11656</v>
      </c>
      <c r="Z8" s="40">
        <f t="shared" si="7"/>
        <v>7062</v>
      </c>
      <c r="AA8" s="40">
        <f t="shared" si="8"/>
        <v>6144</v>
      </c>
      <c r="AB8" s="40">
        <f t="shared" si="9"/>
        <v>2273</v>
      </c>
    </row>
    <row r="9" spans="1:28" ht="15.75" customHeight="1">
      <c r="A9" s="11" t="s">
        <v>59</v>
      </c>
      <c r="B9" s="12" t="s">
        <v>60</v>
      </c>
      <c r="C9" s="13" t="s">
        <v>25</v>
      </c>
      <c r="D9" s="15" t="s">
        <v>39</v>
      </c>
      <c r="E9" s="20">
        <v>44665</v>
      </c>
      <c r="F9" s="21">
        <f t="shared" si="0"/>
        <v>2022</v>
      </c>
      <c r="G9" s="22">
        <f t="shared" si="1"/>
        <v>15</v>
      </c>
      <c r="H9" s="22">
        <f t="shared" si="2"/>
        <v>4</v>
      </c>
      <c r="I9" s="23" t="str">
        <f>VLOOKUP(H9,'Дни недели сортировка'!A:B,2,FALSE)</f>
        <v>04-четверг</v>
      </c>
      <c r="J9" s="24">
        <v>0.61597222222222225</v>
      </c>
      <c r="K9" s="12" t="s">
        <v>27</v>
      </c>
      <c r="L9" s="12" t="s">
        <v>61</v>
      </c>
      <c r="M9" s="12" t="s">
        <v>35</v>
      </c>
      <c r="N9" s="18">
        <v>958429</v>
      </c>
      <c r="O9" s="18">
        <f t="shared" si="3"/>
        <v>910507.55</v>
      </c>
      <c r="P9" s="18">
        <f t="shared" ref="P9:P17" si="12">O9*14%</f>
        <v>127471.05700000002</v>
      </c>
      <c r="Q9" s="18">
        <f>P9*8.4%</f>
        <v>10707.568788000002</v>
      </c>
      <c r="R9" s="18">
        <f t="shared" si="4"/>
        <v>47921.449999999953</v>
      </c>
      <c r="S9" s="18">
        <f t="shared" si="11"/>
        <v>7921.4156849999999</v>
      </c>
      <c r="T9" s="12" t="s">
        <v>62</v>
      </c>
      <c r="U9" s="18">
        <v>9850.9632849600021</v>
      </c>
      <c r="V9" s="19">
        <v>3811.3376949510248</v>
      </c>
      <c r="W9" s="19">
        <v>3239.6370407083709</v>
      </c>
      <c r="X9" s="19">
        <v>1490.2330387258507</v>
      </c>
      <c r="Y9" s="40">
        <f t="shared" si="6"/>
        <v>9850</v>
      </c>
      <c r="Z9" s="40">
        <f t="shared" si="7"/>
        <v>3811</v>
      </c>
      <c r="AA9" s="40">
        <f t="shared" si="8"/>
        <v>3239</v>
      </c>
      <c r="AB9" s="40">
        <f t="shared" si="9"/>
        <v>1490</v>
      </c>
    </row>
    <row r="10" spans="1:28" ht="15.75" customHeight="1">
      <c r="A10" s="11" t="s">
        <v>63</v>
      </c>
      <c r="B10" s="12" t="s">
        <v>64</v>
      </c>
      <c r="C10" s="13" t="s">
        <v>25</v>
      </c>
      <c r="D10" s="15" t="s">
        <v>39</v>
      </c>
      <c r="E10" s="20">
        <v>44665</v>
      </c>
      <c r="F10" s="21">
        <f t="shared" si="0"/>
        <v>2022</v>
      </c>
      <c r="G10" s="22">
        <f t="shared" si="1"/>
        <v>15</v>
      </c>
      <c r="H10" s="22">
        <f t="shared" si="2"/>
        <v>4</v>
      </c>
      <c r="I10" s="23" t="str">
        <f>VLOOKUP(H10,'Дни недели сортировка'!A:B,2,FALSE)</f>
        <v>04-четверг</v>
      </c>
      <c r="J10" s="24">
        <v>0.6</v>
      </c>
      <c r="K10" s="12" t="s">
        <v>27</v>
      </c>
      <c r="L10" s="12" t="s">
        <v>65</v>
      </c>
      <c r="M10" s="12" t="s">
        <v>41</v>
      </c>
      <c r="N10" s="18">
        <v>2066466</v>
      </c>
      <c r="O10" s="18">
        <f t="shared" si="3"/>
        <v>1963142.7</v>
      </c>
      <c r="P10" s="18">
        <f t="shared" si="12"/>
        <v>274839.978</v>
      </c>
      <c r="Q10" s="18">
        <f>P10*3.9%</f>
        <v>10718.759142000001</v>
      </c>
      <c r="R10" s="18">
        <f t="shared" si="4"/>
        <v>103323.30000000005</v>
      </c>
      <c r="S10" s="18">
        <f t="shared" si="11"/>
        <v>17079.341489999999</v>
      </c>
      <c r="T10" s="12" t="s">
        <v>66</v>
      </c>
      <c r="U10" s="18">
        <v>9968.4460020600018</v>
      </c>
      <c r="V10" s="19">
        <v>3445.0949383119364</v>
      </c>
      <c r="W10" s="19">
        <v>2880.0993684287787</v>
      </c>
      <c r="X10" s="19">
        <v>1324.8457094772382</v>
      </c>
      <c r="Y10" s="40">
        <f t="shared" si="6"/>
        <v>9968</v>
      </c>
      <c r="Z10" s="40">
        <f t="shared" si="7"/>
        <v>3445</v>
      </c>
      <c r="AA10" s="40">
        <f t="shared" si="8"/>
        <v>2880</v>
      </c>
      <c r="AB10" s="40">
        <f t="shared" si="9"/>
        <v>1324</v>
      </c>
    </row>
    <row r="11" spans="1:28" ht="15.75" customHeight="1">
      <c r="A11" s="11" t="s">
        <v>67</v>
      </c>
      <c r="B11" s="12" t="s">
        <v>68</v>
      </c>
      <c r="C11" s="13" t="s">
        <v>25</v>
      </c>
      <c r="D11" s="15" t="s">
        <v>39</v>
      </c>
      <c r="E11" s="20">
        <v>44673</v>
      </c>
      <c r="F11" s="21">
        <f t="shared" si="0"/>
        <v>2022</v>
      </c>
      <c r="G11" s="22">
        <f t="shared" si="1"/>
        <v>17</v>
      </c>
      <c r="H11" s="22">
        <f t="shared" si="2"/>
        <v>5</v>
      </c>
      <c r="I11" s="23" t="str">
        <f>VLOOKUP(H11,'Дни недели сортировка'!A:B,2,FALSE)</f>
        <v>05-пятница</v>
      </c>
      <c r="J11" s="24">
        <v>0.49236111111111114</v>
      </c>
      <c r="K11" s="12" t="s">
        <v>27</v>
      </c>
      <c r="L11" s="12" t="s">
        <v>69</v>
      </c>
      <c r="M11" s="12" t="s">
        <v>29</v>
      </c>
      <c r="N11" s="18">
        <v>1721632</v>
      </c>
      <c r="O11" s="18">
        <f t="shared" si="3"/>
        <v>1635550.4</v>
      </c>
      <c r="P11" s="18">
        <f t="shared" si="12"/>
        <v>228977.05600000001</v>
      </c>
      <c r="Q11" s="18">
        <f>P11*7.2%</f>
        <v>16486.348032000002</v>
      </c>
      <c r="R11" s="18">
        <f t="shared" si="4"/>
        <v>86081.600000000093</v>
      </c>
      <c r="S11" s="18">
        <f t="shared" si="11"/>
        <v>14229.288479999997</v>
      </c>
      <c r="T11" s="12" t="s">
        <v>70</v>
      </c>
      <c r="U11" s="18">
        <v>15002.576709120001</v>
      </c>
      <c r="V11" s="19">
        <v>3621.6220175815683</v>
      </c>
      <c r="W11" s="19">
        <v>2940.7570782762336</v>
      </c>
      <c r="X11" s="19">
        <v>1323.3406852243052</v>
      </c>
      <c r="Y11" s="40">
        <f t="shared" si="6"/>
        <v>15002</v>
      </c>
      <c r="Z11" s="40">
        <f t="shared" si="7"/>
        <v>3621</v>
      </c>
      <c r="AA11" s="40">
        <f t="shared" si="8"/>
        <v>2940</v>
      </c>
      <c r="AB11" s="40">
        <f t="shared" si="9"/>
        <v>1323</v>
      </c>
    </row>
    <row r="12" spans="1:28" ht="15.75" customHeight="1">
      <c r="A12" s="11" t="s">
        <v>71</v>
      </c>
      <c r="B12" s="12" t="s">
        <v>72</v>
      </c>
      <c r="C12" s="13" t="s">
        <v>25</v>
      </c>
      <c r="D12" s="15" t="s">
        <v>39</v>
      </c>
      <c r="E12" s="20">
        <v>44673</v>
      </c>
      <c r="F12" s="21">
        <f t="shared" si="0"/>
        <v>2022</v>
      </c>
      <c r="G12" s="22">
        <f t="shared" si="1"/>
        <v>17</v>
      </c>
      <c r="H12" s="22">
        <f t="shared" si="2"/>
        <v>5</v>
      </c>
      <c r="I12" s="23" t="str">
        <f>VLOOKUP(H12,'Дни недели сортировка'!A:B,2,FALSE)</f>
        <v>05-пятница</v>
      </c>
      <c r="J12" s="24">
        <v>0.50763888888888886</v>
      </c>
      <c r="K12" s="12" t="s">
        <v>27</v>
      </c>
      <c r="L12" s="12" t="s">
        <v>73</v>
      </c>
      <c r="M12" s="12" t="s">
        <v>35</v>
      </c>
      <c r="N12" s="18">
        <v>2198692</v>
      </c>
      <c r="O12" s="18">
        <f t="shared" si="3"/>
        <v>2088757.4</v>
      </c>
      <c r="P12" s="18">
        <f t="shared" si="12"/>
        <v>292426.03600000002</v>
      </c>
      <c r="Q12" s="18">
        <f>P12*12%</f>
        <v>35091.124320000003</v>
      </c>
      <c r="R12" s="18">
        <f t="shared" si="4"/>
        <v>109934.60000000009</v>
      </c>
      <c r="S12" s="18">
        <f t="shared" si="11"/>
        <v>18172.189379999996</v>
      </c>
      <c r="T12" s="12" t="s">
        <v>74</v>
      </c>
      <c r="U12" s="18">
        <v>30529.2781584</v>
      </c>
      <c r="V12" s="19">
        <v>17383.370983392961</v>
      </c>
      <c r="W12" s="19">
        <v>17035.703563725103</v>
      </c>
      <c r="X12" s="19">
        <v>14139.633957891834</v>
      </c>
      <c r="Y12" s="40">
        <f t="shared" si="6"/>
        <v>30529</v>
      </c>
      <c r="Z12" s="40">
        <f t="shared" si="7"/>
        <v>17383</v>
      </c>
      <c r="AA12" s="40">
        <f t="shared" si="8"/>
        <v>17035</v>
      </c>
      <c r="AB12" s="40">
        <f t="shared" si="9"/>
        <v>14139</v>
      </c>
    </row>
    <row r="13" spans="1:28" ht="15.75" customHeight="1">
      <c r="A13" s="11" t="s">
        <v>75</v>
      </c>
      <c r="B13" s="12" t="s">
        <v>76</v>
      </c>
      <c r="C13" s="13" t="s">
        <v>25</v>
      </c>
      <c r="D13" s="15" t="s">
        <v>39</v>
      </c>
      <c r="E13" s="20">
        <v>44677</v>
      </c>
      <c r="F13" s="21">
        <f t="shared" si="0"/>
        <v>2022</v>
      </c>
      <c r="G13" s="22">
        <f t="shared" si="1"/>
        <v>17</v>
      </c>
      <c r="H13" s="22">
        <f t="shared" si="2"/>
        <v>2</v>
      </c>
      <c r="I13" s="23" t="str">
        <f>VLOOKUP(H13,'Дни недели сортировка'!A:B,2,FALSE)</f>
        <v>02-вторник</v>
      </c>
      <c r="J13" s="24">
        <v>0.62222222222222223</v>
      </c>
      <c r="K13" s="12" t="s">
        <v>27</v>
      </c>
      <c r="L13" s="12" t="s">
        <v>77</v>
      </c>
      <c r="M13" s="12" t="s">
        <v>41</v>
      </c>
      <c r="N13" s="18">
        <v>1220097</v>
      </c>
      <c r="O13" s="18">
        <f t="shared" si="3"/>
        <v>1159092.1499999999</v>
      </c>
      <c r="P13" s="18">
        <f t="shared" si="12"/>
        <v>162272.90100000001</v>
      </c>
      <c r="Q13" s="18">
        <f>P13*9%</f>
        <v>14604.561090000001</v>
      </c>
      <c r="R13" s="18">
        <f t="shared" si="4"/>
        <v>61004.850000000093</v>
      </c>
      <c r="S13" s="18">
        <f t="shared" si="11"/>
        <v>10084.101704999999</v>
      </c>
      <c r="T13" s="12" t="s">
        <v>78</v>
      </c>
      <c r="U13" s="18">
        <v>10077.1471521</v>
      </c>
      <c r="V13" s="19">
        <v>2617.0351154003702</v>
      </c>
      <c r="W13" s="19">
        <v>2276.8205503983222</v>
      </c>
      <c r="X13" s="19">
        <v>1866.9928513266241</v>
      </c>
      <c r="Y13" s="40">
        <f t="shared" si="6"/>
        <v>10077</v>
      </c>
      <c r="Z13" s="40">
        <f t="shared" si="7"/>
        <v>2617</v>
      </c>
      <c r="AA13" s="40">
        <f t="shared" si="8"/>
        <v>2276</v>
      </c>
      <c r="AB13" s="40">
        <f t="shared" si="9"/>
        <v>1866</v>
      </c>
    </row>
    <row r="14" spans="1:28" ht="15.75" customHeight="1">
      <c r="A14" s="11" t="s">
        <v>79</v>
      </c>
      <c r="B14" s="12" t="s">
        <v>80</v>
      </c>
      <c r="C14" s="13" t="s">
        <v>25</v>
      </c>
      <c r="D14" s="13" t="s">
        <v>33</v>
      </c>
      <c r="E14" s="14">
        <v>44510</v>
      </c>
      <c r="F14" s="15">
        <f t="shared" si="0"/>
        <v>2021</v>
      </c>
      <c r="G14" s="16">
        <f t="shared" si="1"/>
        <v>45</v>
      </c>
      <c r="H14" s="16">
        <f t="shared" si="2"/>
        <v>3</v>
      </c>
      <c r="I14" s="16" t="str">
        <f>VLOOKUP(H14,'Дни недели сортировка'!A:B,2,FALSE)</f>
        <v>03-среда</v>
      </c>
      <c r="J14" s="17">
        <v>0.43680555555555556</v>
      </c>
      <c r="K14" s="12" t="s">
        <v>27</v>
      </c>
      <c r="L14" s="12" t="s">
        <v>81</v>
      </c>
      <c r="M14" s="12" t="s">
        <v>29</v>
      </c>
      <c r="N14" s="18">
        <v>659029</v>
      </c>
      <c r="O14" s="18">
        <f t="shared" si="3"/>
        <v>626077.55000000005</v>
      </c>
      <c r="P14" s="18">
        <f t="shared" si="12"/>
        <v>87650.857000000018</v>
      </c>
      <c r="Q14" s="18">
        <f>P14*8.4%</f>
        <v>7362.6719880000019</v>
      </c>
      <c r="R14" s="18">
        <f t="shared" si="4"/>
        <v>32951.449999999953</v>
      </c>
      <c r="S14" s="18">
        <f t="shared" ref="S14:S24" si="13">O14*0.69%</f>
        <v>4319.9350949999998</v>
      </c>
      <c r="T14" s="12" t="s">
        <v>82</v>
      </c>
      <c r="U14" s="18">
        <v>7141.791828360002</v>
      </c>
      <c r="V14" s="19">
        <v>2978.8413716089567</v>
      </c>
      <c r="W14" s="19">
        <v>2532.0151658676132</v>
      </c>
      <c r="X14" s="19">
        <v>2000.2919810354144</v>
      </c>
      <c r="Y14" s="40">
        <f t="shared" si="6"/>
        <v>7141</v>
      </c>
      <c r="Z14" s="40">
        <f t="shared" si="7"/>
        <v>2978</v>
      </c>
      <c r="AA14" s="40">
        <f t="shared" si="8"/>
        <v>2532</v>
      </c>
      <c r="AB14" s="40">
        <f t="shared" si="9"/>
        <v>2000</v>
      </c>
    </row>
    <row r="15" spans="1:28" ht="15.75" customHeight="1">
      <c r="A15" s="11" t="s">
        <v>83</v>
      </c>
      <c r="B15" s="12" t="s">
        <v>84</v>
      </c>
      <c r="C15" s="13" t="s">
        <v>25</v>
      </c>
      <c r="D15" s="15" t="s">
        <v>39</v>
      </c>
      <c r="E15" s="20">
        <v>44677</v>
      </c>
      <c r="F15" s="21">
        <f t="shared" si="0"/>
        <v>2022</v>
      </c>
      <c r="G15" s="22">
        <f t="shared" si="1"/>
        <v>17</v>
      </c>
      <c r="H15" s="22">
        <f t="shared" si="2"/>
        <v>2</v>
      </c>
      <c r="I15" s="23" t="str">
        <f>VLOOKUP(H15,'Дни недели сортировка'!A:B,2,FALSE)</f>
        <v>02-вторник</v>
      </c>
      <c r="J15" s="24">
        <v>0.62361111111111112</v>
      </c>
      <c r="K15" s="12" t="s">
        <v>27</v>
      </c>
      <c r="L15" s="12" t="s">
        <v>85</v>
      </c>
      <c r="M15" s="12" t="s">
        <v>35</v>
      </c>
      <c r="N15" s="18">
        <v>551502</v>
      </c>
      <c r="O15" s="18">
        <f t="shared" si="3"/>
        <v>523926.9</v>
      </c>
      <c r="P15" s="18">
        <f t="shared" si="12"/>
        <v>73349.766000000003</v>
      </c>
      <c r="Q15" s="18">
        <f>P15*3.9%</f>
        <v>2860.6408740000002</v>
      </c>
      <c r="R15" s="18">
        <f t="shared" si="4"/>
        <v>27575.099999999977</v>
      </c>
      <c r="S15" s="18">
        <f t="shared" si="13"/>
        <v>3615.0956100000003</v>
      </c>
      <c r="T15" s="12" t="s">
        <v>86</v>
      </c>
      <c r="U15" s="18">
        <v>2431.5447429000001</v>
      </c>
      <c r="V15" s="19">
        <v>1473.27295972311</v>
      </c>
      <c r="W15" s="19">
        <v>1231.6561943285199</v>
      </c>
      <c r="X15" s="19">
        <v>923.74214574638995</v>
      </c>
      <c r="Y15" s="40">
        <f t="shared" si="6"/>
        <v>2431</v>
      </c>
      <c r="Z15" s="40">
        <f t="shared" si="7"/>
        <v>1473</v>
      </c>
      <c r="AA15" s="40">
        <f t="shared" si="8"/>
        <v>1231</v>
      </c>
      <c r="AB15" s="40">
        <f t="shared" si="9"/>
        <v>923</v>
      </c>
    </row>
    <row r="16" spans="1:28" ht="15.75" customHeight="1">
      <c r="A16" s="11" t="s">
        <v>87</v>
      </c>
      <c r="B16" s="12" t="s">
        <v>88</v>
      </c>
      <c r="C16" s="13" t="s">
        <v>25</v>
      </c>
      <c r="D16" s="15" t="s">
        <v>89</v>
      </c>
      <c r="E16" s="20">
        <v>44686</v>
      </c>
      <c r="F16" s="21">
        <f t="shared" si="0"/>
        <v>2022</v>
      </c>
      <c r="G16" s="22">
        <f t="shared" si="1"/>
        <v>18</v>
      </c>
      <c r="H16" s="22">
        <f t="shared" si="2"/>
        <v>4</v>
      </c>
      <c r="I16" s="23" t="str">
        <f>VLOOKUP(H16,'Дни недели сортировка'!A:B,2,FALSE)</f>
        <v>04-четверг</v>
      </c>
      <c r="J16" s="24">
        <v>0.50694444444444442</v>
      </c>
      <c r="K16" s="12" t="s">
        <v>27</v>
      </c>
      <c r="L16" s="12" t="s">
        <v>90</v>
      </c>
      <c r="M16" s="12" t="s">
        <v>41</v>
      </c>
      <c r="N16" s="18">
        <v>1129965</v>
      </c>
      <c r="O16" s="18">
        <f t="shared" si="3"/>
        <v>1073466.75</v>
      </c>
      <c r="P16" s="18">
        <f t="shared" si="12"/>
        <v>150285.345</v>
      </c>
      <c r="Q16" s="18">
        <f>P16*7.2%</f>
        <v>10820.54484</v>
      </c>
      <c r="R16" s="18">
        <f t="shared" si="4"/>
        <v>56498.25</v>
      </c>
      <c r="S16" s="18">
        <f t="shared" si="13"/>
        <v>7406.9205750000001</v>
      </c>
      <c r="T16" s="12" t="s">
        <v>91</v>
      </c>
      <c r="U16" s="18">
        <v>9954.9012528000003</v>
      </c>
      <c r="V16" s="19">
        <v>3851.5512947083203</v>
      </c>
      <c r="W16" s="19">
        <v>3127.4596513031561</v>
      </c>
      <c r="X16" s="19">
        <v>2283.045545451304</v>
      </c>
      <c r="Y16" s="40">
        <f t="shared" si="6"/>
        <v>9954</v>
      </c>
      <c r="Z16" s="40">
        <f t="shared" si="7"/>
        <v>3851</v>
      </c>
      <c r="AA16" s="40">
        <f t="shared" si="8"/>
        <v>3127</v>
      </c>
      <c r="AB16" s="40">
        <f t="shared" si="9"/>
        <v>2283</v>
      </c>
    </row>
    <row r="17" spans="1:28" ht="15.75" customHeight="1">
      <c r="A17" s="11" t="s">
        <v>92</v>
      </c>
      <c r="B17" s="12" t="s">
        <v>93</v>
      </c>
      <c r="C17" s="13" t="s">
        <v>25</v>
      </c>
      <c r="D17" s="15" t="s">
        <v>89</v>
      </c>
      <c r="E17" s="20">
        <v>44693</v>
      </c>
      <c r="F17" s="21">
        <f t="shared" si="0"/>
        <v>2022</v>
      </c>
      <c r="G17" s="22">
        <f t="shared" si="1"/>
        <v>19</v>
      </c>
      <c r="H17" s="22">
        <f t="shared" si="2"/>
        <v>4</v>
      </c>
      <c r="I17" s="23" t="str">
        <f>VLOOKUP(H17,'Дни недели сортировка'!A:B,2,FALSE)</f>
        <v>04-четверг</v>
      </c>
      <c r="J17" s="24">
        <v>0.50277777777777777</v>
      </c>
      <c r="K17" s="12" t="s">
        <v>27</v>
      </c>
      <c r="L17" s="12" t="s">
        <v>94</v>
      </c>
      <c r="M17" s="12" t="s">
        <v>29</v>
      </c>
      <c r="N17" s="18">
        <v>2378647</v>
      </c>
      <c r="O17" s="18">
        <f t="shared" si="3"/>
        <v>2259714.65</v>
      </c>
      <c r="P17" s="18">
        <f t="shared" si="12"/>
        <v>316360.05100000004</v>
      </c>
      <c r="Q17" s="18">
        <f>P17*12%</f>
        <v>37963.206120000003</v>
      </c>
      <c r="R17" s="18">
        <f t="shared" si="4"/>
        <v>118932.35000000009</v>
      </c>
      <c r="S17" s="18">
        <f t="shared" si="13"/>
        <v>15592.031084999999</v>
      </c>
      <c r="T17" s="12" t="s">
        <v>95</v>
      </c>
      <c r="U17" s="18">
        <v>35305.781691600001</v>
      </c>
      <c r="V17" s="19">
        <v>12201.67815261696</v>
      </c>
      <c r="W17" s="19">
        <v>11957.644589564621</v>
      </c>
      <c r="X17" s="19">
        <v>9446.5392257560507</v>
      </c>
      <c r="Y17" s="40">
        <f t="shared" si="6"/>
        <v>35305</v>
      </c>
      <c r="Z17" s="40">
        <f t="shared" si="7"/>
        <v>12201</v>
      </c>
      <c r="AA17" s="40">
        <f t="shared" si="8"/>
        <v>11957</v>
      </c>
      <c r="AB17" s="40">
        <f t="shared" si="9"/>
        <v>9446</v>
      </c>
    </row>
    <row r="18" spans="1:28" ht="15.75" customHeight="1">
      <c r="A18" s="11" t="s">
        <v>96</v>
      </c>
      <c r="B18" s="12" t="s">
        <v>97</v>
      </c>
      <c r="C18" s="13" t="s">
        <v>25</v>
      </c>
      <c r="D18" s="15" t="s">
        <v>89</v>
      </c>
      <c r="E18" s="20">
        <v>44697</v>
      </c>
      <c r="F18" s="21">
        <f t="shared" si="0"/>
        <v>2022</v>
      </c>
      <c r="G18" s="22">
        <f t="shared" si="1"/>
        <v>20</v>
      </c>
      <c r="H18" s="22">
        <f t="shared" si="2"/>
        <v>1</v>
      </c>
      <c r="I18" s="23" t="str">
        <f>VLOOKUP(H18,'Дни недели сортировка'!A:B,2,FALSE)</f>
        <v>01-понедельник</v>
      </c>
      <c r="J18" s="24">
        <v>0.50416666666666665</v>
      </c>
      <c r="K18" s="12" t="s">
        <v>27</v>
      </c>
      <c r="L18" s="12" t="s">
        <v>98</v>
      </c>
      <c r="M18" s="12" t="s">
        <v>35</v>
      </c>
      <c r="N18" s="18">
        <v>725023</v>
      </c>
      <c r="O18" s="18">
        <f t="shared" si="3"/>
        <v>688771.85</v>
      </c>
      <c r="P18" s="18">
        <f>O18*15.95%</f>
        <v>109859.110075</v>
      </c>
      <c r="Q18" s="18">
        <f>P18*9%</f>
        <v>9887.3199067500009</v>
      </c>
      <c r="R18" s="18">
        <f t="shared" si="4"/>
        <v>36251.150000000023</v>
      </c>
      <c r="S18" s="18">
        <f t="shared" si="13"/>
        <v>4752.5257649999994</v>
      </c>
      <c r="T18" s="12" t="s">
        <v>99</v>
      </c>
      <c r="U18" s="18">
        <v>8997.4611151425015</v>
      </c>
      <c r="V18" s="19">
        <v>2171.9871131954001</v>
      </c>
      <c r="W18" s="19">
        <v>1889.6287884799981</v>
      </c>
      <c r="X18" s="19">
        <v>1568.3918944383984</v>
      </c>
      <c r="Y18" s="40">
        <f t="shared" si="6"/>
        <v>8997</v>
      </c>
      <c r="Z18" s="40">
        <f t="shared" si="7"/>
        <v>2171</v>
      </c>
      <c r="AA18" s="40">
        <f t="shared" si="8"/>
        <v>1889</v>
      </c>
      <c r="AB18" s="40">
        <f t="shared" si="9"/>
        <v>1568</v>
      </c>
    </row>
    <row r="19" spans="1:28" ht="15.75" customHeight="1">
      <c r="A19" s="11" t="s">
        <v>100</v>
      </c>
      <c r="B19" s="12" t="s">
        <v>101</v>
      </c>
      <c r="C19" s="13" t="s">
        <v>25</v>
      </c>
      <c r="D19" s="25" t="s">
        <v>89</v>
      </c>
      <c r="E19" s="20">
        <v>44701</v>
      </c>
      <c r="F19" s="21">
        <f t="shared" si="0"/>
        <v>2022</v>
      </c>
      <c r="G19" s="22">
        <f t="shared" si="1"/>
        <v>21</v>
      </c>
      <c r="H19" s="22">
        <f t="shared" si="2"/>
        <v>5</v>
      </c>
      <c r="I19" s="23" t="str">
        <f>VLOOKUP(H19,'Дни недели сортировка'!A:B,2,FALSE)</f>
        <v>05-пятница</v>
      </c>
      <c r="J19" s="24">
        <v>0.50277777777777777</v>
      </c>
      <c r="K19" s="12" t="s">
        <v>27</v>
      </c>
      <c r="L19" s="12" t="s">
        <v>102</v>
      </c>
      <c r="M19" s="12" t="s">
        <v>41</v>
      </c>
      <c r="N19" s="18">
        <v>834290</v>
      </c>
      <c r="O19" s="18">
        <f t="shared" si="3"/>
        <v>792575.5</v>
      </c>
      <c r="P19" s="18">
        <f>O19*16.32%</f>
        <v>129348.32160000001</v>
      </c>
      <c r="Q19" s="18">
        <f>P19*8.4%</f>
        <v>10865.259014400002</v>
      </c>
      <c r="R19" s="18">
        <f t="shared" si="4"/>
        <v>41714.5</v>
      </c>
      <c r="S19" s="18">
        <f t="shared" si="13"/>
        <v>5468.7709500000001</v>
      </c>
      <c r="T19" s="12" t="s">
        <v>103</v>
      </c>
      <c r="U19" s="18">
        <v>9452.7753425280025</v>
      </c>
      <c r="V19" s="19">
        <v>5382.4102800354449</v>
      </c>
      <c r="W19" s="19">
        <v>4575.0487380301283</v>
      </c>
      <c r="X19" s="19">
        <v>3751.5399651847051</v>
      </c>
      <c r="Y19" s="40">
        <f t="shared" si="6"/>
        <v>9452</v>
      </c>
      <c r="Z19" s="40">
        <f t="shared" si="7"/>
        <v>5382</v>
      </c>
      <c r="AA19" s="40">
        <f t="shared" si="8"/>
        <v>4575</v>
      </c>
      <c r="AB19" s="40">
        <f t="shared" si="9"/>
        <v>3751</v>
      </c>
    </row>
    <row r="20" spans="1:28" ht="15.75" customHeight="1">
      <c r="A20" s="11" t="s">
        <v>104</v>
      </c>
      <c r="B20" s="12" t="s">
        <v>105</v>
      </c>
      <c r="C20" s="13" t="s">
        <v>25</v>
      </c>
      <c r="D20" s="26" t="s">
        <v>39</v>
      </c>
      <c r="E20" s="27">
        <v>44301</v>
      </c>
      <c r="F20" s="15">
        <f t="shared" si="0"/>
        <v>2021</v>
      </c>
      <c r="G20" s="16">
        <f t="shared" si="1"/>
        <v>15</v>
      </c>
      <c r="H20" s="16">
        <f t="shared" si="2"/>
        <v>4</v>
      </c>
      <c r="I20" s="16" t="str">
        <f>VLOOKUP(H20,'Дни недели сортировка'!A:B,2,FALSE)</f>
        <v>04-четверг</v>
      </c>
      <c r="J20" s="24">
        <v>0.50277777777777777</v>
      </c>
      <c r="K20" s="12" t="s">
        <v>27</v>
      </c>
      <c r="L20" s="12" t="s">
        <v>106</v>
      </c>
      <c r="M20" s="12" t="s">
        <v>29</v>
      </c>
      <c r="N20" s="18">
        <v>688566</v>
      </c>
      <c r="O20" s="18">
        <f t="shared" si="3"/>
        <v>654137.69999999995</v>
      </c>
      <c r="P20" s="18">
        <f>O20*14.41%</f>
        <v>94261.242570000002</v>
      </c>
      <c r="Q20" s="18">
        <f>P20*3.9%</f>
        <v>3676.1884602300001</v>
      </c>
      <c r="R20" s="18">
        <f t="shared" si="4"/>
        <v>34428.300000000047</v>
      </c>
      <c r="S20" s="18">
        <f t="shared" si="13"/>
        <v>4513.5501299999996</v>
      </c>
      <c r="T20" s="12" t="s">
        <v>107</v>
      </c>
      <c r="U20" s="18">
        <v>2536.5700375586998</v>
      </c>
      <c r="V20" s="19">
        <v>658.74723875399434</v>
      </c>
      <c r="W20" s="19">
        <v>550.71269159833923</v>
      </c>
      <c r="X20" s="19">
        <v>435.06302636268799</v>
      </c>
      <c r="Y20" s="40">
        <f t="shared" si="6"/>
        <v>2536</v>
      </c>
      <c r="Z20" s="40">
        <f t="shared" si="7"/>
        <v>658</v>
      </c>
      <c r="AA20" s="40">
        <f t="shared" si="8"/>
        <v>550</v>
      </c>
      <c r="AB20" s="40">
        <f t="shared" si="9"/>
        <v>435</v>
      </c>
    </row>
    <row r="21" spans="1:28" ht="15.75" customHeight="1">
      <c r="A21" s="11" t="s">
        <v>108</v>
      </c>
      <c r="B21" s="12" t="s">
        <v>109</v>
      </c>
      <c r="C21" s="13" t="s">
        <v>25</v>
      </c>
      <c r="D21" s="26" t="s">
        <v>39</v>
      </c>
      <c r="E21" s="27">
        <v>44307</v>
      </c>
      <c r="F21" s="15">
        <f t="shared" si="0"/>
        <v>2021</v>
      </c>
      <c r="G21" s="16">
        <f t="shared" si="1"/>
        <v>16</v>
      </c>
      <c r="H21" s="16">
        <f t="shared" si="2"/>
        <v>3</v>
      </c>
      <c r="I21" s="16" t="str">
        <f>VLOOKUP(H21,'Дни недели сортировка'!A:B,2,FALSE)</f>
        <v>03-среда</v>
      </c>
      <c r="J21" s="24">
        <v>0.50277777777777777</v>
      </c>
      <c r="K21" s="12" t="s">
        <v>27</v>
      </c>
      <c r="L21" s="12" t="s">
        <v>110</v>
      </c>
      <c r="M21" s="12" t="s">
        <v>35</v>
      </c>
      <c r="N21" s="18">
        <v>627527</v>
      </c>
      <c r="O21" s="18">
        <f t="shared" si="3"/>
        <v>596150.65</v>
      </c>
      <c r="P21" s="18">
        <f>O21*13.98%</f>
        <v>83341.860870000004</v>
      </c>
      <c r="Q21" s="18">
        <f>P21*7.2%</f>
        <v>6000.6139826400013</v>
      </c>
      <c r="R21" s="18">
        <f t="shared" si="4"/>
        <v>31376.349999999977</v>
      </c>
      <c r="S21" s="18">
        <f t="shared" si="13"/>
        <v>4113.4394849999999</v>
      </c>
      <c r="T21" s="12" t="s">
        <v>111</v>
      </c>
      <c r="U21" s="18">
        <v>5820.5955631608012</v>
      </c>
      <c r="V21" s="19">
        <v>2427.7704093943698</v>
      </c>
      <c r="W21" s="19">
        <v>1971.3495724282284</v>
      </c>
      <c r="X21" s="19">
        <v>1478.5121793211713</v>
      </c>
      <c r="Y21" s="40">
        <f t="shared" si="6"/>
        <v>5820</v>
      </c>
      <c r="Z21" s="40">
        <f t="shared" si="7"/>
        <v>2427</v>
      </c>
      <c r="AA21" s="40">
        <f t="shared" si="8"/>
        <v>1971</v>
      </c>
      <c r="AB21" s="40">
        <f t="shared" si="9"/>
        <v>1478</v>
      </c>
    </row>
    <row r="22" spans="1:28" ht="15.75" customHeight="1">
      <c r="A22" s="11" t="s">
        <v>112</v>
      </c>
      <c r="B22" s="12" t="s">
        <v>113</v>
      </c>
      <c r="C22" s="13" t="s">
        <v>25</v>
      </c>
      <c r="D22" s="26" t="s">
        <v>39</v>
      </c>
      <c r="E22" s="27">
        <v>44308</v>
      </c>
      <c r="F22" s="15">
        <f t="shared" si="0"/>
        <v>2021</v>
      </c>
      <c r="G22" s="16">
        <f t="shared" si="1"/>
        <v>16</v>
      </c>
      <c r="H22" s="16">
        <f t="shared" si="2"/>
        <v>4</v>
      </c>
      <c r="I22" s="16" t="str">
        <f>VLOOKUP(H22,'Дни недели сортировка'!A:B,2,FALSE)</f>
        <v>04-четверг</v>
      </c>
      <c r="J22" s="24">
        <v>0.50277777777777777</v>
      </c>
      <c r="K22" s="12" t="s">
        <v>27</v>
      </c>
      <c r="L22" s="12" t="s">
        <v>114</v>
      </c>
      <c r="M22" s="12" t="s">
        <v>29</v>
      </c>
      <c r="N22" s="18">
        <v>1886230</v>
      </c>
      <c r="O22" s="18">
        <f t="shared" si="3"/>
        <v>1791918.5</v>
      </c>
      <c r="P22" s="18">
        <f>O22*15.95%</f>
        <v>285811.00075000001</v>
      </c>
      <c r="Q22" s="18">
        <f>P22*12%</f>
        <v>34297.320090000001</v>
      </c>
      <c r="R22" s="18">
        <f t="shared" si="4"/>
        <v>94311.5</v>
      </c>
      <c r="S22" s="18">
        <f t="shared" si="13"/>
        <v>12364.237649999999</v>
      </c>
      <c r="T22" s="12" t="s">
        <v>115</v>
      </c>
      <c r="U22" s="18">
        <v>29152.722076499998</v>
      </c>
      <c r="V22" s="19">
        <v>17663.634306151347</v>
      </c>
      <c r="W22" s="19">
        <v>17310.361620028321</v>
      </c>
      <c r="X22" s="19">
        <v>12636.563982620673</v>
      </c>
      <c r="Y22" s="40">
        <f t="shared" si="6"/>
        <v>29152</v>
      </c>
      <c r="Z22" s="40">
        <f t="shared" si="7"/>
        <v>17663</v>
      </c>
      <c r="AA22" s="40">
        <f t="shared" si="8"/>
        <v>17310</v>
      </c>
      <c r="AB22" s="40">
        <f t="shared" si="9"/>
        <v>12636</v>
      </c>
    </row>
    <row r="23" spans="1:28" ht="15.75" customHeight="1">
      <c r="A23" s="11" t="s">
        <v>116</v>
      </c>
      <c r="B23" s="12" t="s">
        <v>117</v>
      </c>
      <c r="C23" s="13" t="s">
        <v>25</v>
      </c>
      <c r="D23" s="26" t="s">
        <v>39</v>
      </c>
      <c r="E23" s="27">
        <v>44309</v>
      </c>
      <c r="F23" s="15">
        <f t="shared" si="0"/>
        <v>2021</v>
      </c>
      <c r="G23" s="16">
        <f t="shared" si="1"/>
        <v>17</v>
      </c>
      <c r="H23" s="16">
        <f t="shared" si="2"/>
        <v>5</v>
      </c>
      <c r="I23" s="16" t="str">
        <f>VLOOKUP(H23,'Дни недели сортировка'!A:B,2,FALSE)</f>
        <v>05-пятница</v>
      </c>
      <c r="J23" s="24">
        <v>0.50277777777777777</v>
      </c>
      <c r="K23" s="12" t="s">
        <v>27</v>
      </c>
      <c r="L23" s="12" t="s">
        <v>118</v>
      </c>
      <c r="M23" s="12" t="s">
        <v>35</v>
      </c>
      <c r="N23" s="18">
        <v>2342323</v>
      </c>
      <c r="O23" s="18">
        <f t="shared" si="3"/>
        <v>2225206.85</v>
      </c>
      <c r="P23" s="18">
        <f>O23*16.32%</f>
        <v>363153.75792000006</v>
      </c>
      <c r="Q23" s="18">
        <f>P23*9%</f>
        <v>32683.838212800005</v>
      </c>
      <c r="R23" s="18">
        <f t="shared" si="4"/>
        <v>117116.14999999991</v>
      </c>
      <c r="S23" s="18">
        <f t="shared" si="13"/>
        <v>15353.927265</v>
      </c>
      <c r="T23" s="12" t="s">
        <v>119</v>
      </c>
      <c r="U23" s="18">
        <v>30069.131155776005</v>
      </c>
      <c r="V23" s="19">
        <v>11633.746844169737</v>
      </c>
      <c r="W23" s="19">
        <v>10121.359754427671</v>
      </c>
      <c r="X23" s="19">
        <v>7995.8742059978604</v>
      </c>
      <c r="Y23" s="40">
        <f t="shared" si="6"/>
        <v>30069</v>
      </c>
      <c r="Z23" s="40">
        <f t="shared" si="7"/>
        <v>11633</v>
      </c>
      <c r="AA23" s="40">
        <f t="shared" si="8"/>
        <v>10121</v>
      </c>
      <c r="AB23" s="40">
        <f t="shared" si="9"/>
        <v>7995</v>
      </c>
    </row>
    <row r="24" spans="1:28" ht="15.75" customHeight="1">
      <c r="A24" s="11" t="s">
        <v>120</v>
      </c>
      <c r="B24" s="12" t="s">
        <v>121</v>
      </c>
      <c r="C24" s="13" t="s">
        <v>25</v>
      </c>
      <c r="D24" s="26" t="s">
        <v>39</v>
      </c>
      <c r="E24" s="27">
        <v>44316</v>
      </c>
      <c r="F24" s="15">
        <f t="shared" si="0"/>
        <v>2021</v>
      </c>
      <c r="G24" s="16">
        <f t="shared" si="1"/>
        <v>18</v>
      </c>
      <c r="H24" s="16">
        <f t="shared" si="2"/>
        <v>5</v>
      </c>
      <c r="I24" s="16" t="str">
        <f>VLOOKUP(H24,'Дни недели сортировка'!A:B,2,FALSE)</f>
        <v>05-пятница</v>
      </c>
      <c r="J24" s="24">
        <v>0.50277777777777777</v>
      </c>
      <c r="K24" s="12" t="s">
        <v>27</v>
      </c>
      <c r="L24" s="12" t="s">
        <v>122</v>
      </c>
      <c r="M24" s="12" t="s">
        <v>41</v>
      </c>
      <c r="N24" s="18">
        <v>724212</v>
      </c>
      <c r="O24" s="18">
        <f t="shared" si="3"/>
        <v>688001.4</v>
      </c>
      <c r="P24" s="18">
        <f>O24*14.41%</f>
        <v>99141.001740000007</v>
      </c>
      <c r="Q24" s="18">
        <f>P24*8.4%</f>
        <v>8327.8441461600014</v>
      </c>
      <c r="R24" s="18">
        <f t="shared" si="4"/>
        <v>36210.599999999977</v>
      </c>
      <c r="S24" s="18">
        <f t="shared" si="13"/>
        <v>4747.2096600000004</v>
      </c>
      <c r="T24" s="12" t="s">
        <v>123</v>
      </c>
      <c r="U24" s="18">
        <v>7744.8950559288014</v>
      </c>
      <c r="V24" s="19">
        <v>2676.6357313289936</v>
      </c>
      <c r="W24" s="19">
        <v>2275.1403716296445</v>
      </c>
      <c r="X24" s="19">
        <v>1888.3665084526049</v>
      </c>
      <c r="Y24" s="40">
        <f t="shared" si="6"/>
        <v>7744</v>
      </c>
      <c r="Z24" s="40">
        <f t="shared" si="7"/>
        <v>2676</v>
      </c>
      <c r="AA24" s="40">
        <f t="shared" si="8"/>
        <v>2275</v>
      </c>
      <c r="AB24" s="40">
        <f t="shared" si="9"/>
        <v>1888</v>
      </c>
    </row>
    <row r="25" spans="1:28" ht="15.75" customHeight="1">
      <c r="A25" s="11" t="s">
        <v>124</v>
      </c>
      <c r="B25" s="12" t="s">
        <v>125</v>
      </c>
      <c r="C25" s="13" t="s">
        <v>25</v>
      </c>
      <c r="D25" s="13" t="s">
        <v>33</v>
      </c>
      <c r="E25" s="14">
        <v>44510</v>
      </c>
      <c r="F25" s="15">
        <f t="shared" si="0"/>
        <v>2021</v>
      </c>
      <c r="G25" s="16">
        <f t="shared" si="1"/>
        <v>45</v>
      </c>
      <c r="H25" s="16">
        <f t="shared" si="2"/>
        <v>3</v>
      </c>
      <c r="I25" s="16" t="str">
        <f>VLOOKUP(H25,'Дни недели сортировка'!A:B,2,FALSE)</f>
        <v>03-среда</v>
      </c>
      <c r="J25" s="17">
        <v>0.43888888888888888</v>
      </c>
      <c r="K25" s="12" t="s">
        <v>27</v>
      </c>
      <c r="L25" s="12" t="s">
        <v>126</v>
      </c>
      <c r="M25" s="12" t="s">
        <v>29</v>
      </c>
      <c r="N25" s="18">
        <v>595026</v>
      </c>
      <c r="O25" s="18">
        <f t="shared" si="3"/>
        <v>565274.69999999995</v>
      </c>
      <c r="P25" s="18">
        <f>O25*13.98%</f>
        <v>79025.403059999997</v>
      </c>
      <c r="Q25" s="18">
        <f>P25*3.9%</f>
        <v>3081.9907193399999</v>
      </c>
      <c r="R25" s="18">
        <f t="shared" si="4"/>
        <v>29751.300000000047</v>
      </c>
      <c r="S25" s="18">
        <f t="shared" ref="S25:S36" si="14">O25*0.63%</f>
        <v>3561.2306099999996</v>
      </c>
      <c r="T25" s="12" t="s">
        <v>127</v>
      </c>
      <c r="U25" s="18">
        <v>2804.6115545993998</v>
      </c>
      <c r="V25" s="19">
        <v>677.03322928029513</v>
      </c>
      <c r="W25" s="19">
        <v>565.99977967832672</v>
      </c>
      <c r="X25" s="19">
        <v>464.11981933622786</v>
      </c>
      <c r="Y25" s="40">
        <f t="shared" si="6"/>
        <v>2804</v>
      </c>
      <c r="Z25" s="40">
        <f t="shared" si="7"/>
        <v>677</v>
      </c>
      <c r="AA25" s="40">
        <f t="shared" si="8"/>
        <v>565</v>
      </c>
      <c r="AB25" s="40">
        <f t="shared" si="9"/>
        <v>464</v>
      </c>
    </row>
    <row r="26" spans="1:28" ht="15.75" customHeight="1">
      <c r="A26" s="11" t="s">
        <v>128</v>
      </c>
      <c r="B26" s="12" t="s">
        <v>129</v>
      </c>
      <c r="C26" s="13" t="s">
        <v>25</v>
      </c>
      <c r="D26" s="26" t="s">
        <v>89</v>
      </c>
      <c r="E26" s="27">
        <v>44321</v>
      </c>
      <c r="F26" s="15">
        <f t="shared" si="0"/>
        <v>2021</v>
      </c>
      <c r="G26" s="16">
        <f t="shared" si="1"/>
        <v>18</v>
      </c>
      <c r="H26" s="16">
        <f t="shared" si="2"/>
        <v>3</v>
      </c>
      <c r="I26" s="16" t="str">
        <f>VLOOKUP(H26,'Дни недели сортировка'!A:B,2,FALSE)</f>
        <v>03-среда</v>
      </c>
      <c r="J26" s="24">
        <v>0.50277777777777777</v>
      </c>
      <c r="K26" s="12" t="s">
        <v>27</v>
      </c>
      <c r="L26" s="12" t="s">
        <v>130</v>
      </c>
      <c r="M26" s="12" t="s">
        <v>35</v>
      </c>
      <c r="N26" s="18">
        <v>1534412</v>
      </c>
      <c r="O26" s="18">
        <f t="shared" si="3"/>
        <v>1457691.4</v>
      </c>
      <c r="P26" s="18">
        <f>O26*15.95%</f>
        <v>232501.77829999998</v>
      </c>
      <c r="Q26" s="18">
        <f>P26*7.2%</f>
        <v>16740.1280376</v>
      </c>
      <c r="R26" s="18">
        <f t="shared" si="4"/>
        <v>76720.600000000093</v>
      </c>
      <c r="S26" s="18">
        <f t="shared" si="14"/>
        <v>9183.4558199999992</v>
      </c>
      <c r="T26" s="12" t="s">
        <v>131</v>
      </c>
      <c r="U26" s="18">
        <v>14563.911392712</v>
      </c>
      <c r="V26" s="19">
        <v>8292.6911470102132</v>
      </c>
      <c r="W26" s="19">
        <v>6733.6652113722939</v>
      </c>
      <c r="X26" s="19">
        <v>5319.5955169841127</v>
      </c>
      <c r="Y26" s="40">
        <f t="shared" si="6"/>
        <v>14563</v>
      </c>
      <c r="Z26" s="40">
        <f t="shared" si="7"/>
        <v>8292</v>
      </c>
      <c r="AA26" s="40">
        <f t="shared" si="8"/>
        <v>6733</v>
      </c>
      <c r="AB26" s="40">
        <f t="shared" si="9"/>
        <v>5319</v>
      </c>
    </row>
    <row r="27" spans="1:28" ht="15.75" customHeight="1">
      <c r="A27" s="11" t="s">
        <v>132</v>
      </c>
      <c r="B27" s="12" t="s">
        <v>133</v>
      </c>
      <c r="C27" s="13" t="s">
        <v>25</v>
      </c>
      <c r="D27" s="26" t="s">
        <v>89</v>
      </c>
      <c r="E27" s="27">
        <v>44327</v>
      </c>
      <c r="F27" s="15">
        <f t="shared" si="0"/>
        <v>2021</v>
      </c>
      <c r="G27" s="16">
        <f t="shared" si="1"/>
        <v>19</v>
      </c>
      <c r="H27" s="16">
        <f t="shared" si="2"/>
        <v>2</v>
      </c>
      <c r="I27" s="16" t="str">
        <f>VLOOKUP(H27,'Дни недели сортировка'!A:B,2,FALSE)</f>
        <v>02-вторник</v>
      </c>
      <c r="J27" s="24">
        <v>0.50277777777777777</v>
      </c>
      <c r="K27" s="12" t="s">
        <v>27</v>
      </c>
      <c r="L27" s="12" t="s">
        <v>134</v>
      </c>
      <c r="M27" s="12" t="s">
        <v>41</v>
      </c>
      <c r="N27" s="18">
        <v>1271610</v>
      </c>
      <c r="O27" s="18">
        <f t="shared" si="3"/>
        <v>1208029.5</v>
      </c>
      <c r="P27" s="18">
        <f>O27*16.32%</f>
        <v>197150.41440000001</v>
      </c>
      <c r="Q27" s="18">
        <f>P27*12%</f>
        <v>23658.049728000002</v>
      </c>
      <c r="R27" s="18">
        <f t="shared" si="4"/>
        <v>63580.5</v>
      </c>
      <c r="S27" s="18">
        <f t="shared" si="14"/>
        <v>7610.5858500000004</v>
      </c>
      <c r="T27" s="12" t="s">
        <v>135</v>
      </c>
      <c r="U27" s="18">
        <v>16324.05431232</v>
      </c>
      <c r="V27" s="19">
        <v>4239.356904909504</v>
      </c>
      <c r="W27" s="19">
        <v>4154.5697668113135</v>
      </c>
      <c r="X27" s="19">
        <v>3115.9273251084851</v>
      </c>
      <c r="Y27" s="40">
        <f t="shared" si="6"/>
        <v>16324</v>
      </c>
      <c r="Z27" s="40">
        <f t="shared" si="7"/>
        <v>4239</v>
      </c>
      <c r="AA27" s="40">
        <f t="shared" si="8"/>
        <v>4154</v>
      </c>
      <c r="AB27" s="40">
        <f t="shared" si="9"/>
        <v>3115</v>
      </c>
    </row>
    <row r="28" spans="1:28" ht="15.75" customHeight="1">
      <c r="A28" s="11" t="s">
        <v>136</v>
      </c>
      <c r="B28" s="12" t="s">
        <v>137</v>
      </c>
      <c r="C28" s="13" t="s">
        <v>25</v>
      </c>
      <c r="D28" s="26" t="s">
        <v>89</v>
      </c>
      <c r="E28" s="27">
        <v>44342</v>
      </c>
      <c r="F28" s="15">
        <f t="shared" si="0"/>
        <v>2021</v>
      </c>
      <c r="G28" s="16">
        <f t="shared" si="1"/>
        <v>21</v>
      </c>
      <c r="H28" s="16">
        <f t="shared" si="2"/>
        <v>3</v>
      </c>
      <c r="I28" s="16" t="str">
        <f>VLOOKUP(H28,'Дни недели сортировка'!A:B,2,FALSE)</f>
        <v>03-среда</v>
      </c>
      <c r="J28" s="24">
        <v>0.50277777777777777</v>
      </c>
      <c r="K28" s="12" t="s">
        <v>27</v>
      </c>
      <c r="L28" s="12" t="s">
        <v>138</v>
      </c>
      <c r="M28" s="12" t="s">
        <v>29</v>
      </c>
      <c r="N28" s="18">
        <v>1840578</v>
      </c>
      <c r="O28" s="18">
        <f t="shared" si="3"/>
        <v>1748549.1</v>
      </c>
      <c r="P28" s="18">
        <f>O28*14.41%</f>
        <v>251965.92531000002</v>
      </c>
      <c r="Q28" s="18">
        <f>P28*9%</f>
        <v>22676.9332779</v>
      </c>
      <c r="R28" s="18">
        <f t="shared" si="4"/>
        <v>92028.899999999907</v>
      </c>
      <c r="S28" s="18">
        <f t="shared" si="14"/>
        <v>11015.859330000001</v>
      </c>
      <c r="T28" s="12" t="s">
        <v>139</v>
      </c>
      <c r="U28" s="18">
        <v>21996.625279562999</v>
      </c>
      <c r="V28" s="19">
        <v>9174.7924041057267</v>
      </c>
      <c r="W28" s="19">
        <v>7982.0693915719821</v>
      </c>
      <c r="X28" s="19">
        <v>5826.9106558475469</v>
      </c>
      <c r="Y28" s="40">
        <f t="shared" si="6"/>
        <v>21996</v>
      </c>
      <c r="Z28" s="40">
        <f t="shared" si="7"/>
        <v>9174</v>
      </c>
      <c r="AA28" s="40">
        <f t="shared" si="8"/>
        <v>7982</v>
      </c>
      <c r="AB28" s="40">
        <f t="shared" si="9"/>
        <v>5826</v>
      </c>
    </row>
    <row r="29" spans="1:28" ht="15.75" customHeight="1">
      <c r="A29" s="11" t="s">
        <v>140</v>
      </c>
      <c r="B29" s="12" t="s">
        <v>141</v>
      </c>
      <c r="C29" s="13" t="s">
        <v>25</v>
      </c>
      <c r="D29" s="26" t="s">
        <v>89</v>
      </c>
      <c r="E29" s="27">
        <v>44322</v>
      </c>
      <c r="F29" s="15">
        <f t="shared" si="0"/>
        <v>2021</v>
      </c>
      <c r="G29" s="16">
        <f t="shared" si="1"/>
        <v>18</v>
      </c>
      <c r="H29" s="16">
        <f t="shared" si="2"/>
        <v>4</v>
      </c>
      <c r="I29" s="16" t="str">
        <f>VLOOKUP(H29,'Дни недели сортировка'!A:B,2,FALSE)</f>
        <v>04-четверг</v>
      </c>
      <c r="J29" s="24">
        <v>0.50277777777777777</v>
      </c>
      <c r="K29" s="12" t="s">
        <v>27</v>
      </c>
      <c r="L29" s="12" t="s">
        <v>142</v>
      </c>
      <c r="M29" s="12" t="s">
        <v>35</v>
      </c>
      <c r="N29" s="18">
        <v>1543014</v>
      </c>
      <c r="O29" s="18">
        <f>N29-1.5%*N29</f>
        <v>1519868.79</v>
      </c>
      <c r="P29" s="18">
        <f>O29*13.98%</f>
        <v>212477.65684200003</v>
      </c>
      <c r="Q29" s="18">
        <f>P29*8.4%</f>
        <v>17848.123174728004</v>
      </c>
      <c r="R29" s="18">
        <f t="shared" si="4"/>
        <v>23145.209999999963</v>
      </c>
      <c r="S29" s="18">
        <f t="shared" si="14"/>
        <v>9575.173377000001</v>
      </c>
      <c r="T29" s="12" t="s">
        <v>143</v>
      </c>
      <c r="U29" s="18">
        <v>15170.904698518803</v>
      </c>
      <c r="V29" s="19">
        <v>9192.0511568325419</v>
      </c>
      <c r="W29" s="19">
        <v>7813.2434833076604</v>
      </c>
      <c r="X29" s="19">
        <v>6172.462351813052</v>
      </c>
      <c r="Y29" s="40">
        <f t="shared" si="6"/>
        <v>15170</v>
      </c>
      <c r="Z29" s="40">
        <f t="shared" si="7"/>
        <v>9192</v>
      </c>
      <c r="AA29" s="40">
        <f t="shared" si="8"/>
        <v>7813</v>
      </c>
      <c r="AB29" s="40">
        <f t="shared" si="9"/>
        <v>6172</v>
      </c>
    </row>
    <row r="30" spans="1:28" ht="15.75" customHeight="1">
      <c r="A30" s="11" t="s">
        <v>144</v>
      </c>
      <c r="B30" s="12" t="s">
        <v>145</v>
      </c>
      <c r="C30" s="13" t="s">
        <v>25</v>
      </c>
      <c r="D30" s="28" t="s">
        <v>146</v>
      </c>
      <c r="E30" s="27">
        <v>44350</v>
      </c>
      <c r="F30" s="15">
        <f t="shared" si="0"/>
        <v>2021</v>
      </c>
      <c r="G30" s="16">
        <f t="shared" si="1"/>
        <v>22</v>
      </c>
      <c r="H30" s="16">
        <f t="shared" si="2"/>
        <v>4</v>
      </c>
      <c r="I30" s="16" t="str">
        <f>VLOOKUP(H30,'Дни недели сортировка'!A:B,2,FALSE)</f>
        <v>04-четверг</v>
      </c>
      <c r="J30" s="24">
        <v>0.50277777777777777</v>
      </c>
      <c r="K30" s="12" t="s">
        <v>27</v>
      </c>
      <c r="L30" s="12" t="s">
        <v>147</v>
      </c>
      <c r="M30" s="12" t="s">
        <v>41</v>
      </c>
      <c r="N30" s="18">
        <v>1908956</v>
      </c>
      <c r="O30" s="18">
        <f t="shared" ref="O30:O31" si="15">N30-2%*N30</f>
        <v>1870776.88</v>
      </c>
      <c r="P30" s="18">
        <f>O30*15.95%</f>
        <v>298388.91236000002</v>
      </c>
      <c r="Q30" s="18">
        <f>P30*3.9%</f>
        <v>11637.167582040001</v>
      </c>
      <c r="R30" s="18">
        <f t="shared" si="4"/>
        <v>38179.120000000112</v>
      </c>
      <c r="S30" s="18">
        <f t="shared" si="14"/>
        <v>11785.894344</v>
      </c>
      <c r="T30" s="12" t="s">
        <v>148</v>
      </c>
      <c r="U30" s="18">
        <v>10706.194175476801</v>
      </c>
      <c r="V30" s="19">
        <v>4142.2265264919743</v>
      </c>
      <c r="W30" s="19">
        <v>3462.9013761472902</v>
      </c>
      <c r="X30" s="19">
        <v>2874.2081422022507</v>
      </c>
      <c r="Y30" s="40">
        <f t="shared" si="6"/>
        <v>10706</v>
      </c>
      <c r="Z30" s="40">
        <f t="shared" si="7"/>
        <v>4142</v>
      </c>
      <c r="AA30" s="40">
        <f t="shared" si="8"/>
        <v>3462</v>
      </c>
      <c r="AB30" s="40">
        <f t="shared" si="9"/>
        <v>2874</v>
      </c>
    </row>
    <row r="31" spans="1:28" ht="15.75" customHeight="1">
      <c r="A31" s="11" t="s">
        <v>149</v>
      </c>
      <c r="B31" s="12" t="s">
        <v>150</v>
      </c>
      <c r="C31" s="13" t="s">
        <v>25</v>
      </c>
      <c r="D31" s="28" t="s">
        <v>146</v>
      </c>
      <c r="E31" s="27">
        <v>44377</v>
      </c>
      <c r="F31" s="15">
        <f t="shared" si="0"/>
        <v>2021</v>
      </c>
      <c r="G31" s="16">
        <f t="shared" si="1"/>
        <v>26</v>
      </c>
      <c r="H31" s="16">
        <f t="shared" si="2"/>
        <v>3</v>
      </c>
      <c r="I31" s="16" t="str">
        <f>VLOOKUP(H31,'Дни недели сортировка'!A:B,2,FALSE)</f>
        <v>03-среда</v>
      </c>
      <c r="J31" s="24">
        <v>0.50277777777777777</v>
      </c>
      <c r="K31" s="12" t="s">
        <v>27</v>
      </c>
      <c r="L31" s="12" t="s">
        <v>151</v>
      </c>
      <c r="M31" s="12" t="s">
        <v>29</v>
      </c>
      <c r="N31" s="18">
        <v>1048331</v>
      </c>
      <c r="O31" s="18">
        <f t="shared" si="15"/>
        <v>1027364.38</v>
      </c>
      <c r="P31" s="18">
        <f>O31*16.32%</f>
        <v>167665.86681600002</v>
      </c>
      <c r="Q31" s="18">
        <f>P31*7.2%</f>
        <v>12071.942410752003</v>
      </c>
      <c r="R31" s="18">
        <f t="shared" si="4"/>
        <v>20966.619999999995</v>
      </c>
      <c r="S31" s="18">
        <f t="shared" si="14"/>
        <v>6472.3955940000005</v>
      </c>
      <c r="T31" s="12" t="s">
        <v>152</v>
      </c>
      <c r="U31" s="18">
        <v>11226.906441999363</v>
      </c>
      <c r="V31" s="19">
        <v>3880.0188663549793</v>
      </c>
      <c r="W31" s="19">
        <v>3150.5753194802433</v>
      </c>
      <c r="X31" s="19">
        <v>2583.4717619737994</v>
      </c>
      <c r="Y31" s="40">
        <f t="shared" si="6"/>
        <v>11226</v>
      </c>
      <c r="Z31" s="40">
        <f t="shared" si="7"/>
        <v>3880</v>
      </c>
      <c r="AA31" s="40">
        <f t="shared" si="8"/>
        <v>3150</v>
      </c>
      <c r="AB31" s="40">
        <f t="shared" si="9"/>
        <v>2583</v>
      </c>
    </row>
    <row r="32" spans="1:28" ht="15.75" customHeight="1">
      <c r="A32" s="11" t="s">
        <v>153</v>
      </c>
      <c r="B32" s="12" t="s">
        <v>154</v>
      </c>
      <c r="C32" s="13" t="s">
        <v>25</v>
      </c>
      <c r="D32" s="28" t="s">
        <v>146</v>
      </c>
      <c r="E32" s="27">
        <v>44377</v>
      </c>
      <c r="F32" s="15">
        <f t="shared" si="0"/>
        <v>2021</v>
      </c>
      <c r="G32" s="16">
        <f t="shared" si="1"/>
        <v>26</v>
      </c>
      <c r="H32" s="16">
        <f t="shared" si="2"/>
        <v>3</v>
      </c>
      <c r="I32" s="16" t="str">
        <f>VLOOKUP(H32,'Дни недели сортировка'!A:B,2,FALSE)</f>
        <v>03-среда</v>
      </c>
      <c r="J32" s="24">
        <v>0.50277777777777777</v>
      </c>
      <c r="K32" s="12" t="s">
        <v>27</v>
      </c>
      <c r="L32" s="12" t="s">
        <v>155</v>
      </c>
      <c r="M32" s="12" t="s">
        <v>35</v>
      </c>
      <c r="N32" s="18">
        <v>1139864</v>
      </c>
      <c r="O32" s="18">
        <f>N32-1.5%*N32</f>
        <v>1122766.04</v>
      </c>
      <c r="P32" s="18">
        <f>O32*14.41%</f>
        <v>161790.58636400002</v>
      </c>
      <c r="Q32" s="18">
        <f>P32*12%</f>
        <v>19414.870363680002</v>
      </c>
      <c r="R32" s="18">
        <f t="shared" si="4"/>
        <v>17097.959999999963</v>
      </c>
      <c r="S32" s="18">
        <f t="shared" si="14"/>
        <v>7073.4260520000007</v>
      </c>
      <c r="T32" s="12" t="s">
        <v>156</v>
      </c>
      <c r="U32" s="18">
        <v>17667.532030948802</v>
      </c>
      <c r="V32" s="19">
        <v>4264.9422322710407</v>
      </c>
      <c r="W32" s="19">
        <v>4179.6433876256197</v>
      </c>
      <c r="X32" s="19">
        <v>3301.9182762242399</v>
      </c>
      <c r="Y32" s="40">
        <f t="shared" si="6"/>
        <v>17667</v>
      </c>
      <c r="Z32" s="40">
        <f t="shared" si="7"/>
        <v>4264</v>
      </c>
      <c r="AA32" s="40">
        <f t="shared" si="8"/>
        <v>4179</v>
      </c>
      <c r="AB32" s="40">
        <f t="shared" si="9"/>
        <v>3301</v>
      </c>
    </row>
    <row r="33" spans="1:28" ht="15.75" customHeight="1">
      <c r="A33" s="11" t="s">
        <v>157</v>
      </c>
      <c r="B33" s="12" t="s">
        <v>158</v>
      </c>
      <c r="C33" s="13" t="s">
        <v>25</v>
      </c>
      <c r="D33" s="28" t="s">
        <v>146</v>
      </c>
      <c r="E33" s="27">
        <v>44358</v>
      </c>
      <c r="F33" s="15">
        <f t="shared" si="0"/>
        <v>2021</v>
      </c>
      <c r="G33" s="16">
        <f t="shared" si="1"/>
        <v>24</v>
      </c>
      <c r="H33" s="16">
        <f t="shared" si="2"/>
        <v>5</v>
      </c>
      <c r="I33" s="16" t="str">
        <f>VLOOKUP(H33,'Дни недели сортировка'!A:B,2,FALSE)</f>
        <v>05-пятница</v>
      </c>
      <c r="J33" s="24">
        <v>0.50277777777777777</v>
      </c>
      <c r="K33" s="12" t="s">
        <v>27</v>
      </c>
      <c r="L33" s="12" t="s">
        <v>159</v>
      </c>
      <c r="M33" s="12" t="s">
        <v>41</v>
      </c>
      <c r="N33" s="18">
        <v>1532124</v>
      </c>
      <c r="O33" s="18">
        <f t="shared" ref="O33:O34" si="16">N33-2%*N33</f>
        <v>1501481.52</v>
      </c>
      <c r="P33" s="18">
        <f>O33*13.98%</f>
        <v>209907.116496</v>
      </c>
      <c r="Q33" s="18">
        <f>P33*9%</f>
        <v>18891.64048464</v>
      </c>
      <c r="R33" s="18">
        <f t="shared" si="4"/>
        <v>30642.479999999981</v>
      </c>
      <c r="S33" s="18">
        <f t="shared" si="14"/>
        <v>9459.3335760000009</v>
      </c>
      <c r="T33" s="12" t="s">
        <v>160</v>
      </c>
      <c r="U33" s="18">
        <v>16435.7272216368</v>
      </c>
      <c r="V33" s="19">
        <v>9358.503079999995</v>
      </c>
      <c r="W33" s="19">
        <v>8141.8976795999952</v>
      </c>
      <c r="X33" s="19">
        <v>6106.4232596999964</v>
      </c>
      <c r="Y33" s="40">
        <f t="shared" si="6"/>
        <v>16435</v>
      </c>
      <c r="Z33" s="40">
        <f t="shared" si="7"/>
        <v>9358</v>
      </c>
      <c r="AA33" s="40">
        <f t="shared" si="8"/>
        <v>8141</v>
      </c>
      <c r="AB33" s="40">
        <f t="shared" si="9"/>
        <v>6106</v>
      </c>
    </row>
    <row r="34" spans="1:28" ht="15.75" customHeight="1">
      <c r="A34" s="11" t="s">
        <v>161</v>
      </c>
      <c r="B34" s="12" t="s">
        <v>162</v>
      </c>
      <c r="C34" s="13" t="s">
        <v>25</v>
      </c>
      <c r="D34" s="28" t="s">
        <v>146</v>
      </c>
      <c r="E34" s="27">
        <v>44358</v>
      </c>
      <c r="F34" s="15">
        <f t="shared" si="0"/>
        <v>2021</v>
      </c>
      <c r="G34" s="16">
        <f t="shared" si="1"/>
        <v>24</v>
      </c>
      <c r="H34" s="16">
        <f t="shared" si="2"/>
        <v>5</v>
      </c>
      <c r="I34" s="16" t="str">
        <f>VLOOKUP(H34,'Дни недели сортировка'!A:B,2,FALSE)</f>
        <v>05-пятница</v>
      </c>
      <c r="J34" s="24">
        <v>0.50277777777777777</v>
      </c>
      <c r="K34" s="12" t="s">
        <v>27</v>
      </c>
      <c r="L34" s="12" t="s">
        <v>163</v>
      </c>
      <c r="M34" s="12" t="s">
        <v>29</v>
      </c>
      <c r="N34" s="18">
        <v>2204384</v>
      </c>
      <c r="O34" s="18">
        <f t="shared" si="16"/>
        <v>2160296.3199999998</v>
      </c>
      <c r="P34" s="18">
        <f>O34*15.95%</f>
        <v>344567.26303999999</v>
      </c>
      <c r="Q34" s="18">
        <f>P34*8.4%</f>
        <v>28943.650095360001</v>
      </c>
      <c r="R34" s="18">
        <f t="shared" si="4"/>
        <v>44087.680000000168</v>
      </c>
      <c r="S34" s="18">
        <f t="shared" si="14"/>
        <v>13609.866816</v>
      </c>
      <c r="T34" s="12" t="s">
        <v>164</v>
      </c>
      <c r="U34" s="18">
        <v>19971.118565798399</v>
      </c>
      <c r="V34" s="19">
        <v>5186.4994915378438</v>
      </c>
      <c r="W34" s="19">
        <v>4408.5245678071669</v>
      </c>
      <c r="X34" s="19">
        <v>3218.222934499232</v>
      </c>
      <c r="Y34" s="40">
        <f t="shared" si="6"/>
        <v>19971</v>
      </c>
      <c r="Z34" s="40">
        <f t="shared" si="7"/>
        <v>5186</v>
      </c>
      <c r="AA34" s="40">
        <f t="shared" si="8"/>
        <v>4408</v>
      </c>
      <c r="AB34" s="40">
        <f t="shared" si="9"/>
        <v>3218</v>
      </c>
    </row>
    <row r="35" spans="1:28" ht="15.75" customHeight="1">
      <c r="A35" s="11" t="s">
        <v>165</v>
      </c>
      <c r="B35" s="12" t="s">
        <v>166</v>
      </c>
      <c r="C35" s="13" t="s">
        <v>25</v>
      </c>
      <c r="D35" s="28" t="s">
        <v>146</v>
      </c>
      <c r="E35" s="27">
        <v>44364</v>
      </c>
      <c r="F35" s="15">
        <f t="shared" si="0"/>
        <v>2021</v>
      </c>
      <c r="G35" s="16">
        <f t="shared" si="1"/>
        <v>24</v>
      </c>
      <c r="H35" s="16">
        <f t="shared" si="2"/>
        <v>4</v>
      </c>
      <c r="I35" s="16" t="str">
        <f>VLOOKUP(H35,'Дни недели сортировка'!A:B,2,FALSE)</f>
        <v>04-четверг</v>
      </c>
      <c r="J35" s="24">
        <v>0.50277777777777777</v>
      </c>
      <c r="K35" s="12" t="s">
        <v>27</v>
      </c>
      <c r="L35" s="12" t="s">
        <v>167</v>
      </c>
      <c r="M35" s="12" t="s">
        <v>35</v>
      </c>
      <c r="N35" s="18">
        <v>637366</v>
      </c>
      <c r="O35" s="18">
        <f>N35-1.5%*N35</f>
        <v>627805.51</v>
      </c>
      <c r="P35" s="18">
        <f>O35*16.32%</f>
        <v>102457.859232</v>
      </c>
      <c r="Q35" s="18">
        <f>P35*3.9%</f>
        <v>3995.856510048</v>
      </c>
      <c r="R35" s="18">
        <f t="shared" si="4"/>
        <v>9560.4899999999907</v>
      </c>
      <c r="S35" s="18">
        <f t="shared" si="14"/>
        <v>3955.1747129999999</v>
      </c>
      <c r="T35" s="12" t="s">
        <v>168</v>
      </c>
      <c r="U35" s="18">
        <v>3875.9808147465601</v>
      </c>
      <c r="V35" s="19">
        <v>1616.6715978307902</v>
      </c>
      <c r="W35" s="19">
        <v>1351.5374557865405</v>
      </c>
      <c r="X35" s="19">
        <v>1067.714590071367</v>
      </c>
      <c r="Y35" s="40">
        <f t="shared" si="6"/>
        <v>3875</v>
      </c>
      <c r="Z35" s="40">
        <f t="shared" si="7"/>
        <v>1616</v>
      </c>
      <c r="AA35" s="40">
        <f t="shared" si="8"/>
        <v>1351</v>
      </c>
      <c r="AB35" s="40">
        <f t="shared" si="9"/>
        <v>1067</v>
      </c>
    </row>
    <row r="36" spans="1:28" ht="15.75" customHeight="1">
      <c r="A36" s="11" t="s">
        <v>169</v>
      </c>
      <c r="B36" s="12" t="s">
        <v>170</v>
      </c>
      <c r="C36" s="13" t="s">
        <v>25</v>
      </c>
      <c r="D36" s="13" t="s">
        <v>33</v>
      </c>
      <c r="E36" s="14">
        <v>44510</v>
      </c>
      <c r="F36" s="15">
        <f t="shared" si="0"/>
        <v>2021</v>
      </c>
      <c r="G36" s="16">
        <f t="shared" si="1"/>
        <v>45</v>
      </c>
      <c r="H36" s="16">
        <f t="shared" si="2"/>
        <v>3</v>
      </c>
      <c r="I36" s="16" t="str">
        <f>VLOOKUP(H36,'Дни недели сортировка'!A:B,2,FALSE)</f>
        <v>03-среда</v>
      </c>
      <c r="J36" s="17">
        <v>0.44027777777777777</v>
      </c>
      <c r="K36" s="12" t="s">
        <v>27</v>
      </c>
      <c r="L36" s="12" t="s">
        <v>171</v>
      </c>
      <c r="M36" s="12" t="s">
        <v>41</v>
      </c>
      <c r="N36" s="18">
        <v>1662638</v>
      </c>
      <c r="O36" s="18">
        <f t="shared" ref="O36:O37" si="17">N36-2%*N36</f>
        <v>1629385.24</v>
      </c>
      <c r="P36" s="18">
        <f>O36*14.41%</f>
        <v>234794.413084</v>
      </c>
      <c r="Q36" s="18">
        <f>P36*7.2%</f>
        <v>16905.197742048003</v>
      </c>
      <c r="R36" s="18">
        <f t="shared" si="4"/>
        <v>33252.760000000009</v>
      </c>
      <c r="S36" s="18">
        <f t="shared" si="14"/>
        <v>10265.127012000001</v>
      </c>
      <c r="T36" s="12" t="s">
        <v>172</v>
      </c>
      <c r="U36" s="18">
        <v>14369.418080740803</v>
      </c>
      <c r="V36" s="19">
        <v>8706.4304151208526</v>
      </c>
      <c r="W36" s="19">
        <v>7069.621497078133</v>
      </c>
      <c r="X36" s="19">
        <v>5867.78584257485</v>
      </c>
      <c r="Y36" s="40">
        <f t="shared" si="6"/>
        <v>14369</v>
      </c>
      <c r="Z36" s="40">
        <f t="shared" si="7"/>
        <v>8706</v>
      </c>
      <c r="AA36" s="40">
        <f t="shared" si="8"/>
        <v>7069</v>
      </c>
      <c r="AB36" s="40">
        <f t="shared" si="9"/>
        <v>5867</v>
      </c>
    </row>
    <row r="37" spans="1:28" ht="15.75" customHeight="1">
      <c r="A37" s="11" t="s">
        <v>173</v>
      </c>
      <c r="B37" s="12" t="s">
        <v>174</v>
      </c>
      <c r="C37" s="13" t="s">
        <v>25</v>
      </c>
      <c r="D37" s="28" t="s">
        <v>146</v>
      </c>
      <c r="E37" s="27">
        <v>44364</v>
      </c>
      <c r="F37" s="15">
        <f t="shared" si="0"/>
        <v>2021</v>
      </c>
      <c r="G37" s="16">
        <f t="shared" si="1"/>
        <v>24</v>
      </c>
      <c r="H37" s="16">
        <f t="shared" si="2"/>
        <v>4</v>
      </c>
      <c r="I37" s="16" t="str">
        <f>VLOOKUP(H37,'Дни недели сортировка'!A:B,2,FALSE)</f>
        <v>04-четверг</v>
      </c>
      <c r="J37" s="24">
        <v>0.50277777777777777</v>
      </c>
      <c r="K37" s="12" t="s">
        <v>27</v>
      </c>
      <c r="L37" s="12" t="s">
        <v>175</v>
      </c>
      <c r="M37" s="12" t="s">
        <v>29</v>
      </c>
      <c r="N37" s="18">
        <v>803451</v>
      </c>
      <c r="O37" s="18">
        <f t="shared" si="17"/>
        <v>787381.98</v>
      </c>
      <c r="P37" s="18">
        <f>O37*13.98%</f>
        <v>110076.00080400001</v>
      </c>
      <c r="Q37" s="18">
        <f>P37*12%</f>
        <v>13209.120096480001</v>
      </c>
      <c r="R37" s="18">
        <f t="shared" si="4"/>
        <v>16069.020000000019</v>
      </c>
      <c r="S37" s="18">
        <f t="shared" ref="S37:S49" si="18">O37*0.6%</f>
        <v>4724.2918799999998</v>
      </c>
      <c r="T37" s="12" t="s">
        <v>176</v>
      </c>
      <c r="U37" s="18">
        <v>12152.390488761601</v>
      </c>
      <c r="V37" s="19">
        <v>4701.759880101863</v>
      </c>
      <c r="W37" s="19">
        <v>3996.4958980865836</v>
      </c>
      <c r="X37" s="19">
        <v>3277.1266364309981</v>
      </c>
      <c r="Y37" s="40">
        <f t="shared" si="6"/>
        <v>12152</v>
      </c>
      <c r="Z37" s="40">
        <f t="shared" si="7"/>
        <v>4701</v>
      </c>
      <c r="AA37" s="40">
        <f t="shared" si="8"/>
        <v>3996</v>
      </c>
      <c r="AB37" s="40">
        <f t="shared" si="9"/>
        <v>3277</v>
      </c>
    </row>
    <row r="38" spans="1:28" ht="15.75" customHeight="1">
      <c r="A38" s="11" t="s">
        <v>177</v>
      </c>
      <c r="B38" s="12" t="s">
        <v>178</v>
      </c>
      <c r="C38" s="13" t="s">
        <v>25</v>
      </c>
      <c r="D38" s="28" t="s">
        <v>146</v>
      </c>
      <c r="E38" s="27">
        <v>44364</v>
      </c>
      <c r="F38" s="15">
        <f t="shared" si="0"/>
        <v>2021</v>
      </c>
      <c r="G38" s="16">
        <f t="shared" si="1"/>
        <v>24</v>
      </c>
      <c r="H38" s="16">
        <f t="shared" si="2"/>
        <v>4</v>
      </c>
      <c r="I38" s="16" t="str">
        <f>VLOOKUP(H38,'Дни недели сортировка'!A:B,2,FALSE)</f>
        <v>04-четверг</v>
      </c>
      <c r="J38" s="24">
        <v>0.50277777777777777</v>
      </c>
      <c r="K38" s="12" t="s">
        <v>27</v>
      </c>
      <c r="L38" s="12" t="s">
        <v>179</v>
      </c>
      <c r="M38" s="12" t="s">
        <v>35</v>
      </c>
      <c r="N38" s="18">
        <v>712081</v>
      </c>
      <c r="O38" s="18">
        <f>N38-1.5%*N38</f>
        <v>701399.78500000003</v>
      </c>
      <c r="P38" s="18">
        <f>O38*15.95%</f>
        <v>111873.2657075</v>
      </c>
      <c r="Q38" s="18">
        <f>P38*9%</f>
        <v>10068.593913675</v>
      </c>
      <c r="R38" s="18">
        <f t="shared" si="4"/>
        <v>10681.214999999967</v>
      </c>
      <c r="S38" s="18">
        <f t="shared" si="18"/>
        <v>4208.3987100000004</v>
      </c>
      <c r="T38" s="12" t="s">
        <v>180</v>
      </c>
      <c r="U38" s="18">
        <v>9363.792339717751</v>
      </c>
      <c r="V38" s="19">
        <v>3236.1266326064547</v>
      </c>
      <c r="W38" s="19">
        <v>2705.4018648589959</v>
      </c>
      <c r="X38" s="19">
        <v>2137.2674732386067</v>
      </c>
      <c r="Y38" s="40">
        <f t="shared" si="6"/>
        <v>9363</v>
      </c>
      <c r="Z38" s="40">
        <f t="shared" si="7"/>
        <v>3236</v>
      </c>
      <c r="AA38" s="40">
        <f t="shared" si="8"/>
        <v>2705</v>
      </c>
      <c r="AB38" s="40">
        <f t="shared" si="9"/>
        <v>2137</v>
      </c>
    </row>
    <row r="39" spans="1:28" ht="15.75" customHeight="1">
      <c r="A39" s="11" t="s">
        <v>181</v>
      </c>
      <c r="B39" s="12" t="s">
        <v>182</v>
      </c>
      <c r="C39" s="13" t="s">
        <v>25</v>
      </c>
      <c r="D39" s="28" t="s">
        <v>146</v>
      </c>
      <c r="E39" s="27">
        <v>44370</v>
      </c>
      <c r="F39" s="15">
        <f t="shared" si="0"/>
        <v>2021</v>
      </c>
      <c r="G39" s="16">
        <f t="shared" si="1"/>
        <v>25</v>
      </c>
      <c r="H39" s="16">
        <f t="shared" si="2"/>
        <v>3</v>
      </c>
      <c r="I39" s="16" t="str">
        <f>VLOOKUP(H39,'Дни недели сортировка'!A:B,2,FALSE)</f>
        <v>03-среда</v>
      </c>
      <c r="J39" s="24">
        <v>0.50277777777777777</v>
      </c>
      <c r="K39" s="12" t="s">
        <v>27</v>
      </c>
      <c r="L39" s="12" t="s">
        <v>183</v>
      </c>
      <c r="M39" s="12" t="s">
        <v>41</v>
      </c>
      <c r="N39" s="18">
        <v>1895354</v>
      </c>
      <c r="O39" s="18">
        <f t="shared" ref="O39:O40" si="19">N39-2%*N39</f>
        <v>1857446.92</v>
      </c>
      <c r="P39" s="18">
        <f>O39*16.32%</f>
        <v>303135.337344</v>
      </c>
      <c r="Q39" s="18">
        <f>P39*8.4%</f>
        <v>25463.368336896001</v>
      </c>
      <c r="R39" s="18">
        <f t="shared" si="4"/>
        <v>37907.080000000075</v>
      </c>
      <c r="S39" s="18">
        <f t="shared" si="18"/>
        <v>11144.68152</v>
      </c>
      <c r="T39" s="12" t="s">
        <v>184</v>
      </c>
      <c r="U39" s="18">
        <v>23171.665186575363</v>
      </c>
      <c r="V39" s="19">
        <v>5593.6399760392924</v>
      </c>
      <c r="W39" s="19">
        <v>4542.0356605439056</v>
      </c>
      <c r="X39" s="19">
        <v>3406.5267454079294</v>
      </c>
      <c r="Y39" s="40">
        <f t="shared" si="6"/>
        <v>23171</v>
      </c>
      <c r="Z39" s="40">
        <f t="shared" si="7"/>
        <v>5593</v>
      </c>
      <c r="AA39" s="40">
        <f t="shared" si="8"/>
        <v>4542</v>
      </c>
      <c r="AB39" s="40">
        <f t="shared" si="9"/>
        <v>3406</v>
      </c>
    </row>
    <row r="40" spans="1:28" ht="15.75" customHeight="1">
      <c r="A40" s="11" t="s">
        <v>185</v>
      </c>
      <c r="B40" s="12" t="s">
        <v>186</v>
      </c>
      <c r="C40" s="13" t="s">
        <v>25</v>
      </c>
      <c r="D40" s="28" t="s">
        <v>146</v>
      </c>
      <c r="E40" s="27">
        <v>44371</v>
      </c>
      <c r="F40" s="15">
        <f t="shared" si="0"/>
        <v>2021</v>
      </c>
      <c r="G40" s="16">
        <f t="shared" si="1"/>
        <v>25</v>
      </c>
      <c r="H40" s="16">
        <f t="shared" si="2"/>
        <v>4</v>
      </c>
      <c r="I40" s="16" t="str">
        <f>VLOOKUP(H40,'Дни недели сортировка'!A:B,2,FALSE)</f>
        <v>04-четверг</v>
      </c>
      <c r="J40" s="24">
        <v>0.50277777777777777</v>
      </c>
      <c r="K40" s="12" t="s">
        <v>27</v>
      </c>
      <c r="L40" s="12" t="s">
        <v>187</v>
      </c>
      <c r="M40" s="12" t="s">
        <v>29</v>
      </c>
      <c r="N40" s="18">
        <v>2087014</v>
      </c>
      <c r="O40" s="18">
        <f t="shared" si="19"/>
        <v>2045273.72</v>
      </c>
      <c r="P40" s="18">
        <f>O40*14.41%</f>
        <v>294723.94305200002</v>
      </c>
      <c r="Q40" s="18">
        <f>P40*3.9%</f>
        <v>11494.233779028</v>
      </c>
      <c r="R40" s="18">
        <f t="shared" si="4"/>
        <v>41740.280000000028</v>
      </c>
      <c r="S40" s="18">
        <f t="shared" si="18"/>
        <v>12271.642320000001</v>
      </c>
      <c r="T40" s="12" t="s">
        <v>188</v>
      </c>
      <c r="U40" s="18">
        <v>9999.9833877543606</v>
      </c>
      <c r="V40" s="19">
        <v>5693.9905409873336</v>
      </c>
      <c r="W40" s="19">
        <v>5580.1107301675866</v>
      </c>
      <c r="X40" s="19">
        <v>4073.4808330223382</v>
      </c>
      <c r="Y40" s="40">
        <f t="shared" si="6"/>
        <v>9999</v>
      </c>
      <c r="Z40" s="40">
        <f t="shared" si="7"/>
        <v>5693</v>
      </c>
      <c r="AA40" s="40">
        <f t="shared" si="8"/>
        <v>5580</v>
      </c>
      <c r="AB40" s="40">
        <f t="shared" si="9"/>
        <v>4073</v>
      </c>
    </row>
    <row r="41" spans="1:28" ht="15.75" customHeight="1">
      <c r="A41" s="11" t="s">
        <v>189</v>
      </c>
      <c r="B41" s="12" t="s">
        <v>190</v>
      </c>
      <c r="C41" s="13" t="s">
        <v>25</v>
      </c>
      <c r="D41" s="28" t="s">
        <v>146</v>
      </c>
      <c r="E41" s="27">
        <v>44372</v>
      </c>
      <c r="F41" s="15">
        <f t="shared" si="0"/>
        <v>2021</v>
      </c>
      <c r="G41" s="16">
        <f t="shared" si="1"/>
        <v>26</v>
      </c>
      <c r="H41" s="16">
        <f t="shared" si="2"/>
        <v>5</v>
      </c>
      <c r="I41" s="16" t="str">
        <f>VLOOKUP(H41,'Дни недели сортировка'!A:B,2,FALSE)</f>
        <v>05-пятница</v>
      </c>
      <c r="J41" s="24">
        <v>0.50277777777777777</v>
      </c>
      <c r="K41" s="12" t="s">
        <v>27</v>
      </c>
      <c r="L41" s="12" t="s">
        <v>191</v>
      </c>
      <c r="M41" s="12" t="s">
        <v>35</v>
      </c>
      <c r="N41" s="18">
        <v>937507</v>
      </c>
      <c r="O41" s="18">
        <f>N41-1.5%*N41</f>
        <v>923444.39500000002</v>
      </c>
      <c r="P41" s="18">
        <f>O41*13.98%</f>
        <v>129097.52642100002</v>
      </c>
      <c r="Q41" s="18">
        <f>P41*7.2%</f>
        <v>9295.0219023120026</v>
      </c>
      <c r="R41" s="18">
        <f t="shared" si="4"/>
        <v>14062.604999999981</v>
      </c>
      <c r="S41" s="18">
        <f t="shared" si="18"/>
        <v>5540.6663699999999</v>
      </c>
      <c r="T41" s="12" t="s">
        <v>192</v>
      </c>
      <c r="U41" s="18">
        <v>6413.5651125952809</v>
      </c>
      <c r="V41" s="19">
        <v>1665.6028597409945</v>
      </c>
      <c r="W41" s="19">
        <v>1449.0744879746653</v>
      </c>
      <c r="X41" s="19">
        <v>1144.7688454999857</v>
      </c>
      <c r="Y41" s="40">
        <f t="shared" si="6"/>
        <v>6413</v>
      </c>
      <c r="Z41" s="40">
        <f t="shared" si="7"/>
        <v>1665</v>
      </c>
      <c r="AA41" s="40">
        <f t="shared" si="8"/>
        <v>1449</v>
      </c>
      <c r="AB41" s="40">
        <f t="shared" si="9"/>
        <v>1144</v>
      </c>
    </row>
    <row r="42" spans="1:28" ht="15.75" customHeight="1">
      <c r="A42" s="11" t="s">
        <v>193</v>
      </c>
      <c r="B42" s="12" t="s">
        <v>194</v>
      </c>
      <c r="C42" s="13" t="s">
        <v>25</v>
      </c>
      <c r="D42" s="28" t="s">
        <v>146</v>
      </c>
      <c r="E42" s="27">
        <v>44376</v>
      </c>
      <c r="F42" s="15">
        <f t="shared" si="0"/>
        <v>2021</v>
      </c>
      <c r="G42" s="16">
        <f t="shared" si="1"/>
        <v>26</v>
      </c>
      <c r="H42" s="16">
        <f t="shared" si="2"/>
        <v>2</v>
      </c>
      <c r="I42" s="16" t="str">
        <f>VLOOKUP(H42,'Дни недели сортировка'!A:B,2,FALSE)</f>
        <v>02-вторник</v>
      </c>
      <c r="J42" s="24">
        <v>0.50277777777777777</v>
      </c>
      <c r="K42" s="12" t="s">
        <v>27</v>
      </c>
      <c r="L42" s="12" t="s">
        <v>195</v>
      </c>
      <c r="M42" s="12" t="s">
        <v>29</v>
      </c>
      <c r="N42" s="18">
        <v>624628</v>
      </c>
      <c r="O42" s="18">
        <f t="shared" ref="O42:O43" si="20">N42-2%*N42</f>
        <v>612135.43999999994</v>
      </c>
      <c r="P42" s="18">
        <f>O42*15.95%</f>
        <v>97635.602679999996</v>
      </c>
      <c r="Q42" s="18">
        <f>P42*12%</f>
        <v>11716.272321599999</v>
      </c>
      <c r="R42" s="18">
        <f t="shared" si="4"/>
        <v>12492.560000000056</v>
      </c>
      <c r="S42" s="18">
        <f t="shared" si="18"/>
        <v>3672.8126399999996</v>
      </c>
      <c r="T42" s="12" t="s">
        <v>196</v>
      </c>
      <c r="U42" s="18">
        <v>11364.784151951999</v>
      </c>
      <c r="V42" s="19">
        <v>4740.2514697791785</v>
      </c>
      <c r="W42" s="19">
        <v>4029.2137493123014</v>
      </c>
      <c r="X42" s="19">
        <v>3344.2474119292101</v>
      </c>
      <c r="Y42" s="40">
        <f t="shared" si="6"/>
        <v>11364</v>
      </c>
      <c r="Z42" s="40">
        <f t="shared" si="7"/>
        <v>4740</v>
      </c>
      <c r="AA42" s="40">
        <f t="shared" si="8"/>
        <v>4029</v>
      </c>
      <c r="AB42" s="40">
        <f t="shared" si="9"/>
        <v>3344</v>
      </c>
    </row>
    <row r="43" spans="1:28" ht="15.75" customHeight="1">
      <c r="A43" s="11" t="s">
        <v>197</v>
      </c>
      <c r="B43" s="12" t="s">
        <v>198</v>
      </c>
      <c r="C43" s="13" t="s">
        <v>25</v>
      </c>
      <c r="D43" s="28" t="s">
        <v>199</v>
      </c>
      <c r="E43" s="27">
        <v>44387</v>
      </c>
      <c r="F43" s="15">
        <f t="shared" si="0"/>
        <v>2021</v>
      </c>
      <c r="G43" s="16">
        <f t="shared" si="1"/>
        <v>28</v>
      </c>
      <c r="H43" s="16">
        <f t="shared" si="2"/>
        <v>6</v>
      </c>
      <c r="I43" s="16" t="str">
        <f>VLOOKUP(H43,'Дни недели сортировка'!A:B,2,FALSE)</f>
        <v>06-суббота</v>
      </c>
      <c r="J43" s="24">
        <v>0.50277777777777777</v>
      </c>
      <c r="K43" s="12" t="s">
        <v>27</v>
      </c>
      <c r="L43" s="12" t="s">
        <v>200</v>
      </c>
      <c r="M43" s="12" t="s">
        <v>35</v>
      </c>
      <c r="N43" s="18">
        <v>873732</v>
      </c>
      <c r="O43" s="18">
        <f t="shared" si="20"/>
        <v>856257.36</v>
      </c>
      <c r="P43" s="18">
        <f>O43*16.32%</f>
        <v>139741.20115199999</v>
      </c>
      <c r="Q43" s="18">
        <f>P43*9%</f>
        <v>12576.708103679999</v>
      </c>
      <c r="R43" s="18">
        <f t="shared" si="4"/>
        <v>17474.640000000014</v>
      </c>
      <c r="S43" s="18">
        <f t="shared" si="18"/>
        <v>5137.5441600000004</v>
      </c>
      <c r="T43" s="12" t="s">
        <v>201</v>
      </c>
      <c r="U43" s="18">
        <v>10690.201888127998</v>
      </c>
      <c r="V43" s="19">
        <v>6477.1933240167536</v>
      </c>
      <c r="W43" s="19">
        <v>5414.9336188780062</v>
      </c>
      <c r="X43" s="19">
        <v>4440.2455674799648</v>
      </c>
      <c r="Y43" s="40">
        <f t="shared" si="6"/>
        <v>10690</v>
      </c>
      <c r="Z43" s="40">
        <f t="shared" si="7"/>
        <v>6477</v>
      </c>
      <c r="AA43" s="40">
        <f t="shared" si="8"/>
        <v>5414</v>
      </c>
      <c r="AB43" s="40">
        <f t="shared" si="9"/>
        <v>4440</v>
      </c>
    </row>
    <row r="44" spans="1:28" ht="15.75" customHeight="1">
      <c r="A44" s="11" t="s">
        <v>202</v>
      </c>
      <c r="B44" s="12" t="s">
        <v>203</v>
      </c>
      <c r="C44" s="13" t="s">
        <v>25</v>
      </c>
      <c r="D44" s="28" t="s">
        <v>199</v>
      </c>
      <c r="E44" s="27">
        <v>44390</v>
      </c>
      <c r="F44" s="15">
        <f t="shared" si="0"/>
        <v>2021</v>
      </c>
      <c r="G44" s="16">
        <f t="shared" si="1"/>
        <v>28</v>
      </c>
      <c r="H44" s="16">
        <f t="shared" si="2"/>
        <v>2</v>
      </c>
      <c r="I44" s="16" t="str">
        <f>VLOOKUP(H44,'Дни недели сортировка'!A:B,2,FALSE)</f>
        <v>02-вторник</v>
      </c>
      <c r="J44" s="24">
        <v>0.50277777777777777</v>
      </c>
      <c r="K44" s="12" t="s">
        <v>27</v>
      </c>
      <c r="L44" s="12" t="s">
        <v>204</v>
      </c>
      <c r="M44" s="12" t="s">
        <v>41</v>
      </c>
      <c r="N44" s="18">
        <v>1191813</v>
      </c>
      <c r="O44" s="18">
        <f>N44-1.5%*N44</f>
        <v>1173935.8049999999</v>
      </c>
      <c r="P44" s="18">
        <f>O44*14.41%</f>
        <v>169164.1495005</v>
      </c>
      <c r="Q44" s="18">
        <f>P44*8.4%</f>
        <v>14209.788558042001</v>
      </c>
      <c r="R44" s="18">
        <f t="shared" si="4"/>
        <v>17877.195000000065</v>
      </c>
      <c r="S44" s="18">
        <f t="shared" si="18"/>
        <v>7043.6148299999995</v>
      </c>
      <c r="T44" s="12" t="s">
        <v>205</v>
      </c>
      <c r="U44" s="18">
        <v>13073.005473398642</v>
      </c>
      <c r="V44" s="19">
        <v>5057.9458176579346</v>
      </c>
      <c r="W44" s="19">
        <v>4107.0520039382436</v>
      </c>
      <c r="X44" s="19">
        <v>3244.5710831112128</v>
      </c>
      <c r="Y44" s="40">
        <f t="shared" si="6"/>
        <v>13073</v>
      </c>
      <c r="Z44" s="40">
        <f t="shared" si="7"/>
        <v>5057</v>
      </c>
      <c r="AA44" s="40">
        <f t="shared" si="8"/>
        <v>4107</v>
      </c>
      <c r="AB44" s="40">
        <f t="shared" si="9"/>
        <v>3244</v>
      </c>
    </row>
    <row r="45" spans="1:28" ht="15.75" customHeight="1">
      <c r="A45" s="11" t="s">
        <v>206</v>
      </c>
      <c r="B45" s="12" t="s">
        <v>207</v>
      </c>
      <c r="C45" s="13" t="s">
        <v>25</v>
      </c>
      <c r="D45" s="28" t="s">
        <v>199</v>
      </c>
      <c r="E45" s="27">
        <v>44392</v>
      </c>
      <c r="F45" s="15">
        <f t="shared" si="0"/>
        <v>2021</v>
      </c>
      <c r="G45" s="16">
        <f t="shared" si="1"/>
        <v>28</v>
      </c>
      <c r="H45" s="16">
        <f t="shared" si="2"/>
        <v>4</v>
      </c>
      <c r="I45" s="16" t="str">
        <f>VLOOKUP(H45,'Дни недели сортировка'!A:B,2,FALSE)</f>
        <v>04-четверг</v>
      </c>
      <c r="J45" s="24">
        <v>0.50277777777777777</v>
      </c>
      <c r="K45" s="12" t="s">
        <v>27</v>
      </c>
      <c r="L45" s="12" t="s">
        <v>208</v>
      </c>
      <c r="M45" s="12" t="s">
        <v>29</v>
      </c>
      <c r="N45" s="18">
        <v>1496548</v>
      </c>
      <c r="O45" s="18">
        <f t="shared" ref="O45:O46" si="21">N45-2%*N45</f>
        <v>1466617.04</v>
      </c>
      <c r="P45" s="18">
        <f>O45*13.98%</f>
        <v>205033.06219200001</v>
      </c>
      <c r="Q45" s="18">
        <f>P45*3.9%</f>
        <v>7996.2894254880002</v>
      </c>
      <c r="R45" s="18">
        <f t="shared" si="4"/>
        <v>29930.959999999963</v>
      </c>
      <c r="S45" s="18">
        <f t="shared" si="18"/>
        <v>8799.7022400000005</v>
      </c>
      <c r="T45" s="12" t="s">
        <v>209</v>
      </c>
      <c r="U45" s="18">
        <v>7436.549165703841</v>
      </c>
      <c r="V45" s="19">
        <v>2570.0713916672471</v>
      </c>
      <c r="W45" s="19">
        <v>2184.5606829171602</v>
      </c>
      <c r="X45" s="19">
        <v>1638.4205121878701</v>
      </c>
      <c r="Y45" s="40">
        <f t="shared" si="6"/>
        <v>7436</v>
      </c>
      <c r="Z45" s="40">
        <f t="shared" si="7"/>
        <v>2570</v>
      </c>
      <c r="AA45" s="40">
        <f t="shared" si="8"/>
        <v>2184</v>
      </c>
      <c r="AB45" s="40">
        <f t="shared" si="9"/>
        <v>1638</v>
      </c>
    </row>
    <row r="46" spans="1:28" ht="15.75" customHeight="1">
      <c r="A46" s="11" t="s">
        <v>210</v>
      </c>
      <c r="B46" s="12" t="s">
        <v>211</v>
      </c>
      <c r="C46" s="13" t="s">
        <v>25</v>
      </c>
      <c r="D46" s="28" t="s">
        <v>199</v>
      </c>
      <c r="E46" s="27">
        <v>44398</v>
      </c>
      <c r="F46" s="15">
        <f t="shared" si="0"/>
        <v>2021</v>
      </c>
      <c r="G46" s="16">
        <f t="shared" si="1"/>
        <v>29</v>
      </c>
      <c r="H46" s="16">
        <f t="shared" si="2"/>
        <v>3</v>
      </c>
      <c r="I46" s="16" t="str">
        <f>VLOOKUP(H46,'Дни недели сортировка'!A:B,2,FALSE)</f>
        <v>03-среда</v>
      </c>
      <c r="J46" s="24">
        <v>0.50277777777777777</v>
      </c>
      <c r="K46" s="12" t="s">
        <v>27</v>
      </c>
      <c r="L46" s="12" t="s">
        <v>212</v>
      </c>
      <c r="M46" s="12" t="s">
        <v>35</v>
      </c>
      <c r="N46" s="18">
        <v>1739639</v>
      </c>
      <c r="O46" s="18">
        <f t="shared" si="21"/>
        <v>1704846.22</v>
      </c>
      <c r="P46" s="18">
        <f>O46*15.95%</f>
        <v>271922.97209</v>
      </c>
      <c r="Q46" s="18">
        <f>P46*7.2%</f>
        <v>19578.45399048</v>
      </c>
      <c r="R46" s="18">
        <f t="shared" si="4"/>
        <v>34792.780000000028</v>
      </c>
      <c r="S46" s="18">
        <f t="shared" si="18"/>
        <v>10229.07732</v>
      </c>
      <c r="T46" s="12" t="s">
        <v>213</v>
      </c>
      <c r="U46" s="18">
        <v>17816.393131336801</v>
      </c>
      <c r="V46" s="19">
        <v>4300.8773019047039</v>
      </c>
      <c r="W46" s="19">
        <v>3595.5334243923321</v>
      </c>
      <c r="X46" s="19">
        <v>2624.7393998064022</v>
      </c>
      <c r="Y46" s="40">
        <f t="shared" si="6"/>
        <v>17816</v>
      </c>
      <c r="Z46" s="40">
        <f t="shared" si="7"/>
        <v>4300</v>
      </c>
      <c r="AA46" s="40">
        <f t="shared" si="8"/>
        <v>3595</v>
      </c>
      <c r="AB46" s="40">
        <f t="shared" si="9"/>
        <v>2624</v>
      </c>
    </row>
    <row r="47" spans="1:28" ht="15.75" customHeight="1">
      <c r="A47" s="11" t="s">
        <v>214</v>
      </c>
      <c r="B47" s="12" t="s">
        <v>215</v>
      </c>
      <c r="C47" s="13" t="s">
        <v>25</v>
      </c>
      <c r="D47" s="13" t="s">
        <v>33</v>
      </c>
      <c r="E47" s="14">
        <v>44510</v>
      </c>
      <c r="F47" s="15">
        <f t="shared" si="0"/>
        <v>2021</v>
      </c>
      <c r="G47" s="16">
        <f t="shared" si="1"/>
        <v>45</v>
      </c>
      <c r="H47" s="16">
        <f t="shared" si="2"/>
        <v>3</v>
      </c>
      <c r="I47" s="16" t="str">
        <f>VLOOKUP(H47,'Дни недели сортировка'!A:B,2,FALSE)</f>
        <v>03-среда</v>
      </c>
      <c r="J47" s="17">
        <v>0.44166666666666665</v>
      </c>
      <c r="K47" s="12" t="s">
        <v>27</v>
      </c>
      <c r="L47" s="12" t="s">
        <v>216</v>
      </c>
      <c r="M47" s="12" t="s">
        <v>41</v>
      </c>
      <c r="N47" s="18">
        <v>2451610</v>
      </c>
      <c r="O47" s="18">
        <f>N47-1.5%*N47</f>
        <v>2414835.85</v>
      </c>
      <c r="P47" s="18">
        <f>O47*16.32%</f>
        <v>394101.21072000003</v>
      </c>
      <c r="Q47" s="18">
        <f>P47*12%</f>
        <v>47292.145286400002</v>
      </c>
      <c r="R47" s="18">
        <f t="shared" si="4"/>
        <v>36774.149999999907</v>
      </c>
      <c r="S47" s="18">
        <f t="shared" si="18"/>
        <v>14489.015100000001</v>
      </c>
      <c r="T47" s="12" t="s">
        <v>217</v>
      </c>
      <c r="U47" s="18">
        <v>41144.166399168003</v>
      </c>
      <c r="V47" s="19">
        <v>23427.48834768626</v>
      </c>
      <c r="W47" s="19">
        <v>19023.120538321244</v>
      </c>
      <c r="X47" s="19">
        <v>15028.265225273783</v>
      </c>
      <c r="Y47" s="40">
        <f t="shared" si="6"/>
        <v>41144</v>
      </c>
      <c r="Z47" s="40">
        <f t="shared" si="7"/>
        <v>23427</v>
      </c>
      <c r="AA47" s="40">
        <f t="shared" si="8"/>
        <v>19023</v>
      </c>
      <c r="AB47" s="40">
        <f t="shared" si="9"/>
        <v>15028</v>
      </c>
    </row>
    <row r="48" spans="1:28" ht="15.75" customHeight="1">
      <c r="A48" s="11" t="s">
        <v>218</v>
      </c>
      <c r="B48" s="12" t="s">
        <v>219</v>
      </c>
      <c r="C48" s="13" t="s">
        <v>25</v>
      </c>
      <c r="D48" s="28" t="s">
        <v>199</v>
      </c>
      <c r="E48" s="27">
        <v>44401</v>
      </c>
      <c r="F48" s="15">
        <f t="shared" si="0"/>
        <v>2021</v>
      </c>
      <c r="G48" s="16">
        <f t="shared" si="1"/>
        <v>30</v>
      </c>
      <c r="H48" s="16">
        <f t="shared" si="2"/>
        <v>6</v>
      </c>
      <c r="I48" s="16" t="str">
        <f>VLOOKUP(H48,'Дни недели сортировка'!A:B,2,FALSE)</f>
        <v>06-суббота</v>
      </c>
      <c r="J48" s="24">
        <v>0.50277777777777777</v>
      </c>
      <c r="K48" s="12" t="s">
        <v>27</v>
      </c>
      <c r="L48" s="12" t="s">
        <v>220</v>
      </c>
      <c r="M48" s="12" t="s">
        <v>29</v>
      </c>
      <c r="N48" s="18">
        <v>1302288</v>
      </c>
      <c r="O48" s="18">
        <f t="shared" ref="O48:O49" si="22">N48-2%*N48</f>
        <v>1276242.24</v>
      </c>
      <c r="P48" s="18">
        <f>O48*14.41%</f>
        <v>183906.506784</v>
      </c>
      <c r="Q48" s="18">
        <f>P48*9%</f>
        <v>16551.58561056</v>
      </c>
      <c r="R48" s="18">
        <f t="shared" si="4"/>
        <v>26045.760000000009</v>
      </c>
      <c r="S48" s="18">
        <f t="shared" si="18"/>
        <v>7657.4534400000002</v>
      </c>
      <c r="T48" s="12" t="s">
        <v>221</v>
      </c>
      <c r="U48" s="18">
        <v>11420.594071286399</v>
      </c>
      <c r="V48" s="19">
        <v>2965.9282803130777</v>
      </c>
      <c r="W48" s="19">
        <v>2906.6097147068162</v>
      </c>
      <c r="X48" s="19">
        <v>2412.4860632066575</v>
      </c>
      <c r="Y48" s="40">
        <f t="shared" si="6"/>
        <v>11420</v>
      </c>
      <c r="Z48" s="40">
        <f t="shared" si="7"/>
        <v>2965</v>
      </c>
      <c r="AA48" s="40">
        <f t="shared" si="8"/>
        <v>2906</v>
      </c>
      <c r="AB48" s="40">
        <f t="shared" si="9"/>
        <v>2412</v>
      </c>
    </row>
    <row r="49" spans="1:28" ht="15.75" customHeight="1">
      <c r="A49" s="11" t="s">
        <v>222</v>
      </c>
      <c r="B49" s="12" t="s">
        <v>223</v>
      </c>
      <c r="C49" s="13" t="s">
        <v>25</v>
      </c>
      <c r="D49" s="28" t="s">
        <v>199</v>
      </c>
      <c r="E49" s="27">
        <v>44405</v>
      </c>
      <c r="F49" s="15">
        <f t="shared" si="0"/>
        <v>2021</v>
      </c>
      <c r="G49" s="16">
        <f t="shared" si="1"/>
        <v>30</v>
      </c>
      <c r="H49" s="16">
        <f t="shared" si="2"/>
        <v>3</v>
      </c>
      <c r="I49" s="16" t="str">
        <f>VLOOKUP(H49,'Дни недели сортировка'!A:B,2,FALSE)</f>
        <v>03-среда</v>
      </c>
      <c r="J49" s="24">
        <v>0.50277777777777777</v>
      </c>
      <c r="K49" s="12" t="s">
        <v>27</v>
      </c>
      <c r="L49" s="12" t="s">
        <v>224</v>
      </c>
      <c r="M49" s="12" t="s">
        <v>35</v>
      </c>
      <c r="N49" s="18">
        <v>963389</v>
      </c>
      <c r="O49" s="18">
        <f t="shared" si="22"/>
        <v>944121.22</v>
      </c>
      <c r="P49" s="18">
        <f>O49*13.98%</f>
        <v>131988.14655599999</v>
      </c>
      <c r="Q49" s="18">
        <f>P49*8.4%</f>
        <v>11087.004310704</v>
      </c>
      <c r="R49" s="18">
        <f t="shared" si="4"/>
        <v>19267.780000000028</v>
      </c>
      <c r="S49" s="18">
        <f t="shared" si="18"/>
        <v>5664.72732</v>
      </c>
      <c r="T49" s="12" t="s">
        <v>225</v>
      </c>
      <c r="U49" s="18">
        <v>10754.394181382881</v>
      </c>
      <c r="V49" s="19">
        <v>4485.6578130547996</v>
      </c>
      <c r="W49" s="19">
        <v>3902.5222973576756</v>
      </c>
      <c r="X49" s="19">
        <v>3200.0682838332937</v>
      </c>
      <c r="Y49" s="40">
        <f t="shared" si="6"/>
        <v>10754</v>
      </c>
      <c r="Z49" s="40">
        <f t="shared" si="7"/>
        <v>4485</v>
      </c>
      <c r="AA49" s="40">
        <f t="shared" si="8"/>
        <v>3902</v>
      </c>
      <c r="AB49" s="40">
        <f t="shared" si="9"/>
        <v>3200</v>
      </c>
    </row>
    <row r="50" spans="1:28" ht="15.75" customHeight="1">
      <c r="A50" s="11" t="s">
        <v>226</v>
      </c>
      <c r="B50" s="12" t="s">
        <v>227</v>
      </c>
      <c r="C50" s="13" t="s">
        <v>25</v>
      </c>
      <c r="D50" s="26" t="s">
        <v>228</v>
      </c>
      <c r="E50" s="27">
        <v>44411</v>
      </c>
      <c r="F50" s="15">
        <f t="shared" si="0"/>
        <v>2021</v>
      </c>
      <c r="G50" s="16">
        <f t="shared" si="1"/>
        <v>31</v>
      </c>
      <c r="H50" s="16">
        <f t="shared" si="2"/>
        <v>2</v>
      </c>
      <c r="I50" s="16" t="str">
        <f>VLOOKUP(H50,'Дни недели сортировка'!A:B,2,FALSE)</f>
        <v>02-вторник</v>
      </c>
      <c r="J50" s="24">
        <v>0.50277777777777777</v>
      </c>
      <c r="K50" s="12" t="s">
        <v>27</v>
      </c>
      <c r="L50" s="12" t="s">
        <v>229</v>
      </c>
      <c r="M50" s="12" t="s">
        <v>41</v>
      </c>
      <c r="N50" s="18">
        <v>2443329</v>
      </c>
      <c r="O50" s="18">
        <f>N50-1.5%*N50</f>
        <v>2406679.0649999999</v>
      </c>
      <c r="P50" s="18">
        <f>O50*11.05%</f>
        <v>265938.03668249998</v>
      </c>
      <c r="Q50" s="18">
        <f>P50*3.9%</f>
        <v>10371.583430617498</v>
      </c>
      <c r="R50" s="18">
        <f t="shared" si="4"/>
        <v>36649.935000000056</v>
      </c>
      <c r="S50" s="18">
        <f t="shared" ref="S50:S51" si="23">O50*0.58%</f>
        <v>13958.738576999998</v>
      </c>
      <c r="T50" s="12" t="s">
        <v>230</v>
      </c>
      <c r="U50" s="18">
        <v>8815.8459160248731</v>
      </c>
      <c r="V50" s="19">
        <v>5341.5210405194703</v>
      </c>
      <c r="W50" s="19">
        <v>4540.2928844415492</v>
      </c>
      <c r="X50" s="19">
        <v>3586.8313787088241</v>
      </c>
      <c r="Y50" s="40">
        <f t="shared" si="6"/>
        <v>8815</v>
      </c>
      <c r="Z50" s="40">
        <f t="shared" si="7"/>
        <v>5341</v>
      </c>
      <c r="AA50" s="40">
        <f t="shared" si="8"/>
        <v>4540</v>
      </c>
      <c r="AB50" s="40">
        <f t="shared" si="9"/>
        <v>3586</v>
      </c>
    </row>
    <row r="51" spans="1:28" ht="15.75" customHeight="1">
      <c r="A51" s="11" t="s">
        <v>231</v>
      </c>
      <c r="B51" s="12" t="s">
        <v>232</v>
      </c>
      <c r="C51" s="13" t="s">
        <v>25</v>
      </c>
      <c r="D51" s="26" t="s">
        <v>228</v>
      </c>
      <c r="E51" s="27">
        <v>44420</v>
      </c>
      <c r="F51" s="15">
        <f t="shared" si="0"/>
        <v>2021</v>
      </c>
      <c r="G51" s="16">
        <f t="shared" si="1"/>
        <v>32</v>
      </c>
      <c r="H51" s="16">
        <f t="shared" si="2"/>
        <v>4</v>
      </c>
      <c r="I51" s="16" t="str">
        <f>VLOOKUP(H51,'Дни недели сортировка'!A:B,2,FALSE)</f>
        <v>04-четверг</v>
      </c>
      <c r="J51" s="24">
        <v>0.50277777777777777</v>
      </c>
      <c r="K51" s="12" t="s">
        <v>27</v>
      </c>
      <c r="L51" s="12" t="s">
        <v>233</v>
      </c>
      <c r="M51" s="12" t="s">
        <v>29</v>
      </c>
      <c r="N51" s="18">
        <v>926161</v>
      </c>
      <c r="O51" s="18">
        <f t="shared" ref="O51:O52" si="24">N51-2%*N51</f>
        <v>907637.78</v>
      </c>
      <c r="P51" s="18">
        <f>O51*18%</f>
        <v>163374.80040000001</v>
      </c>
      <c r="Q51" s="18">
        <f>P51*7.2%</f>
        <v>11762.985628800003</v>
      </c>
      <c r="R51" s="18">
        <f t="shared" si="4"/>
        <v>18523.219999999972</v>
      </c>
      <c r="S51" s="18">
        <f t="shared" si="23"/>
        <v>5264.2991240000001</v>
      </c>
      <c r="T51" s="12" t="s">
        <v>234</v>
      </c>
      <c r="U51" s="18">
        <v>10821.946778496003</v>
      </c>
      <c r="V51" s="19">
        <v>4187.0112086001036</v>
      </c>
      <c r="W51" s="19">
        <v>3500.3413703896863</v>
      </c>
      <c r="X51" s="19">
        <v>2625.2560277922648</v>
      </c>
      <c r="Y51" s="40">
        <f t="shared" si="6"/>
        <v>10821</v>
      </c>
      <c r="Z51" s="40">
        <f t="shared" si="7"/>
        <v>4187</v>
      </c>
      <c r="AA51" s="40">
        <f t="shared" si="8"/>
        <v>3500</v>
      </c>
      <c r="AB51" s="40">
        <f t="shared" si="9"/>
        <v>2625</v>
      </c>
    </row>
    <row r="52" spans="1:28" ht="15.75" customHeight="1">
      <c r="A52" s="11" t="s">
        <v>235</v>
      </c>
      <c r="B52" s="12" t="s">
        <v>236</v>
      </c>
      <c r="C52" s="13" t="s">
        <v>25</v>
      </c>
      <c r="D52" s="26" t="s">
        <v>228</v>
      </c>
      <c r="E52" s="27">
        <v>44425</v>
      </c>
      <c r="F52" s="15">
        <f t="shared" si="0"/>
        <v>2021</v>
      </c>
      <c r="G52" s="16">
        <f t="shared" si="1"/>
        <v>33</v>
      </c>
      <c r="H52" s="16">
        <f t="shared" si="2"/>
        <v>2</v>
      </c>
      <c r="I52" s="16" t="str">
        <f>VLOOKUP(H52,'Дни недели сортировка'!A:B,2,FALSE)</f>
        <v>02-вторник</v>
      </c>
      <c r="J52" s="24">
        <v>0.50277777777777777</v>
      </c>
      <c r="K52" s="12" t="s">
        <v>27</v>
      </c>
      <c r="L52" s="12" t="s">
        <v>237</v>
      </c>
      <c r="M52" s="12" t="s">
        <v>35</v>
      </c>
      <c r="N52" s="18">
        <v>2305760</v>
      </c>
      <c r="O52" s="18">
        <f t="shared" si="24"/>
        <v>2259644.7999999998</v>
      </c>
      <c r="P52" s="18">
        <f>O52*17.43%</f>
        <v>393856.08863999997</v>
      </c>
      <c r="Q52" s="18">
        <f>P52*12%</f>
        <v>47262.730636799992</v>
      </c>
      <c r="R52" s="18">
        <f t="shared" si="4"/>
        <v>46115.200000000186</v>
      </c>
      <c r="S52" s="18">
        <f>O52*0.59%</f>
        <v>13331.904319999998</v>
      </c>
      <c r="T52" s="12" t="s">
        <v>238</v>
      </c>
      <c r="U52" s="18">
        <v>43954.339492223997</v>
      </c>
      <c r="V52" s="19">
        <v>15190.619728512613</v>
      </c>
      <c r="W52" s="19">
        <v>12334.783219552242</v>
      </c>
      <c r="X52" s="19">
        <v>9004.3917502731365</v>
      </c>
      <c r="Y52" s="40">
        <f t="shared" si="6"/>
        <v>43954</v>
      </c>
      <c r="Z52" s="40">
        <f t="shared" si="7"/>
        <v>15190</v>
      </c>
      <c r="AA52" s="40">
        <f t="shared" si="8"/>
        <v>12334</v>
      </c>
      <c r="AB52" s="40">
        <f t="shared" si="9"/>
        <v>9004</v>
      </c>
    </row>
    <row r="53" spans="1:28" ht="15.75" customHeight="1">
      <c r="A53" s="11" t="s">
        <v>239</v>
      </c>
      <c r="B53" s="12" t="s">
        <v>240</v>
      </c>
      <c r="C53" s="13" t="s">
        <v>25</v>
      </c>
      <c r="D53" s="26" t="s">
        <v>228</v>
      </c>
      <c r="E53" s="27">
        <v>44428</v>
      </c>
      <c r="F53" s="15">
        <f t="shared" si="0"/>
        <v>2021</v>
      </c>
      <c r="G53" s="16">
        <f t="shared" si="1"/>
        <v>34</v>
      </c>
      <c r="H53" s="16">
        <f t="shared" si="2"/>
        <v>5</v>
      </c>
      <c r="I53" s="16" t="str">
        <f>VLOOKUP(H53,'Дни недели сортировка'!A:B,2,FALSE)</f>
        <v>05-пятница</v>
      </c>
      <c r="J53" s="24">
        <v>0.50277777777777777</v>
      </c>
      <c r="K53" s="12" t="s">
        <v>27</v>
      </c>
      <c r="L53" s="12" t="s">
        <v>241</v>
      </c>
      <c r="M53" s="12" t="s">
        <v>41</v>
      </c>
      <c r="N53" s="18">
        <v>702289</v>
      </c>
      <c r="O53" s="18">
        <f>N53-1.5%*N53</f>
        <v>691754.66500000004</v>
      </c>
      <c r="P53" s="18">
        <f>O53*11.05%</f>
        <v>76438.890482500006</v>
      </c>
      <c r="Q53" s="18">
        <f>P53*9%</f>
        <v>6879.5001434250007</v>
      </c>
      <c r="R53" s="18">
        <f t="shared" si="4"/>
        <v>10534.334999999963</v>
      </c>
      <c r="S53" s="18">
        <f t="shared" ref="S53:S54" si="25">O53*0.57%</f>
        <v>3943.0015904999996</v>
      </c>
      <c r="T53" s="12" t="s">
        <v>242</v>
      </c>
      <c r="U53" s="18">
        <v>6260.3451305167509</v>
      </c>
      <c r="V53" s="19">
        <v>1511.2473145067436</v>
      </c>
      <c r="W53" s="19">
        <v>1284.560217330732</v>
      </c>
      <c r="X53" s="19">
        <v>1014.8025716912783</v>
      </c>
      <c r="Y53" s="40">
        <f t="shared" si="6"/>
        <v>6260</v>
      </c>
      <c r="Z53" s="40">
        <f t="shared" si="7"/>
        <v>1511</v>
      </c>
      <c r="AA53" s="40">
        <f t="shared" si="8"/>
        <v>1284</v>
      </c>
      <c r="AB53" s="40">
        <f t="shared" si="9"/>
        <v>1014</v>
      </c>
    </row>
    <row r="54" spans="1:28" ht="15.75" customHeight="1">
      <c r="A54" s="11" t="s">
        <v>243</v>
      </c>
      <c r="B54" s="12" t="s">
        <v>244</v>
      </c>
      <c r="C54" s="13" t="s">
        <v>25</v>
      </c>
      <c r="D54" s="26" t="s">
        <v>228</v>
      </c>
      <c r="E54" s="27">
        <v>44432</v>
      </c>
      <c r="F54" s="15">
        <f t="shared" si="0"/>
        <v>2021</v>
      </c>
      <c r="G54" s="16">
        <f t="shared" si="1"/>
        <v>34</v>
      </c>
      <c r="H54" s="16">
        <f t="shared" si="2"/>
        <v>2</v>
      </c>
      <c r="I54" s="16" t="str">
        <f>VLOOKUP(H54,'Дни недели сортировка'!A:B,2,FALSE)</f>
        <v>02-вторник</v>
      </c>
      <c r="J54" s="24">
        <v>0.50277777777777777</v>
      </c>
      <c r="K54" s="12" t="s">
        <v>27</v>
      </c>
      <c r="L54" s="12" t="s">
        <v>245</v>
      </c>
      <c r="M54" s="12" t="s">
        <v>29</v>
      </c>
      <c r="N54" s="18">
        <v>573276</v>
      </c>
      <c r="O54" s="18">
        <f t="shared" ref="O54:O55" si="26">N54-2%*N54</f>
        <v>561810.48</v>
      </c>
      <c r="P54" s="18">
        <f>O54*18%</f>
        <v>101125.88639999999</v>
      </c>
      <c r="Q54" s="18">
        <f>P54*8.4%</f>
        <v>8494.5744575999997</v>
      </c>
      <c r="R54" s="18">
        <f t="shared" si="4"/>
        <v>11465.520000000019</v>
      </c>
      <c r="S54" s="18">
        <f t="shared" si="25"/>
        <v>3202.3197359999995</v>
      </c>
      <c r="T54" s="12" t="s">
        <v>246</v>
      </c>
      <c r="U54" s="18">
        <v>7390.2797781119998</v>
      </c>
      <c r="V54" s="19">
        <v>4208.0253056569727</v>
      </c>
      <c r="W54" s="19">
        <v>3517.9091555292289</v>
      </c>
      <c r="X54" s="19">
        <v>2919.8645990892596</v>
      </c>
      <c r="Y54" s="40">
        <f t="shared" si="6"/>
        <v>7390</v>
      </c>
      <c r="Z54" s="40">
        <f t="shared" si="7"/>
        <v>4208</v>
      </c>
      <c r="AA54" s="40">
        <f t="shared" si="8"/>
        <v>3517</v>
      </c>
      <c r="AB54" s="40">
        <f t="shared" si="9"/>
        <v>2919</v>
      </c>
    </row>
    <row r="55" spans="1:28" ht="15.75" customHeight="1">
      <c r="A55" s="11" t="s">
        <v>247</v>
      </c>
      <c r="B55" s="12" t="s">
        <v>248</v>
      </c>
      <c r="C55" s="13" t="s">
        <v>25</v>
      </c>
      <c r="D55" s="26" t="s">
        <v>228</v>
      </c>
      <c r="E55" s="27">
        <v>44438</v>
      </c>
      <c r="F55" s="15">
        <f t="shared" si="0"/>
        <v>2021</v>
      </c>
      <c r="G55" s="16">
        <f t="shared" si="1"/>
        <v>35</v>
      </c>
      <c r="H55" s="16">
        <f t="shared" si="2"/>
        <v>1</v>
      </c>
      <c r="I55" s="16" t="str">
        <f>VLOOKUP(H55,'Дни недели сортировка'!A:B,2,FALSE)</f>
        <v>01-понедельник</v>
      </c>
      <c r="J55" s="24">
        <v>0.50277777777777777</v>
      </c>
      <c r="K55" s="12" t="s">
        <v>27</v>
      </c>
      <c r="L55" s="12" t="s">
        <v>249</v>
      </c>
      <c r="M55" s="12" t="s">
        <v>35</v>
      </c>
      <c r="N55" s="18">
        <v>1956368</v>
      </c>
      <c r="O55" s="18">
        <f t="shared" si="26"/>
        <v>1917240.64</v>
      </c>
      <c r="P55" s="18">
        <f>O55*17.43%</f>
        <v>334175.04355200002</v>
      </c>
      <c r="Q55" s="18">
        <f>P55*3.9%</f>
        <v>13032.826698528001</v>
      </c>
      <c r="R55" s="18">
        <f t="shared" si="4"/>
        <v>39127.360000000102</v>
      </c>
      <c r="S55" s="18">
        <f>O55*0.5%</f>
        <v>9586.2031999999999</v>
      </c>
      <c r="T55" s="12" t="s">
        <v>250</v>
      </c>
      <c r="U55" s="18">
        <v>8992.6504219843191</v>
      </c>
      <c r="V55" s="19">
        <v>2335.391314589328</v>
      </c>
      <c r="W55" s="19">
        <v>1896.3377474465344</v>
      </c>
      <c r="X55" s="19">
        <v>1554.9969529061582</v>
      </c>
      <c r="Y55" s="40">
        <f t="shared" si="6"/>
        <v>8992</v>
      </c>
      <c r="Z55" s="40">
        <f t="shared" si="7"/>
        <v>2335</v>
      </c>
      <c r="AA55" s="40">
        <f t="shared" si="8"/>
        <v>1896</v>
      </c>
      <c r="AB55" s="40">
        <f t="shared" si="9"/>
        <v>1554</v>
      </c>
    </row>
    <row r="56" spans="1:28" ht="15.75" customHeight="1">
      <c r="A56" s="11" t="s">
        <v>251</v>
      </c>
      <c r="B56" s="12" t="s">
        <v>252</v>
      </c>
      <c r="C56" s="13" t="s">
        <v>25</v>
      </c>
      <c r="D56" s="28" t="s">
        <v>253</v>
      </c>
      <c r="E56" s="27">
        <v>44448</v>
      </c>
      <c r="F56" s="15">
        <f t="shared" si="0"/>
        <v>2021</v>
      </c>
      <c r="G56" s="16">
        <f t="shared" si="1"/>
        <v>36</v>
      </c>
      <c r="H56" s="16">
        <f t="shared" si="2"/>
        <v>4</v>
      </c>
      <c r="I56" s="16" t="str">
        <f>VLOOKUP(H56,'Дни недели сортировка'!A:B,2,FALSE)</f>
        <v>04-четверг</v>
      </c>
      <c r="J56" s="24">
        <v>0.50277777777777777</v>
      </c>
      <c r="K56" s="12" t="s">
        <v>27</v>
      </c>
      <c r="L56" s="12" t="s">
        <v>254</v>
      </c>
      <c r="M56" s="12" t="s">
        <v>41</v>
      </c>
      <c r="N56" s="18">
        <v>1380708</v>
      </c>
      <c r="O56" s="18">
        <f>N56-1.5%*N56</f>
        <v>1359997.38</v>
      </c>
      <c r="P56" s="18">
        <f>O56*11.05%</f>
        <v>150279.71049</v>
      </c>
      <c r="Q56" s="18">
        <f>P56*7.2%</f>
        <v>10820.139155280001</v>
      </c>
      <c r="R56" s="18">
        <f t="shared" si="4"/>
        <v>20710.620000000112</v>
      </c>
      <c r="S56" s="18">
        <f>O56*0.58%</f>
        <v>7887.9848039999988</v>
      </c>
      <c r="T56" s="12" t="s">
        <v>255</v>
      </c>
      <c r="U56" s="18">
        <v>10495.534980621602</v>
      </c>
      <c r="V56" s="19">
        <v>4377.6876404172699</v>
      </c>
      <c r="W56" s="19">
        <v>4290.1338876089249</v>
      </c>
      <c r="X56" s="19">
        <v>3389.2057712110509</v>
      </c>
      <c r="Y56" s="40">
        <f t="shared" si="6"/>
        <v>10495</v>
      </c>
      <c r="Z56" s="40">
        <f t="shared" si="7"/>
        <v>4377</v>
      </c>
      <c r="AA56" s="40">
        <f t="shared" si="8"/>
        <v>4290</v>
      </c>
      <c r="AB56" s="40">
        <f t="shared" si="9"/>
        <v>3389</v>
      </c>
    </row>
    <row r="57" spans="1:28" ht="15.75" customHeight="1">
      <c r="A57" s="11" t="s">
        <v>256</v>
      </c>
      <c r="B57" s="12" t="s">
        <v>257</v>
      </c>
      <c r="C57" s="13" t="s">
        <v>25</v>
      </c>
      <c r="D57" s="28" t="s">
        <v>253</v>
      </c>
      <c r="E57" s="27">
        <v>44455</v>
      </c>
      <c r="F57" s="15">
        <f t="shared" si="0"/>
        <v>2021</v>
      </c>
      <c r="G57" s="16">
        <f t="shared" si="1"/>
        <v>37</v>
      </c>
      <c r="H57" s="16">
        <f t="shared" si="2"/>
        <v>4</v>
      </c>
      <c r="I57" s="16" t="str">
        <f>VLOOKUP(H57,'Дни недели сортировка'!A:B,2,FALSE)</f>
        <v>04-четверг</v>
      </c>
      <c r="J57" s="24">
        <v>0.50277777777777777</v>
      </c>
      <c r="K57" s="12" t="s">
        <v>27</v>
      </c>
      <c r="L57" s="12" t="s">
        <v>258</v>
      </c>
      <c r="M57" s="12" t="s">
        <v>29</v>
      </c>
      <c r="N57" s="18">
        <v>624983</v>
      </c>
      <c r="O57" s="18">
        <f t="shared" ref="O57:O58" si="27">N57-2%*N57</f>
        <v>612483.34</v>
      </c>
      <c r="P57" s="18">
        <f>O57*18%</f>
        <v>110247.00119999998</v>
      </c>
      <c r="Q57" s="18">
        <f>P57*12%</f>
        <v>13229.640143999997</v>
      </c>
      <c r="R57" s="18">
        <f t="shared" si="4"/>
        <v>12499.660000000033</v>
      </c>
      <c r="S57" s="18">
        <f>O57*0.59%</f>
        <v>3613.6517059999996</v>
      </c>
      <c r="T57" s="12" t="s">
        <v>259</v>
      </c>
      <c r="U57" s="18">
        <v>11245.194122399997</v>
      </c>
      <c r="V57" s="19">
        <v>6813.463118762158</v>
      </c>
      <c r="W57" s="19">
        <v>5927.7129133230774</v>
      </c>
      <c r="X57" s="19">
        <v>4445.784684992308</v>
      </c>
      <c r="Y57" s="40">
        <f t="shared" si="6"/>
        <v>11245</v>
      </c>
      <c r="Z57" s="40">
        <f t="shared" si="7"/>
        <v>6813</v>
      </c>
      <c r="AA57" s="40">
        <f t="shared" si="8"/>
        <v>5927</v>
      </c>
      <c r="AB57" s="40">
        <f t="shared" si="9"/>
        <v>4445</v>
      </c>
    </row>
    <row r="58" spans="1:28" ht="15.75" customHeight="1">
      <c r="A58" s="11" t="s">
        <v>260</v>
      </c>
      <c r="B58" s="12" t="s">
        <v>261</v>
      </c>
      <c r="C58" s="13" t="s">
        <v>25</v>
      </c>
      <c r="D58" s="13" t="s">
        <v>33</v>
      </c>
      <c r="E58" s="14">
        <v>44511</v>
      </c>
      <c r="F58" s="15">
        <f t="shared" si="0"/>
        <v>2021</v>
      </c>
      <c r="G58" s="16">
        <f t="shared" si="1"/>
        <v>45</v>
      </c>
      <c r="H58" s="16">
        <f t="shared" si="2"/>
        <v>4</v>
      </c>
      <c r="I58" s="16" t="str">
        <f>VLOOKUP(H58,'Дни недели сортировка'!A:B,2,FALSE)</f>
        <v>04-четверг</v>
      </c>
      <c r="J58" s="17">
        <v>0.50763888888888886</v>
      </c>
      <c r="K58" s="12" t="s">
        <v>27</v>
      </c>
      <c r="L58" s="12" t="s">
        <v>262</v>
      </c>
      <c r="M58" s="12" t="s">
        <v>35</v>
      </c>
      <c r="N58" s="18">
        <v>676699</v>
      </c>
      <c r="O58" s="18">
        <f t="shared" si="27"/>
        <v>663165.02</v>
      </c>
      <c r="P58" s="18">
        <f>O58*17.43%</f>
        <v>115589.66298600001</v>
      </c>
      <c r="Q58" s="18">
        <f>P58*9%</f>
        <v>10403.069668740001</v>
      </c>
      <c r="R58" s="18">
        <f t="shared" si="4"/>
        <v>13533.979999999981</v>
      </c>
      <c r="S58" s="18">
        <f t="shared" ref="S58:S59" si="28">O58*0.57%</f>
        <v>3780.0406139999996</v>
      </c>
      <c r="T58" s="12" t="s">
        <v>263</v>
      </c>
      <c r="U58" s="18">
        <v>9570.8240952408014</v>
      </c>
      <c r="V58" s="19">
        <v>3702.951842448666</v>
      </c>
      <c r="W58" s="19">
        <v>3147.5090660813662</v>
      </c>
      <c r="X58" s="19">
        <v>2297.6816182393973</v>
      </c>
      <c r="Y58" s="40">
        <f t="shared" si="6"/>
        <v>9570</v>
      </c>
      <c r="Z58" s="40">
        <f t="shared" si="7"/>
        <v>3702</v>
      </c>
      <c r="AA58" s="40">
        <f t="shared" si="8"/>
        <v>3147</v>
      </c>
      <c r="AB58" s="40">
        <f t="shared" si="9"/>
        <v>2297</v>
      </c>
    </row>
    <row r="59" spans="1:28" ht="15.75" customHeight="1">
      <c r="A59" s="11" t="s">
        <v>264</v>
      </c>
      <c r="B59" s="12" t="s">
        <v>265</v>
      </c>
      <c r="C59" s="13" t="s">
        <v>25</v>
      </c>
      <c r="D59" s="28" t="s">
        <v>253</v>
      </c>
      <c r="E59" s="27">
        <v>44440</v>
      </c>
      <c r="F59" s="15">
        <f t="shared" si="0"/>
        <v>2021</v>
      </c>
      <c r="G59" s="16">
        <f t="shared" si="1"/>
        <v>35</v>
      </c>
      <c r="H59" s="16">
        <f t="shared" si="2"/>
        <v>3</v>
      </c>
      <c r="I59" s="16" t="str">
        <f>VLOOKUP(H59,'Дни недели сортировка'!A:B,2,FALSE)</f>
        <v>03-среда</v>
      </c>
      <c r="J59" s="24">
        <v>0.50277777777777777</v>
      </c>
      <c r="K59" s="12" t="s">
        <v>27</v>
      </c>
      <c r="L59" s="12" t="s">
        <v>266</v>
      </c>
      <c r="M59" s="12" t="s">
        <v>41</v>
      </c>
      <c r="N59" s="18">
        <v>846810</v>
      </c>
      <c r="O59" s="18">
        <f>N59-1.5%*N59</f>
        <v>834107.85</v>
      </c>
      <c r="P59" s="18">
        <f>O59*11.05%</f>
        <v>92168.917424999992</v>
      </c>
      <c r="Q59" s="18">
        <f>P59*8.4%</f>
        <v>7742.1890636999997</v>
      </c>
      <c r="R59" s="18">
        <f t="shared" si="4"/>
        <v>12702.150000000023</v>
      </c>
      <c r="S59" s="18">
        <f t="shared" si="28"/>
        <v>4754.4147449999991</v>
      </c>
      <c r="T59" s="12" t="s">
        <v>267</v>
      </c>
      <c r="U59" s="18">
        <v>7200.2358292409999</v>
      </c>
      <c r="V59" s="19">
        <v>2488.4015025856893</v>
      </c>
      <c r="W59" s="19">
        <v>2080.3036561616364</v>
      </c>
      <c r="X59" s="19">
        <v>1643.4398883676929</v>
      </c>
      <c r="Y59" s="40">
        <f t="shared" si="6"/>
        <v>7200</v>
      </c>
      <c r="Z59" s="40">
        <f t="shared" si="7"/>
        <v>2488</v>
      </c>
      <c r="AA59" s="40">
        <f t="shared" si="8"/>
        <v>2080</v>
      </c>
      <c r="AB59" s="40">
        <f t="shared" si="9"/>
        <v>1643</v>
      </c>
    </row>
    <row r="60" spans="1:28" ht="15.75" customHeight="1">
      <c r="A60" s="11" t="s">
        <v>268</v>
      </c>
      <c r="B60" s="12" t="s">
        <v>269</v>
      </c>
      <c r="C60" s="13" t="s">
        <v>25</v>
      </c>
      <c r="D60" s="28" t="s">
        <v>253</v>
      </c>
      <c r="E60" s="27">
        <v>44447</v>
      </c>
      <c r="F60" s="15">
        <f t="shared" si="0"/>
        <v>2021</v>
      </c>
      <c r="G60" s="16">
        <f t="shared" si="1"/>
        <v>36</v>
      </c>
      <c r="H60" s="16">
        <f t="shared" si="2"/>
        <v>3</v>
      </c>
      <c r="I60" s="16" t="str">
        <f>VLOOKUP(H60,'Дни недели сортировка'!A:B,2,FALSE)</f>
        <v>03-среда</v>
      </c>
      <c r="J60" s="24">
        <v>0.50277777777777777</v>
      </c>
      <c r="K60" s="12" t="s">
        <v>27</v>
      </c>
      <c r="L60" s="12" t="s">
        <v>270</v>
      </c>
      <c r="M60" s="12" t="s">
        <v>29</v>
      </c>
      <c r="N60" s="18">
        <v>1497564</v>
      </c>
      <c r="O60" s="18">
        <f t="shared" ref="O60:O83" si="29">N60-3%*N60</f>
        <v>1452637.08</v>
      </c>
      <c r="P60" s="18">
        <f>O60*9.2%</f>
        <v>133642.61136000001</v>
      </c>
      <c r="Q60" s="18">
        <f>P60*3.9%</f>
        <v>5212.06184304</v>
      </c>
      <c r="R60" s="18">
        <f t="shared" si="4"/>
        <v>44926.919999999925</v>
      </c>
      <c r="S60" s="18">
        <f>O60*0.5%</f>
        <v>7263.1854000000003</v>
      </c>
      <c r="T60" s="12" t="s">
        <v>271</v>
      </c>
      <c r="U60" s="18">
        <v>4742.9762771664</v>
      </c>
      <c r="V60" s="19">
        <v>1144.954473307969</v>
      </c>
      <c r="W60" s="19">
        <v>929.70303232607091</v>
      </c>
      <c r="X60" s="19">
        <v>771.65351683063886</v>
      </c>
      <c r="Y60" s="40">
        <f t="shared" si="6"/>
        <v>4742</v>
      </c>
      <c r="Z60" s="40">
        <f t="shared" si="7"/>
        <v>1144</v>
      </c>
      <c r="AA60" s="40">
        <f t="shared" si="8"/>
        <v>929</v>
      </c>
      <c r="AB60" s="40">
        <f t="shared" si="9"/>
        <v>771</v>
      </c>
    </row>
    <row r="61" spans="1:28" ht="15.75" customHeight="1">
      <c r="A61" s="11" t="s">
        <v>272</v>
      </c>
      <c r="B61" s="12" t="s">
        <v>273</v>
      </c>
      <c r="C61" s="13" t="s">
        <v>25</v>
      </c>
      <c r="D61" s="28" t="s">
        <v>253</v>
      </c>
      <c r="E61" s="27">
        <v>44452</v>
      </c>
      <c r="F61" s="15">
        <f t="shared" si="0"/>
        <v>2021</v>
      </c>
      <c r="G61" s="16">
        <f t="shared" si="1"/>
        <v>37</v>
      </c>
      <c r="H61" s="16">
        <f t="shared" si="2"/>
        <v>1</v>
      </c>
      <c r="I61" s="16" t="str">
        <f>VLOOKUP(H61,'Дни недели сортировка'!A:B,2,FALSE)</f>
        <v>01-понедельник</v>
      </c>
      <c r="J61" s="24">
        <v>0.50277777777777777</v>
      </c>
      <c r="K61" s="12" t="s">
        <v>27</v>
      </c>
      <c r="L61" s="12" t="s">
        <v>274</v>
      </c>
      <c r="M61" s="12" t="s">
        <v>35</v>
      </c>
      <c r="N61" s="18">
        <v>1470010</v>
      </c>
      <c r="O61" s="18">
        <f t="shared" si="29"/>
        <v>1425909.7</v>
      </c>
      <c r="P61" s="18">
        <f>O61*17.43%</f>
        <v>248536.06071000002</v>
      </c>
      <c r="Q61" s="18">
        <f>P61*7.2%</f>
        <v>17894.596371120002</v>
      </c>
      <c r="R61" s="18">
        <f t="shared" si="4"/>
        <v>44100.300000000047</v>
      </c>
      <c r="S61" s="18">
        <f>O61*0.58%</f>
        <v>8270.2762599999987</v>
      </c>
      <c r="T61" s="12" t="s">
        <v>275</v>
      </c>
      <c r="U61" s="18">
        <v>15568.298842874401</v>
      </c>
      <c r="V61" s="19">
        <v>8864.5893611326846</v>
      </c>
      <c r="W61" s="19">
        <v>7534.9009569627815</v>
      </c>
      <c r="X61" s="19">
        <v>6178.6187847094807</v>
      </c>
      <c r="Y61" s="40">
        <f t="shared" si="6"/>
        <v>15568</v>
      </c>
      <c r="Z61" s="40">
        <f t="shared" si="7"/>
        <v>8864</v>
      </c>
      <c r="AA61" s="40">
        <f t="shared" si="8"/>
        <v>7534</v>
      </c>
      <c r="AB61" s="40">
        <f t="shared" si="9"/>
        <v>6178</v>
      </c>
    </row>
    <row r="62" spans="1:28" ht="15.75" customHeight="1">
      <c r="A62" s="11" t="s">
        <v>276</v>
      </c>
      <c r="B62" s="12" t="s">
        <v>277</v>
      </c>
      <c r="C62" s="13" t="s">
        <v>25</v>
      </c>
      <c r="D62" s="28" t="s">
        <v>253</v>
      </c>
      <c r="E62" s="27">
        <v>44456</v>
      </c>
      <c r="F62" s="15">
        <f t="shared" si="0"/>
        <v>2021</v>
      </c>
      <c r="G62" s="16">
        <f t="shared" si="1"/>
        <v>38</v>
      </c>
      <c r="H62" s="16">
        <f t="shared" si="2"/>
        <v>5</v>
      </c>
      <c r="I62" s="16" t="str">
        <f>VLOOKUP(H62,'Дни недели сортировка'!A:B,2,FALSE)</f>
        <v>05-пятница</v>
      </c>
      <c r="J62" s="24">
        <v>0.50277777777777777</v>
      </c>
      <c r="K62" s="12" t="s">
        <v>27</v>
      </c>
      <c r="L62" s="12" t="s">
        <v>278</v>
      </c>
      <c r="M62" s="12" t="s">
        <v>29</v>
      </c>
      <c r="N62" s="18">
        <v>767766</v>
      </c>
      <c r="O62" s="18">
        <f t="shared" si="29"/>
        <v>744733.02</v>
      </c>
      <c r="P62" s="18">
        <f>O62*11.05%</f>
        <v>82292.99871</v>
      </c>
      <c r="Q62" s="18">
        <f>P62*12%</f>
        <v>9875.1598451999998</v>
      </c>
      <c r="R62" s="18">
        <f t="shared" si="4"/>
        <v>23032.979999999981</v>
      </c>
      <c r="S62" s="18">
        <f>O62*0.59%</f>
        <v>4393.9248180000004</v>
      </c>
      <c r="T62" s="12" t="s">
        <v>279</v>
      </c>
      <c r="U62" s="18">
        <v>6813.8602931879996</v>
      </c>
      <c r="V62" s="19">
        <v>1769.5595181409235</v>
      </c>
      <c r="W62" s="19">
        <v>1479.3517571658119</v>
      </c>
      <c r="X62" s="19">
        <v>1168.6878881609914</v>
      </c>
      <c r="Y62" s="40">
        <f t="shared" si="6"/>
        <v>6813</v>
      </c>
      <c r="Z62" s="40">
        <f t="shared" si="7"/>
        <v>1769</v>
      </c>
      <c r="AA62" s="40">
        <f t="shared" si="8"/>
        <v>1479</v>
      </c>
      <c r="AB62" s="40">
        <f t="shared" si="9"/>
        <v>1168</v>
      </c>
    </row>
    <row r="63" spans="1:28" ht="15.75" customHeight="1">
      <c r="A63" s="11" t="s">
        <v>280</v>
      </c>
      <c r="B63" s="12" t="s">
        <v>281</v>
      </c>
      <c r="C63" s="13" t="s">
        <v>25</v>
      </c>
      <c r="D63" s="28" t="s">
        <v>253</v>
      </c>
      <c r="E63" s="27">
        <v>44461</v>
      </c>
      <c r="F63" s="15">
        <f t="shared" si="0"/>
        <v>2021</v>
      </c>
      <c r="G63" s="16">
        <f t="shared" si="1"/>
        <v>38</v>
      </c>
      <c r="H63" s="16">
        <f t="shared" si="2"/>
        <v>3</v>
      </c>
      <c r="I63" s="16" t="str">
        <f>VLOOKUP(H63,'Дни недели сортировка'!A:B,2,FALSE)</f>
        <v>03-среда</v>
      </c>
      <c r="J63" s="24">
        <v>0.50277777777777777</v>
      </c>
      <c r="K63" s="12" t="s">
        <v>27</v>
      </c>
      <c r="L63" s="12" t="s">
        <v>282</v>
      </c>
      <c r="M63" s="12" t="s">
        <v>35</v>
      </c>
      <c r="N63" s="18">
        <v>1668552</v>
      </c>
      <c r="O63" s="18">
        <f t="shared" si="29"/>
        <v>1618495.44</v>
      </c>
      <c r="P63" s="18">
        <f>O63*9.2%</f>
        <v>148901.58048</v>
      </c>
      <c r="Q63" s="18">
        <f>P63*9%</f>
        <v>13401.1422432</v>
      </c>
      <c r="R63" s="18">
        <f t="shared" si="4"/>
        <v>50056.560000000056</v>
      </c>
      <c r="S63" s="18">
        <f t="shared" ref="S63:S64" si="30">O63*0.57%</f>
        <v>9225.4240079999981</v>
      </c>
      <c r="T63" s="12" t="s">
        <v>283</v>
      </c>
      <c r="U63" s="18">
        <v>12999.107975904</v>
      </c>
      <c r="V63" s="19">
        <v>5421.9279367495583</v>
      </c>
      <c r="W63" s="19">
        <v>4402.6054846406414</v>
      </c>
      <c r="X63" s="19">
        <v>3301.9541134804813</v>
      </c>
      <c r="Y63" s="40">
        <f t="shared" si="6"/>
        <v>12999</v>
      </c>
      <c r="Z63" s="40">
        <f t="shared" si="7"/>
        <v>5421</v>
      </c>
      <c r="AA63" s="40">
        <f t="shared" si="8"/>
        <v>4402</v>
      </c>
      <c r="AB63" s="40">
        <f t="shared" si="9"/>
        <v>3301</v>
      </c>
    </row>
    <row r="64" spans="1:28" ht="15.75" customHeight="1">
      <c r="A64" s="11" t="s">
        <v>284</v>
      </c>
      <c r="B64" s="12" t="s">
        <v>285</v>
      </c>
      <c r="C64" s="13" t="s">
        <v>25</v>
      </c>
      <c r="D64" s="13" t="s">
        <v>26</v>
      </c>
      <c r="E64" s="27">
        <v>44477</v>
      </c>
      <c r="F64" s="15">
        <f t="shared" si="0"/>
        <v>2021</v>
      </c>
      <c r="G64" s="16">
        <f t="shared" si="1"/>
        <v>41</v>
      </c>
      <c r="H64" s="16">
        <f t="shared" si="2"/>
        <v>5</v>
      </c>
      <c r="I64" s="16" t="str">
        <f>VLOOKUP(H64,'Дни недели сортировка'!A:B,2,FALSE)</f>
        <v>05-пятница</v>
      </c>
      <c r="J64" s="24">
        <v>0.50277777777777777</v>
      </c>
      <c r="K64" s="12" t="s">
        <v>27</v>
      </c>
      <c r="L64" s="12" t="s">
        <v>286</v>
      </c>
      <c r="M64" s="12" t="s">
        <v>41</v>
      </c>
      <c r="N64" s="18">
        <v>1596215</v>
      </c>
      <c r="O64" s="18">
        <f t="shared" si="29"/>
        <v>1548328.55</v>
      </c>
      <c r="P64" s="18">
        <f>O64*17.43%</f>
        <v>269873.66626500001</v>
      </c>
      <c r="Q64" s="18">
        <f>P64*8.4%</f>
        <v>22669.387966260001</v>
      </c>
      <c r="R64" s="18">
        <f t="shared" si="4"/>
        <v>47886.449999999953</v>
      </c>
      <c r="S64" s="18">
        <f t="shared" si="30"/>
        <v>8825.4727349999994</v>
      </c>
      <c r="T64" s="12" t="s">
        <v>287</v>
      </c>
      <c r="U64" s="18">
        <v>19268.979771320999</v>
      </c>
      <c r="V64" s="19">
        <v>11675.074843443392</v>
      </c>
      <c r="W64" s="19">
        <v>9923.8136169268819</v>
      </c>
      <c r="X64" s="19">
        <v>7244.3839403566235</v>
      </c>
      <c r="Y64" s="40">
        <f t="shared" si="6"/>
        <v>19268</v>
      </c>
      <c r="Z64" s="40">
        <f t="shared" si="7"/>
        <v>11675</v>
      </c>
      <c r="AA64" s="40">
        <f t="shared" si="8"/>
        <v>9923</v>
      </c>
      <c r="AB64" s="40">
        <f t="shared" si="9"/>
        <v>7244</v>
      </c>
    </row>
    <row r="65" spans="1:28" ht="15.75" customHeight="1">
      <c r="A65" s="11" t="s">
        <v>288</v>
      </c>
      <c r="B65" s="12" t="s">
        <v>289</v>
      </c>
      <c r="C65" s="13" t="s">
        <v>25</v>
      </c>
      <c r="D65" s="13" t="s">
        <v>26</v>
      </c>
      <c r="E65" s="27">
        <v>44484</v>
      </c>
      <c r="F65" s="15">
        <f t="shared" si="0"/>
        <v>2021</v>
      </c>
      <c r="G65" s="16">
        <f t="shared" si="1"/>
        <v>42</v>
      </c>
      <c r="H65" s="16">
        <f t="shared" si="2"/>
        <v>5</v>
      </c>
      <c r="I65" s="16" t="str">
        <f>VLOOKUP(H65,'Дни недели сортировка'!A:B,2,FALSE)</f>
        <v>05-пятница</v>
      </c>
      <c r="J65" s="24">
        <v>0.50277777777777777</v>
      </c>
      <c r="K65" s="12" t="s">
        <v>27</v>
      </c>
      <c r="L65" s="12" t="s">
        <v>290</v>
      </c>
      <c r="M65" s="12" t="s">
        <v>29</v>
      </c>
      <c r="N65" s="18">
        <v>1274813</v>
      </c>
      <c r="O65" s="18">
        <f t="shared" si="29"/>
        <v>1236568.6100000001</v>
      </c>
      <c r="P65" s="18">
        <f>O65*14%</f>
        <v>173119.60540000003</v>
      </c>
      <c r="Q65" s="18">
        <f>P65*3.9%</f>
        <v>6751.6646106000007</v>
      </c>
      <c r="R65" s="18">
        <f t="shared" si="4"/>
        <v>38244.389999999898</v>
      </c>
      <c r="S65" s="18">
        <f>O65*0.5%</f>
        <v>6182.8430500000004</v>
      </c>
      <c r="T65" s="12" t="s">
        <v>291</v>
      </c>
      <c r="U65" s="18">
        <v>6211.5314417520012</v>
      </c>
      <c r="V65" s="19">
        <v>2403.2415148138493</v>
      </c>
      <c r="W65" s="19">
        <v>2009.1099063843781</v>
      </c>
      <c r="X65" s="19">
        <v>1587.1968260436588</v>
      </c>
      <c r="Y65" s="40">
        <f t="shared" si="6"/>
        <v>6211</v>
      </c>
      <c r="Z65" s="40">
        <f t="shared" si="7"/>
        <v>2403</v>
      </c>
      <c r="AA65" s="40">
        <f t="shared" si="8"/>
        <v>2009</v>
      </c>
      <c r="AB65" s="40">
        <f t="shared" si="9"/>
        <v>1587</v>
      </c>
    </row>
    <row r="66" spans="1:28" ht="15.75" customHeight="1">
      <c r="A66" s="11" t="s">
        <v>292</v>
      </c>
      <c r="B66" s="12" t="s">
        <v>293</v>
      </c>
      <c r="C66" s="13" t="s">
        <v>25</v>
      </c>
      <c r="D66" s="13" t="s">
        <v>26</v>
      </c>
      <c r="E66" s="27">
        <v>44470</v>
      </c>
      <c r="F66" s="15">
        <f t="shared" si="0"/>
        <v>2021</v>
      </c>
      <c r="G66" s="16">
        <f t="shared" si="1"/>
        <v>40</v>
      </c>
      <c r="H66" s="16">
        <f t="shared" si="2"/>
        <v>5</v>
      </c>
      <c r="I66" s="16" t="str">
        <f>VLOOKUP(H66,'Дни недели сортировка'!A:B,2,FALSE)</f>
        <v>05-пятница</v>
      </c>
      <c r="J66" s="24">
        <v>0.50277777777777777</v>
      </c>
      <c r="K66" s="12" t="s">
        <v>27</v>
      </c>
      <c r="L66" s="12" t="s">
        <v>294</v>
      </c>
      <c r="M66" s="12" t="s">
        <v>35</v>
      </c>
      <c r="N66" s="18">
        <v>1719390</v>
      </c>
      <c r="O66" s="18">
        <f t="shared" si="29"/>
        <v>1667808.3</v>
      </c>
      <c r="P66" s="18">
        <f>O66*11.05%</f>
        <v>184292.81715000002</v>
      </c>
      <c r="Q66" s="18">
        <f>P66*7.2%</f>
        <v>13269.082834800003</v>
      </c>
      <c r="R66" s="18">
        <f t="shared" si="4"/>
        <v>51581.699999999953</v>
      </c>
      <c r="S66" s="18">
        <f>O66*0.58%</f>
        <v>9673.2881399999987</v>
      </c>
      <c r="T66" s="12" t="s">
        <v>295</v>
      </c>
      <c r="U66" s="18">
        <v>12340.247036364004</v>
      </c>
      <c r="V66" s="19">
        <v>4264.7893757673992</v>
      </c>
      <c r="W66" s="19">
        <v>3463.0089731231283</v>
      </c>
      <c r="X66" s="19">
        <v>2874.2974476921963</v>
      </c>
      <c r="Y66" s="40">
        <f t="shared" si="6"/>
        <v>12340</v>
      </c>
      <c r="Z66" s="40">
        <f t="shared" si="7"/>
        <v>4264</v>
      </c>
      <c r="AA66" s="40">
        <f t="shared" si="8"/>
        <v>3463</v>
      </c>
      <c r="AB66" s="40">
        <f t="shared" si="9"/>
        <v>2874</v>
      </c>
    </row>
    <row r="67" spans="1:28" ht="15.75" customHeight="1">
      <c r="A67" s="11" t="s">
        <v>296</v>
      </c>
      <c r="B67" s="12" t="s">
        <v>297</v>
      </c>
      <c r="C67" s="13" t="s">
        <v>25</v>
      </c>
      <c r="D67" s="13" t="s">
        <v>26</v>
      </c>
      <c r="E67" s="27">
        <v>44475</v>
      </c>
      <c r="F67" s="15">
        <f t="shared" si="0"/>
        <v>2021</v>
      </c>
      <c r="G67" s="16">
        <f t="shared" si="1"/>
        <v>40</v>
      </c>
      <c r="H67" s="16">
        <f t="shared" si="2"/>
        <v>3</v>
      </c>
      <c r="I67" s="16" t="str">
        <f>VLOOKUP(H67,'Дни недели сортировка'!A:B,2,FALSE)</f>
        <v>03-среда</v>
      </c>
      <c r="J67" s="24">
        <v>0.50277777777777777</v>
      </c>
      <c r="K67" s="12" t="s">
        <v>27</v>
      </c>
      <c r="L67" s="12" t="s">
        <v>298</v>
      </c>
      <c r="M67" s="12" t="s">
        <v>41</v>
      </c>
      <c r="N67" s="18">
        <v>1710675</v>
      </c>
      <c r="O67" s="18">
        <f t="shared" si="29"/>
        <v>1659354.75</v>
      </c>
      <c r="P67" s="18">
        <f>O67*18%</f>
        <v>298683.85499999998</v>
      </c>
      <c r="Q67" s="18">
        <f>P67*12%</f>
        <v>35842.062599999997</v>
      </c>
      <c r="R67" s="18">
        <f t="shared" si="4"/>
        <v>51320.25</v>
      </c>
      <c r="S67" s="18">
        <f>O67*0.59%</f>
        <v>9790.1930250000005</v>
      </c>
      <c r="T67" s="12" t="s">
        <v>299</v>
      </c>
      <c r="U67" s="18">
        <v>32616.276965999998</v>
      </c>
      <c r="V67" s="19">
        <v>7873.5692595923992</v>
      </c>
      <c r="W67" s="19">
        <v>7716.0978744005515</v>
      </c>
      <c r="X67" s="19">
        <v>6327.2002570084514</v>
      </c>
      <c r="Y67" s="40">
        <f t="shared" ref="Y67:Y130" si="31">ROUNDDOWN(U67,0)</f>
        <v>32616</v>
      </c>
      <c r="Z67" s="40">
        <f t="shared" ref="Z67:Z130" si="32">ROUNDDOWN(V67,0)</f>
        <v>7873</v>
      </c>
      <c r="AA67" s="40">
        <f t="shared" ref="AA67:AA130" si="33">ROUNDDOWN(W67,0)</f>
        <v>7716</v>
      </c>
      <c r="AB67" s="40">
        <f t="shared" ref="AB67:AB130" si="34">ROUNDDOWN(X67,0)</f>
        <v>6327</v>
      </c>
    </row>
    <row r="68" spans="1:28" ht="15.75" customHeight="1">
      <c r="A68" s="11" t="s">
        <v>300</v>
      </c>
      <c r="B68" s="12" t="s">
        <v>301</v>
      </c>
      <c r="C68" s="13" t="s">
        <v>25</v>
      </c>
      <c r="D68" s="13" t="s">
        <v>26</v>
      </c>
      <c r="E68" s="27">
        <v>44482</v>
      </c>
      <c r="F68" s="15">
        <f t="shared" si="0"/>
        <v>2021</v>
      </c>
      <c r="G68" s="16">
        <f t="shared" si="1"/>
        <v>41</v>
      </c>
      <c r="H68" s="16">
        <f t="shared" si="2"/>
        <v>3</v>
      </c>
      <c r="I68" s="16" t="str">
        <f>VLOOKUP(H68,'Дни недели сортировка'!A:B,2,FALSE)</f>
        <v>03-среда</v>
      </c>
      <c r="J68" s="24">
        <v>0.50277777777777777</v>
      </c>
      <c r="K68" s="12" t="s">
        <v>27</v>
      </c>
      <c r="L68" s="12" t="s">
        <v>302</v>
      </c>
      <c r="M68" s="12" t="s">
        <v>29</v>
      </c>
      <c r="N68" s="18">
        <v>1269296</v>
      </c>
      <c r="O68" s="18">
        <f t="shared" si="29"/>
        <v>1231217.1200000001</v>
      </c>
      <c r="P68" s="18">
        <f>O68*17.43%</f>
        <v>214601.14401600003</v>
      </c>
      <c r="Q68" s="18">
        <f>P68*9%</f>
        <v>19314.102961440003</v>
      </c>
      <c r="R68" s="18">
        <f t="shared" si="4"/>
        <v>38078.879999999888</v>
      </c>
      <c r="S68" s="18">
        <f t="shared" ref="S68:S69" si="35">O68*0.57%</f>
        <v>7017.9375840000002</v>
      </c>
      <c r="T68" s="12" t="s">
        <v>303</v>
      </c>
      <c r="U68" s="18">
        <v>16803.269576452803</v>
      </c>
      <c r="V68" s="19">
        <v>9567.7816968322259</v>
      </c>
      <c r="W68" s="19">
        <v>8323.970076244037</v>
      </c>
      <c r="X68" s="19">
        <v>6575.9363602327894</v>
      </c>
      <c r="Y68" s="40">
        <f t="shared" si="31"/>
        <v>16803</v>
      </c>
      <c r="Z68" s="40">
        <f t="shared" si="32"/>
        <v>9567</v>
      </c>
      <c r="AA68" s="40">
        <f t="shared" si="33"/>
        <v>8323</v>
      </c>
      <c r="AB68" s="40">
        <f t="shared" si="34"/>
        <v>6575</v>
      </c>
    </row>
    <row r="69" spans="1:28" ht="15.75" customHeight="1">
      <c r="A69" s="11" t="s">
        <v>304</v>
      </c>
      <c r="B69" s="12" t="s">
        <v>305</v>
      </c>
      <c r="C69" s="13" t="s">
        <v>25</v>
      </c>
      <c r="D69" s="13" t="s">
        <v>33</v>
      </c>
      <c r="E69" s="14">
        <v>44512</v>
      </c>
      <c r="F69" s="15">
        <f t="shared" si="0"/>
        <v>2021</v>
      </c>
      <c r="G69" s="16">
        <f t="shared" si="1"/>
        <v>46</v>
      </c>
      <c r="H69" s="16">
        <f t="shared" si="2"/>
        <v>5</v>
      </c>
      <c r="I69" s="16" t="str">
        <f>VLOOKUP(H69,'Дни недели сортировка'!A:B,2,FALSE)</f>
        <v>05-пятница</v>
      </c>
      <c r="J69" s="17">
        <v>0.56527777777777777</v>
      </c>
      <c r="K69" s="12" t="s">
        <v>27</v>
      </c>
      <c r="L69" s="12" t="s">
        <v>306</v>
      </c>
      <c r="M69" s="12" t="s">
        <v>35</v>
      </c>
      <c r="N69" s="18">
        <v>948436</v>
      </c>
      <c r="O69" s="18">
        <f t="shared" si="29"/>
        <v>919982.92</v>
      </c>
      <c r="P69" s="18">
        <f>O69*11.05%</f>
        <v>101658.11266</v>
      </c>
      <c r="Q69" s="18">
        <f>P69*8.4%</f>
        <v>8539.2814634400002</v>
      </c>
      <c r="R69" s="18">
        <f t="shared" si="4"/>
        <v>28453.079999999958</v>
      </c>
      <c r="S69" s="18">
        <f t="shared" si="35"/>
        <v>5243.9026439999998</v>
      </c>
      <c r="T69" s="12" t="s">
        <v>307</v>
      </c>
      <c r="U69" s="18">
        <v>5892.1042097735999</v>
      </c>
      <c r="V69" s="19">
        <v>1530.1794632782039</v>
      </c>
      <c r="W69" s="19">
        <v>1300.6525437864732</v>
      </c>
      <c r="X69" s="19">
        <v>975.48940783985495</v>
      </c>
      <c r="Y69" s="40">
        <f t="shared" si="31"/>
        <v>5892</v>
      </c>
      <c r="Z69" s="40">
        <f t="shared" si="32"/>
        <v>1530</v>
      </c>
      <c r="AA69" s="40">
        <f t="shared" si="33"/>
        <v>1300</v>
      </c>
      <c r="AB69" s="40">
        <f t="shared" si="34"/>
        <v>975</v>
      </c>
    </row>
    <row r="70" spans="1:28" ht="15.75" customHeight="1">
      <c r="A70" s="11" t="s">
        <v>308</v>
      </c>
      <c r="B70" s="12" t="s">
        <v>309</v>
      </c>
      <c r="C70" s="13" t="s">
        <v>25</v>
      </c>
      <c r="D70" s="13" t="s">
        <v>26</v>
      </c>
      <c r="E70" s="27">
        <v>44485</v>
      </c>
      <c r="F70" s="15">
        <f t="shared" si="0"/>
        <v>2021</v>
      </c>
      <c r="G70" s="16">
        <f t="shared" si="1"/>
        <v>42</v>
      </c>
      <c r="H70" s="16">
        <f t="shared" si="2"/>
        <v>6</v>
      </c>
      <c r="I70" s="16" t="str">
        <f>VLOOKUP(H70,'Дни недели сортировка'!A:B,2,FALSE)</f>
        <v>06-суббота</v>
      </c>
      <c r="J70" s="24">
        <v>0.50277777777777777</v>
      </c>
      <c r="K70" s="12" t="s">
        <v>27</v>
      </c>
      <c r="L70" s="12" t="s">
        <v>310</v>
      </c>
      <c r="M70" s="12" t="s">
        <v>41</v>
      </c>
      <c r="N70" s="18">
        <v>566216</v>
      </c>
      <c r="O70" s="18">
        <f t="shared" si="29"/>
        <v>549229.52</v>
      </c>
      <c r="P70" s="18">
        <f>O70*9.2%</f>
        <v>50529.115839999999</v>
      </c>
      <c r="Q70" s="18">
        <f>P70*3.9%</f>
        <v>1970.6355177599999</v>
      </c>
      <c r="R70" s="18">
        <f t="shared" si="4"/>
        <v>16986.479999999981</v>
      </c>
      <c r="S70" s="18">
        <f>O70*0.5%</f>
        <v>2746.1476000000002</v>
      </c>
      <c r="T70" s="12" t="s">
        <v>311</v>
      </c>
      <c r="U70" s="18">
        <v>1911.5164522271998</v>
      </c>
      <c r="V70" s="19">
        <v>797.29351222396497</v>
      </c>
      <c r="W70" s="19">
        <v>666.53737621923472</v>
      </c>
      <c r="X70" s="19">
        <v>486.57228464004135</v>
      </c>
      <c r="Y70" s="40">
        <f t="shared" si="31"/>
        <v>1911</v>
      </c>
      <c r="Z70" s="40">
        <f t="shared" si="32"/>
        <v>797</v>
      </c>
      <c r="AA70" s="40">
        <f t="shared" si="33"/>
        <v>666</v>
      </c>
      <c r="AB70" s="40">
        <f t="shared" si="34"/>
        <v>486</v>
      </c>
    </row>
    <row r="71" spans="1:28" ht="15.75" customHeight="1">
      <c r="A71" s="11" t="s">
        <v>312</v>
      </c>
      <c r="B71" s="12" t="s">
        <v>313</v>
      </c>
      <c r="C71" s="13" t="s">
        <v>25</v>
      </c>
      <c r="D71" s="13" t="s">
        <v>26</v>
      </c>
      <c r="E71" s="27">
        <v>44487</v>
      </c>
      <c r="F71" s="15">
        <f t="shared" si="0"/>
        <v>2021</v>
      </c>
      <c r="G71" s="16">
        <f t="shared" si="1"/>
        <v>42</v>
      </c>
      <c r="H71" s="16">
        <f t="shared" si="2"/>
        <v>1</v>
      </c>
      <c r="I71" s="16" t="str">
        <f>VLOOKUP(H71,'Дни недели сортировка'!A:B,2,FALSE)</f>
        <v>01-понедельник</v>
      </c>
      <c r="J71" s="24">
        <v>0.50277777777777777</v>
      </c>
      <c r="K71" s="12" t="s">
        <v>27</v>
      </c>
      <c r="L71" s="12" t="s">
        <v>314</v>
      </c>
      <c r="M71" s="12" t="s">
        <v>29</v>
      </c>
      <c r="N71" s="18">
        <v>1626801</v>
      </c>
      <c r="O71" s="18">
        <f t="shared" si="29"/>
        <v>1577996.97</v>
      </c>
      <c r="P71" s="18">
        <f>O71*17.43%</f>
        <v>275044.87187100004</v>
      </c>
      <c r="Q71" s="18">
        <f>P71*7.2%</f>
        <v>19803.230774712007</v>
      </c>
      <c r="R71" s="18">
        <f t="shared" si="4"/>
        <v>48804.030000000028</v>
      </c>
      <c r="S71" s="18">
        <f>O71*0.58%</f>
        <v>9152.3824259999983</v>
      </c>
      <c r="T71" s="12" t="s">
        <v>315</v>
      </c>
      <c r="U71" s="18">
        <v>16832.746158505204</v>
      </c>
      <c r="V71" s="19">
        <v>10198.960897438303</v>
      </c>
      <c r="W71" s="19">
        <v>8281.5562487199022</v>
      </c>
      <c r="X71" s="19">
        <v>6542.4294364887228</v>
      </c>
      <c r="Y71" s="40">
        <f t="shared" si="31"/>
        <v>16832</v>
      </c>
      <c r="Z71" s="40">
        <f t="shared" si="32"/>
        <v>10198</v>
      </c>
      <c r="AA71" s="40">
        <f t="shared" si="33"/>
        <v>8281</v>
      </c>
      <c r="AB71" s="40">
        <f t="shared" si="34"/>
        <v>6542</v>
      </c>
    </row>
    <row r="72" spans="1:28" ht="15.75" customHeight="1">
      <c r="A72" s="11" t="s">
        <v>316</v>
      </c>
      <c r="B72" s="12" t="s">
        <v>317</v>
      </c>
      <c r="C72" s="13" t="s">
        <v>25</v>
      </c>
      <c r="D72" s="13" t="s">
        <v>26</v>
      </c>
      <c r="E72" s="14">
        <v>44495</v>
      </c>
      <c r="F72" s="15">
        <f t="shared" si="0"/>
        <v>2021</v>
      </c>
      <c r="G72" s="16">
        <f t="shared" si="1"/>
        <v>43</v>
      </c>
      <c r="H72" s="16">
        <f t="shared" si="2"/>
        <v>2</v>
      </c>
      <c r="I72" s="16" t="str">
        <f>VLOOKUP(H72,'Дни недели сортировка'!A:B,2,FALSE)</f>
        <v>02-вторник</v>
      </c>
      <c r="J72" s="17">
        <v>0.62083333333333335</v>
      </c>
      <c r="K72" s="12" t="s">
        <v>27</v>
      </c>
      <c r="L72" s="12" t="s">
        <v>318</v>
      </c>
      <c r="M72" s="12" t="s">
        <v>35</v>
      </c>
      <c r="N72" s="18">
        <v>598309</v>
      </c>
      <c r="O72" s="18">
        <f t="shared" si="29"/>
        <v>580359.73</v>
      </c>
      <c r="P72" s="18">
        <f>O72*11.05%</f>
        <v>64129.750164999998</v>
      </c>
      <c r="Q72" s="18">
        <f>P72*12%</f>
        <v>7695.5700197999995</v>
      </c>
      <c r="R72" s="18">
        <f t="shared" si="4"/>
        <v>17949.270000000019</v>
      </c>
      <c r="S72" s="18">
        <f>O72*0.59%</f>
        <v>3424.1224069999998</v>
      </c>
      <c r="T72" s="12" t="s">
        <v>319</v>
      </c>
      <c r="U72" s="18">
        <v>7079.924418216</v>
      </c>
      <c r="V72" s="19">
        <v>2739.2227574077701</v>
      </c>
      <c r="W72" s="19">
        <v>2684.4383022596148</v>
      </c>
      <c r="X72" s="19">
        <v>2228.0837908754802</v>
      </c>
      <c r="Y72" s="40">
        <f t="shared" si="31"/>
        <v>7079</v>
      </c>
      <c r="Z72" s="40">
        <f t="shared" si="32"/>
        <v>2739</v>
      </c>
      <c r="AA72" s="40">
        <f t="shared" si="33"/>
        <v>2684</v>
      </c>
      <c r="AB72" s="40">
        <f t="shared" si="34"/>
        <v>2228</v>
      </c>
    </row>
    <row r="73" spans="1:28" ht="15.75" customHeight="1">
      <c r="A73" s="11" t="s">
        <v>320</v>
      </c>
      <c r="B73" s="12" t="s">
        <v>321</v>
      </c>
      <c r="C73" s="13" t="s">
        <v>25</v>
      </c>
      <c r="D73" s="13" t="s">
        <v>26</v>
      </c>
      <c r="E73" s="14">
        <v>44495</v>
      </c>
      <c r="F73" s="15">
        <f t="shared" si="0"/>
        <v>2021</v>
      </c>
      <c r="G73" s="16">
        <f t="shared" si="1"/>
        <v>43</v>
      </c>
      <c r="H73" s="16">
        <f t="shared" si="2"/>
        <v>2</v>
      </c>
      <c r="I73" s="16" t="str">
        <f>VLOOKUP(H73,'Дни недели сортировка'!A:B,2,FALSE)</f>
        <v>02-вторник</v>
      </c>
      <c r="J73" s="17">
        <v>0.62638888888888888</v>
      </c>
      <c r="K73" s="12" t="s">
        <v>27</v>
      </c>
      <c r="L73" s="12" t="s">
        <v>322</v>
      </c>
      <c r="M73" s="12" t="s">
        <v>41</v>
      </c>
      <c r="N73" s="18">
        <v>2492076</v>
      </c>
      <c r="O73" s="18">
        <f t="shared" si="29"/>
        <v>2417313.7200000002</v>
      </c>
      <c r="P73" s="18">
        <f>O73*9.2%</f>
        <v>222392.86224000002</v>
      </c>
      <c r="Q73" s="18">
        <f>P73*9%</f>
        <v>20015.357601600001</v>
      </c>
      <c r="R73" s="18">
        <f t="shared" si="4"/>
        <v>74762.279999999795</v>
      </c>
      <c r="S73" s="18">
        <f t="shared" ref="S73:S74" si="36">O73*0.57%</f>
        <v>13778.688204</v>
      </c>
      <c r="T73" s="12" t="s">
        <v>323</v>
      </c>
      <c r="U73" s="18">
        <v>18614.282569488001</v>
      </c>
      <c r="V73" s="19">
        <v>6433.0960560150525</v>
      </c>
      <c r="W73" s="19">
        <v>5596.7935687330955</v>
      </c>
      <c r="X73" s="19">
        <v>4589.3707263611377</v>
      </c>
      <c r="Y73" s="40">
        <f t="shared" si="31"/>
        <v>18614</v>
      </c>
      <c r="Z73" s="40">
        <f t="shared" si="32"/>
        <v>6433</v>
      </c>
      <c r="AA73" s="40">
        <f t="shared" si="33"/>
        <v>5596</v>
      </c>
      <c r="AB73" s="40">
        <f t="shared" si="34"/>
        <v>4589</v>
      </c>
    </row>
    <row r="74" spans="1:28" ht="15.75" customHeight="1">
      <c r="A74" s="11" t="s">
        <v>324</v>
      </c>
      <c r="B74" s="12" t="s">
        <v>325</v>
      </c>
      <c r="C74" s="13" t="s">
        <v>25</v>
      </c>
      <c r="D74" s="13" t="s">
        <v>26</v>
      </c>
      <c r="E74" s="14">
        <v>44499</v>
      </c>
      <c r="F74" s="15">
        <f t="shared" si="0"/>
        <v>2021</v>
      </c>
      <c r="G74" s="16">
        <f t="shared" si="1"/>
        <v>44</v>
      </c>
      <c r="H74" s="16">
        <f t="shared" si="2"/>
        <v>6</v>
      </c>
      <c r="I74" s="16" t="str">
        <f>VLOOKUP(H74,'Дни недели сортировка'!A:B,2,FALSE)</f>
        <v>06-суббота</v>
      </c>
      <c r="J74" s="17">
        <v>0.4597222222222222</v>
      </c>
      <c r="K74" s="12" t="s">
        <v>27</v>
      </c>
      <c r="L74" s="12" t="s">
        <v>326</v>
      </c>
      <c r="M74" s="12" t="s">
        <v>29</v>
      </c>
      <c r="N74" s="18">
        <v>2010902</v>
      </c>
      <c r="O74" s="18">
        <f t="shared" si="29"/>
        <v>1950574.94</v>
      </c>
      <c r="P74" s="18">
        <f>O74*11.05%</f>
        <v>215538.53086999999</v>
      </c>
      <c r="Q74" s="18">
        <f>P74*8.4%</f>
        <v>18105.236593080001</v>
      </c>
      <c r="R74" s="18">
        <f t="shared" si="4"/>
        <v>60327.060000000056</v>
      </c>
      <c r="S74" s="18">
        <f t="shared" si="36"/>
        <v>11118.277157999999</v>
      </c>
      <c r="T74" s="12" t="s">
        <v>327</v>
      </c>
      <c r="U74" s="18">
        <v>16475.765299702802</v>
      </c>
      <c r="V74" s="19">
        <v>3977.2497433482563</v>
      </c>
      <c r="W74" s="19">
        <v>3380.6622818460178</v>
      </c>
      <c r="X74" s="19">
        <v>2670.7232026583542</v>
      </c>
      <c r="Y74" s="40">
        <f t="shared" si="31"/>
        <v>16475</v>
      </c>
      <c r="Z74" s="40">
        <f t="shared" si="32"/>
        <v>3977</v>
      </c>
      <c r="AA74" s="40">
        <f t="shared" si="33"/>
        <v>3380</v>
      </c>
      <c r="AB74" s="40">
        <f t="shared" si="34"/>
        <v>2670</v>
      </c>
    </row>
    <row r="75" spans="1:28" ht="15.75" customHeight="1">
      <c r="A75" s="11" t="s">
        <v>328</v>
      </c>
      <c r="B75" s="12" t="s">
        <v>329</v>
      </c>
      <c r="C75" s="13" t="s">
        <v>25</v>
      </c>
      <c r="D75" s="13" t="s">
        <v>26</v>
      </c>
      <c r="E75" s="14">
        <v>44499</v>
      </c>
      <c r="F75" s="15">
        <f t="shared" si="0"/>
        <v>2021</v>
      </c>
      <c r="G75" s="16">
        <f t="shared" si="1"/>
        <v>44</v>
      </c>
      <c r="H75" s="16">
        <f t="shared" si="2"/>
        <v>6</v>
      </c>
      <c r="I75" s="16" t="str">
        <f>VLOOKUP(H75,'Дни недели сортировка'!A:B,2,FALSE)</f>
        <v>06-суббота</v>
      </c>
      <c r="J75" s="17">
        <v>0.4597222222222222</v>
      </c>
      <c r="K75" s="12" t="s">
        <v>27</v>
      </c>
      <c r="L75" s="12" t="s">
        <v>330</v>
      </c>
      <c r="M75" s="12" t="s">
        <v>35</v>
      </c>
      <c r="N75" s="18">
        <v>873482</v>
      </c>
      <c r="O75" s="18">
        <f t="shared" si="29"/>
        <v>847277.54</v>
      </c>
      <c r="P75" s="18">
        <f>O75*18%</f>
        <v>152509.9572</v>
      </c>
      <c r="Q75" s="18">
        <f>P75*3.9%</f>
        <v>5947.8883308000004</v>
      </c>
      <c r="R75" s="18">
        <f t="shared" si="4"/>
        <v>26204.459999999963</v>
      </c>
      <c r="S75" s="18">
        <f>O75*0.5%</f>
        <v>4236.3877000000002</v>
      </c>
      <c r="T75" s="12" t="s">
        <v>331</v>
      </c>
      <c r="U75" s="18">
        <v>5174.6628477960003</v>
      </c>
      <c r="V75" s="19">
        <v>2946.4530255350428</v>
      </c>
      <c r="W75" s="19">
        <v>2504.4850717047862</v>
      </c>
      <c r="X75" s="19">
        <v>1878.3638037785895</v>
      </c>
      <c r="Y75" s="40">
        <f t="shared" si="31"/>
        <v>5174</v>
      </c>
      <c r="Z75" s="40">
        <f t="shared" si="32"/>
        <v>2946</v>
      </c>
      <c r="AA75" s="40">
        <f t="shared" si="33"/>
        <v>2504</v>
      </c>
      <c r="AB75" s="40">
        <f t="shared" si="34"/>
        <v>1878</v>
      </c>
    </row>
    <row r="76" spans="1:28" ht="15.75" customHeight="1">
      <c r="A76" s="11" t="s">
        <v>332</v>
      </c>
      <c r="B76" s="12" t="s">
        <v>333</v>
      </c>
      <c r="C76" s="13" t="s">
        <v>25</v>
      </c>
      <c r="D76" s="13" t="s">
        <v>33</v>
      </c>
      <c r="E76" s="14">
        <v>44502</v>
      </c>
      <c r="F76" s="15">
        <f t="shared" si="0"/>
        <v>2021</v>
      </c>
      <c r="G76" s="16">
        <f t="shared" si="1"/>
        <v>44</v>
      </c>
      <c r="H76" s="16">
        <f t="shared" si="2"/>
        <v>2</v>
      </c>
      <c r="I76" s="16" t="str">
        <f>VLOOKUP(H76,'Дни недели сортировка'!A:B,2,FALSE)</f>
        <v>02-вторник</v>
      </c>
      <c r="J76" s="17">
        <v>0.76041666666666663</v>
      </c>
      <c r="K76" s="12" t="s">
        <v>27</v>
      </c>
      <c r="L76" s="12" t="s">
        <v>334</v>
      </c>
      <c r="M76" s="12" t="s">
        <v>41</v>
      </c>
      <c r="N76" s="18">
        <v>1058150</v>
      </c>
      <c r="O76" s="18">
        <f t="shared" si="29"/>
        <v>1026405.5</v>
      </c>
      <c r="P76" s="18">
        <f>O76*17.43%</f>
        <v>178902.47865</v>
      </c>
      <c r="Q76" s="18">
        <f>P76*7.2%</f>
        <v>12880.978462800002</v>
      </c>
      <c r="R76" s="18">
        <f t="shared" si="4"/>
        <v>31744.5</v>
      </c>
      <c r="S76" s="18">
        <f>O76*0.58%</f>
        <v>5953.1518999999998</v>
      </c>
      <c r="T76" s="12" t="s">
        <v>335</v>
      </c>
      <c r="U76" s="18">
        <v>8887.8751393319999</v>
      </c>
      <c r="V76" s="19">
        <v>2308.1811736845202</v>
      </c>
      <c r="W76" s="19">
        <v>1929.6394612002589</v>
      </c>
      <c r="X76" s="19">
        <v>1408.6368066761891</v>
      </c>
      <c r="Y76" s="40">
        <f t="shared" si="31"/>
        <v>8887</v>
      </c>
      <c r="Z76" s="40">
        <f t="shared" si="32"/>
        <v>2308</v>
      </c>
      <c r="AA76" s="40">
        <f t="shared" si="33"/>
        <v>1929</v>
      </c>
      <c r="AB76" s="40">
        <f t="shared" si="34"/>
        <v>1408</v>
      </c>
    </row>
    <row r="77" spans="1:28" ht="15.75" customHeight="1">
      <c r="A77" s="11" t="s">
        <v>336</v>
      </c>
      <c r="B77" s="12" t="s">
        <v>337</v>
      </c>
      <c r="C77" s="13" t="s">
        <v>25</v>
      </c>
      <c r="D77" s="13" t="s">
        <v>33</v>
      </c>
      <c r="E77" s="14">
        <v>44502</v>
      </c>
      <c r="F77" s="15">
        <f t="shared" si="0"/>
        <v>2021</v>
      </c>
      <c r="G77" s="16">
        <f t="shared" si="1"/>
        <v>44</v>
      </c>
      <c r="H77" s="16">
        <f t="shared" si="2"/>
        <v>2</v>
      </c>
      <c r="I77" s="16" t="str">
        <f>VLOOKUP(H77,'Дни недели сортировка'!A:B,2,FALSE)</f>
        <v>02-вторник</v>
      </c>
      <c r="J77" s="17">
        <v>0.75972222222222219</v>
      </c>
      <c r="K77" s="12" t="s">
        <v>27</v>
      </c>
      <c r="L77" s="12" t="s">
        <v>338</v>
      </c>
      <c r="M77" s="12" t="s">
        <v>29</v>
      </c>
      <c r="N77" s="18">
        <v>1607791</v>
      </c>
      <c r="O77" s="18">
        <f t="shared" si="29"/>
        <v>1559557.27</v>
      </c>
      <c r="P77" s="18">
        <f>O77*11.05%</f>
        <v>172331.078335</v>
      </c>
      <c r="Q77" s="18">
        <f>P77*12%</f>
        <v>20679.729400199998</v>
      </c>
      <c r="R77" s="18">
        <f t="shared" si="4"/>
        <v>48233.729999999981</v>
      </c>
      <c r="S77" s="18">
        <f>O77*0.59%</f>
        <v>9201.3878929999992</v>
      </c>
      <c r="T77" s="12" t="s">
        <v>339</v>
      </c>
      <c r="U77" s="18">
        <v>20059.337518193999</v>
      </c>
      <c r="V77" s="19">
        <v>8366.7496788387161</v>
      </c>
      <c r="W77" s="19">
        <v>6793.8007392170375</v>
      </c>
      <c r="X77" s="19">
        <v>5367.1025839814602</v>
      </c>
      <c r="Y77" s="40">
        <f t="shared" si="31"/>
        <v>20059</v>
      </c>
      <c r="Z77" s="40">
        <f t="shared" si="32"/>
        <v>8366</v>
      </c>
      <c r="AA77" s="40">
        <f t="shared" si="33"/>
        <v>6793</v>
      </c>
      <c r="AB77" s="40">
        <f t="shared" si="34"/>
        <v>5367</v>
      </c>
    </row>
    <row r="78" spans="1:28" ht="15.75" customHeight="1">
      <c r="A78" s="11" t="s">
        <v>340</v>
      </c>
      <c r="B78" s="12" t="s">
        <v>341</v>
      </c>
      <c r="C78" s="13" t="s">
        <v>25</v>
      </c>
      <c r="D78" s="13" t="s">
        <v>33</v>
      </c>
      <c r="E78" s="14">
        <v>44505</v>
      </c>
      <c r="F78" s="15">
        <f t="shared" si="0"/>
        <v>2021</v>
      </c>
      <c r="G78" s="16">
        <f t="shared" si="1"/>
        <v>45</v>
      </c>
      <c r="H78" s="16">
        <f t="shared" si="2"/>
        <v>5</v>
      </c>
      <c r="I78" s="16" t="str">
        <f>VLOOKUP(H78,'Дни недели сортировка'!A:B,2,FALSE)</f>
        <v>05-пятница</v>
      </c>
      <c r="J78" s="17">
        <v>0.50138888888888888</v>
      </c>
      <c r="K78" s="12" t="s">
        <v>27</v>
      </c>
      <c r="L78" s="12" t="s">
        <v>342</v>
      </c>
      <c r="M78" s="12" t="s">
        <v>35</v>
      </c>
      <c r="N78" s="18">
        <v>2339384</v>
      </c>
      <c r="O78" s="18">
        <f t="shared" si="29"/>
        <v>2269202.48</v>
      </c>
      <c r="P78" s="18">
        <f>O78*9.2%</f>
        <v>208766.62815999999</v>
      </c>
      <c r="Q78" s="18">
        <f>P78*9%</f>
        <v>18788.996534399997</v>
      </c>
      <c r="R78" s="18">
        <f t="shared" si="4"/>
        <v>70181.520000000019</v>
      </c>
      <c r="S78" s="18">
        <f t="shared" ref="S78:S79" si="37">O78*0.57%</f>
        <v>12934.454135999998</v>
      </c>
      <c r="T78" s="12" t="s">
        <v>343</v>
      </c>
      <c r="U78" s="18">
        <v>15970.647054239997</v>
      </c>
      <c r="V78" s="19">
        <v>9676.6150501640132</v>
      </c>
      <c r="W78" s="19">
        <v>9483.0827491607324</v>
      </c>
      <c r="X78" s="19">
        <v>7870.9586818034077</v>
      </c>
      <c r="Y78" s="40">
        <f t="shared" si="31"/>
        <v>15970</v>
      </c>
      <c r="Z78" s="40">
        <f t="shared" si="32"/>
        <v>9676</v>
      </c>
      <c r="AA78" s="40">
        <f t="shared" si="33"/>
        <v>9483</v>
      </c>
      <c r="AB78" s="40">
        <f t="shared" si="34"/>
        <v>7870</v>
      </c>
    </row>
    <row r="79" spans="1:28" ht="15.75" customHeight="1">
      <c r="A79" s="11" t="s">
        <v>344</v>
      </c>
      <c r="B79" s="12" t="s">
        <v>345</v>
      </c>
      <c r="C79" s="13" t="s">
        <v>25</v>
      </c>
      <c r="D79" s="13" t="s">
        <v>33</v>
      </c>
      <c r="E79" s="14">
        <v>44505</v>
      </c>
      <c r="F79" s="15">
        <f t="shared" si="0"/>
        <v>2021</v>
      </c>
      <c r="G79" s="16">
        <f t="shared" si="1"/>
        <v>45</v>
      </c>
      <c r="H79" s="16">
        <f t="shared" si="2"/>
        <v>5</v>
      </c>
      <c r="I79" s="16" t="str">
        <f>VLOOKUP(H79,'Дни недели сортировка'!A:B,2,FALSE)</f>
        <v>05-пятница</v>
      </c>
      <c r="J79" s="17">
        <v>0.50138888888888888</v>
      </c>
      <c r="K79" s="12" t="s">
        <v>27</v>
      </c>
      <c r="L79" s="12" t="s">
        <v>346</v>
      </c>
      <c r="M79" s="12" t="s">
        <v>41</v>
      </c>
      <c r="N79" s="18">
        <v>847444</v>
      </c>
      <c r="O79" s="18">
        <f t="shared" si="29"/>
        <v>822020.68</v>
      </c>
      <c r="P79" s="18">
        <f>O79*17.43%</f>
        <v>143278.20452400003</v>
      </c>
      <c r="Q79" s="18">
        <f>P79*8.4%</f>
        <v>12035.369180016003</v>
      </c>
      <c r="R79" s="18">
        <f t="shared" si="4"/>
        <v>25423.319999999949</v>
      </c>
      <c r="S79" s="18">
        <f t="shared" si="37"/>
        <v>4685.5178759999999</v>
      </c>
      <c r="T79" s="12" t="s">
        <v>347</v>
      </c>
      <c r="U79" s="18">
        <v>11072.539645614723</v>
      </c>
      <c r="V79" s="19">
        <v>4283.9655888883362</v>
      </c>
      <c r="W79" s="19">
        <v>3727.0500623328526</v>
      </c>
      <c r="X79" s="19">
        <v>3056.1810511129388</v>
      </c>
      <c r="Y79" s="40">
        <f t="shared" si="31"/>
        <v>11072</v>
      </c>
      <c r="Z79" s="40">
        <f t="shared" si="32"/>
        <v>4283</v>
      </c>
      <c r="AA79" s="40">
        <f t="shared" si="33"/>
        <v>3727</v>
      </c>
      <c r="AB79" s="40">
        <f t="shared" si="34"/>
        <v>3056</v>
      </c>
    </row>
    <row r="80" spans="1:28" ht="15.75" customHeight="1">
      <c r="A80" s="11" t="s">
        <v>348</v>
      </c>
      <c r="B80" s="12" t="s">
        <v>349</v>
      </c>
      <c r="C80" s="13" t="s">
        <v>25</v>
      </c>
      <c r="D80" s="13" t="s">
        <v>33</v>
      </c>
      <c r="E80" s="14">
        <v>44512</v>
      </c>
      <c r="F80" s="15">
        <f t="shared" si="0"/>
        <v>2021</v>
      </c>
      <c r="G80" s="16">
        <f t="shared" si="1"/>
        <v>46</v>
      </c>
      <c r="H80" s="16">
        <f t="shared" si="2"/>
        <v>5</v>
      </c>
      <c r="I80" s="16" t="str">
        <f>VLOOKUP(H80,'Дни недели сортировка'!A:B,2,FALSE)</f>
        <v>05-пятница</v>
      </c>
      <c r="J80" s="17">
        <v>0.56527777777777777</v>
      </c>
      <c r="K80" s="12" t="s">
        <v>27</v>
      </c>
      <c r="L80" s="12" t="s">
        <v>350</v>
      </c>
      <c r="M80" s="12" t="s">
        <v>29</v>
      </c>
      <c r="N80" s="18">
        <v>1502112</v>
      </c>
      <c r="O80" s="18">
        <f t="shared" si="29"/>
        <v>1457048.64</v>
      </c>
      <c r="P80" s="18">
        <f>O80*11.05%</f>
        <v>161003.87471999999</v>
      </c>
      <c r="Q80" s="18">
        <f>P80*3.9%</f>
        <v>6279.1511140799994</v>
      </c>
      <c r="R80" s="18">
        <f t="shared" si="4"/>
        <v>45063.360000000102</v>
      </c>
      <c r="S80" s="18">
        <f>O80*0.5%</f>
        <v>7285.2431999999999</v>
      </c>
      <c r="T80" s="12" t="s">
        <v>351</v>
      </c>
      <c r="U80" s="18">
        <v>5839.6105360943993</v>
      </c>
      <c r="V80" s="19">
        <v>2018.1694012742244</v>
      </c>
      <c r="W80" s="19">
        <v>1715.4439910830906</v>
      </c>
      <c r="X80" s="19">
        <v>1355.2007529556417</v>
      </c>
      <c r="Y80" s="40">
        <f t="shared" si="31"/>
        <v>5839</v>
      </c>
      <c r="Z80" s="40">
        <f t="shared" si="32"/>
        <v>2018</v>
      </c>
      <c r="AA80" s="40">
        <f t="shared" si="33"/>
        <v>1715</v>
      </c>
      <c r="AB80" s="40">
        <f t="shared" si="34"/>
        <v>1355</v>
      </c>
    </row>
    <row r="81" spans="1:28" ht="15.75" customHeight="1">
      <c r="A81" s="11" t="s">
        <v>352</v>
      </c>
      <c r="B81" s="12" t="s">
        <v>353</v>
      </c>
      <c r="C81" s="13" t="s">
        <v>25</v>
      </c>
      <c r="D81" s="13" t="s">
        <v>33</v>
      </c>
      <c r="E81" s="14">
        <v>44509</v>
      </c>
      <c r="F81" s="15">
        <f t="shared" si="0"/>
        <v>2021</v>
      </c>
      <c r="G81" s="16">
        <f t="shared" si="1"/>
        <v>45</v>
      </c>
      <c r="H81" s="16">
        <f t="shared" si="2"/>
        <v>2</v>
      </c>
      <c r="I81" s="16" t="str">
        <f>VLOOKUP(H81,'Дни недели сортировка'!A:B,2,FALSE)</f>
        <v>02-вторник</v>
      </c>
      <c r="J81" s="17">
        <v>0.78888888888888886</v>
      </c>
      <c r="K81" s="12" t="s">
        <v>27</v>
      </c>
      <c r="L81" s="12" t="s">
        <v>354</v>
      </c>
      <c r="M81" s="12" t="s">
        <v>35</v>
      </c>
      <c r="N81" s="18">
        <v>1977100</v>
      </c>
      <c r="O81" s="18">
        <f t="shared" si="29"/>
        <v>1917787</v>
      </c>
      <c r="P81" s="18">
        <f>O81*9.2%</f>
        <v>176436.40400000001</v>
      </c>
      <c r="Q81" s="18">
        <f>P81*7.2%</f>
        <v>12703.421088000003</v>
      </c>
      <c r="R81" s="18">
        <f t="shared" si="4"/>
        <v>59313</v>
      </c>
      <c r="S81" s="18">
        <f>O81*0.58%</f>
        <v>11123.1646</v>
      </c>
      <c r="T81" s="12" t="s">
        <v>355</v>
      </c>
      <c r="U81" s="18">
        <v>11560.113190080003</v>
      </c>
      <c r="V81" s="19">
        <v>2790.6113240853128</v>
      </c>
      <c r="W81" s="19">
        <v>2332.9510669353213</v>
      </c>
      <c r="X81" s="19">
        <v>1749.7133002014909</v>
      </c>
      <c r="Y81" s="40">
        <f t="shared" si="31"/>
        <v>11560</v>
      </c>
      <c r="Z81" s="40">
        <f t="shared" si="32"/>
        <v>2790</v>
      </c>
      <c r="AA81" s="40">
        <f t="shared" si="33"/>
        <v>2332</v>
      </c>
      <c r="AB81" s="40">
        <f t="shared" si="34"/>
        <v>1749</v>
      </c>
    </row>
    <row r="82" spans="1:28" ht="15.75" customHeight="1">
      <c r="A82" s="11" t="s">
        <v>356</v>
      </c>
      <c r="B82" s="12" t="s">
        <v>357</v>
      </c>
      <c r="C82" s="13" t="s">
        <v>25</v>
      </c>
      <c r="D82" s="13" t="s">
        <v>33</v>
      </c>
      <c r="E82" s="14">
        <v>44509</v>
      </c>
      <c r="F82" s="15">
        <f t="shared" si="0"/>
        <v>2021</v>
      </c>
      <c r="G82" s="16">
        <f t="shared" si="1"/>
        <v>45</v>
      </c>
      <c r="H82" s="16">
        <f t="shared" si="2"/>
        <v>2</v>
      </c>
      <c r="I82" s="16" t="str">
        <f>VLOOKUP(H82,'Дни недели сортировка'!A:B,2,FALSE)</f>
        <v>02-вторник</v>
      </c>
      <c r="J82" s="17">
        <v>0.78888888888888886</v>
      </c>
      <c r="K82" s="12" t="s">
        <v>27</v>
      </c>
      <c r="L82" s="12" t="s">
        <v>358</v>
      </c>
      <c r="M82" s="12" t="s">
        <v>29</v>
      </c>
      <c r="N82" s="18">
        <v>1983507</v>
      </c>
      <c r="O82" s="18">
        <f t="shared" si="29"/>
        <v>1924001.79</v>
      </c>
      <c r="P82" s="18">
        <f>O82*11.05%</f>
        <v>212602.19779500001</v>
      </c>
      <c r="Q82" s="18">
        <f>P82*12%</f>
        <v>25512.2637354</v>
      </c>
      <c r="R82" s="18">
        <f t="shared" si="4"/>
        <v>59505.209999999963</v>
      </c>
      <c r="S82" s="18">
        <f>O82*0.59%</f>
        <v>11351.610561</v>
      </c>
      <c r="T82" s="12" t="s">
        <v>359</v>
      </c>
      <c r="U82" s="18">
        <v>22195.669449797999</v>
      </c>
      <c r="V82" s="19">
        <v>12638.21418471498</v>
      </c>
      <c r="W82" s="19">
        <v>10262.229917988565</v>
      </c>
      <c r="X82" s="19">
        <v>7491.4278401316524</v>
      </c>
      <c r="Y82" s="40">
        <f t="shared" si="31"/>
        <v>22195</v>
      </c>
      <c r="Z82" s="40">
        <f t="shared" si="32"/>
        <v>12638</v>
      </c>
      <c r="AA82" s="40">
        <f t="shared" si="33"/>
        <v>10262</v>
      </c>
      <c r="AB82" s="40">
        <f t="shared" si="34"/>
        <v>7491</v>
      </c>
    </row>
    <row r="83" spans="1:28" ht="15.75" customHeight="1">
      <c r="A83" s="11" t="s">
        <v>360</v>
      </c>
      <c r="B83" s="12" t="s">
        <v>361</v>
      </c>
      <c r="C83" s="13" t="s">
        <v>25</v>
      </c>
      <c r="D83" s="25" t="s">
        <v>33</v>
      </c>
      <c r="E83" s="20">
        <v>44512</v>
      </c>
      <c r="F83" s="15">
        <f t="shared" si="0"/>
        <v>2021</v>
      </c>
      <c r="G83" s="16">
        <f t="shared" si="1"/>
        <v>46</v>
      </c>
      <c r="H83" s="22">
        <f t="shared" si="2"/>
        <v>5</v>
      </c>
      <c r="I83" s="16" t="str">
        <f>VLOOKUP(H83,'Дни недели сортировка'!A:B,2,FALSE)</f>
        <v>05-пятница</v>
      </c>
      <c r="J83" s="24">
        <v>0.75624999999999998</v>
      </c>
      <c r="K83" s="12" t="s">
        <v>27</v>
      </c>
      <c r="L83" s="12" t="s">
        <v>362</v>
      </c>
      <c r="M83" s="12" t="s">
        <v>35</v>
      </c>
      <c r="N83" s="18">
        <v>562512</v>
      </c>
      <c r="O83" s="18">
        <f t="shared" si="29"/>
        <v>545636.64</v>
      </c>
      <c r="P83" s="18">
        <f>O83*18%</f>
        <v>98214.595199999996</v>
      </c>
      <c r="Q83" s="18">
        <f>P83*9%</f>
        <v>8839.3135679999996</v>
      </c>
      <c r="R83" s="18">
        <f t="shared" si="4"/>
        <v>16875.359999999986</v>
      </c>
      <c r="S83" s="18">
        <f t="shared" ref="S83:S84" si="38">O83*0.57%</f>
        <v>3110.1288479999998</v>
      </c>
      <c r="T83" s="12" t="s">
        <v>363</v>
      </c>
      <c r="U83" s="18">
        <v>6099.126361919999</v>
      </c>
      <c r="V83" s="19">
        <v>1583.9431161906236</v>
      </c>
      <c r="W83" s="19">
        <v>1552.264253866811</v>
      </c>
      <c r="X83" s="19">
        <v>1226.2887605547808</v>
      </c>
      <c r="Y83" s="40">
        <f t="shared" si="31"/>
        <v>6099</v>
      </c>
      <c r="Z83" s="40">
        <f t="shared" si="32"/>
        <v>1583</v>
      </c>
      <c r="AA83" s="40">
        <f t="shared" si="33"/>
        <v>1552</v>
      </c>
      <c r="AB83" s="40">
        <f t="shared" si="34"/>
        <v>1226</v>
      </c>
    </row>
    <row r="84" spans="1:28" ht="15.75" customHeight="1">
      <c r="A84" s="11" t="s">
        <v>364</v>
      </c>
      <c r="B84" s="12" t="s">
        <v>365</v>
      </c>
      <c r="C84" s="13" t="s">
        <v>25</v>
      </c>
      <c r="D84" s="25" t="s">
        <v>33</v>
      </c>
      <c r="E84" s="20">
        <v>44512</v>
      </c>
      <c r="F84" s="15">
        <f t="shared" si="0"/>
        <v>2021</v>
      </c>
      <c r="G84" s="16">
        <f t="shared" si="1"/>
        <v>46</v>
      </c>
      <c r="H84" s="22">
        <f t="shared" si="2"/>
        <v>5</v>
      </c>
      <c r="I84" s="16" t="str">
        <f>VLOOKUP(H84,'Дни недели сортировка'!A:B,2,FALSE)</f>
        <v>05-пятница</v>
      </c>
      <c r="J84" s="24">
        <v>0.75694444444444442</v>
      </c>
      <c r="K84" s="12" t="s">
        <v>27</v>
      </c>
      <c r="L84" s="12" t="s">
        <v>366</v>
      </c>
      <c r="M84" s="12" t="s">
        <v>41</v>
      </c>
      <c r="N84" s="18">
        <v>2295981</v>
      </c>
      <c r="O84" s="18">
        <f t="shared" ref="O84:O85" si="39">N84-2%*N84</f>
        <v>2250061.38</v>
      </c>
      <c r="P84" s="18">
        <f>O84*11.05%</f>
        <v>248631.78248999998</v>
      </c>
      <c r="Q84" s="18">
        <f>P84*8.4%</f>
        <v>20885.069729160001</v>
      </c>
      <c r="R84" s="18">
        <f t="shared" si="4"/>
        <v>45919.620000000112</v>
      </c>
      <c r="S84" s="18">
        <f t="shared" si="38"/>
        <v>12825.349865999999</v>
      </c>
      <c r="T84" s="12" t="s">
        <v>367</v>
      </c>
      <c r="U84" s="18">
        <v>20258.5176372852</v>
      </c>
      <c r="V84" s="19">
        <v>8449.8277065116563</v>
      </c>
      <c r="W84" s="19">
        <v>7351.3501046651409</v>
      </c>
      <c r="X84" s="19">
        <v>6101.6205868720663</v>
      </c>
      <c r="Y84" s="40">
        <f t="shared" si="31"/>
        <v>20258</v>
      </c>
      <c r="Z84" s="40">
        <f t="shared" si="32"/>
        <v>8449</v>
      </c>
      <c r="AA84" s="40">
        <f t="shared" si="33"/>
        <v>7351</v>
      </c>
      <c r="AB84" s="40">
        <f t="shared" si="34"/>
        <v>6101</v>
      </c>
    </row>
    <row r="85" spans="1:28" ht="15.75" customHeight="1">
      <c r="A85" s="11" t="s">
        <v>368</v>
      </c>
      <c r="B85" s="12" t="s">
        <v>369</v>
      </c>
      <c r="C85" s="13" t="s">
        <v>25</v>
      </c>
      <c r="D85" s="13" t="s">
        <v>33</v>
      </c>
      <c r="E85" s="20">
        <v>44512</v>
      </c>
      <c r="F85" s="15">
        <f t="shared" si="0"/>
        <v>2021</v>
      </c>
      <c r="G85" s="16">
        <f t="shared" si="1"/>
        <v>46</v>
      </c>
      <c r="H85" s="16">
        <f t="shared" si="2"/>
        <v>5</v>
      </c>
      <c r="I85" s="16" t="str">
        <f>VLOOKUP(H85,'Дни недели сортировка'!A:B,2,FALSE)</f>
        <v>05-пятница</v>
      </c>
      <c r="J85" s="24">
        <v>0.75694444444444442</v>
      </c>
      <c r="K85" s="12" t="s">
        <v>27</v>
      </c>
      <c r="L85" s="12" t="s">
        <v>370</v>
      </c>
      <c r="M85" s="12" t="s">
        <v>29</v>
      </c>
      <c r="N85" s="18">
        <v>2225984</v>
      </c>
      <c r="O85" s="18">
        <f t="shared" si="39"/>
        <v>2181464.3199999998</v>
      </c>
      <c r="P85" s="18">
        <f>O85*18%</f>
        <v>392663.57759999996</v>
      </c>
      <c r="Q85" s="18">
        <f>P85*3.9%</f>
        <v>15313.879526399998</v>
      </c>
      <c r="R85" s="18">
        <f t="shared" si="4"/>
        <v>44519.680000000168</v>
      </c>
      <c r="S85" s="18">
        <f>O85*0.5%</f>
        <v>10907.321599999999</v>
      </c>
      <c r="T85" s="12" t="s">
        <v>371</v>
      </c>
      <c r="U85" s="18">
        <v>13016.797597439998</v>
      </c>
      <c r="V85" s="19">
        <v>7886.8776642888943</v>
      </c>
      <c r="W85" s="19">
        <v>6703.84601464556</v>
      </c>
      <c r="X85" s="19">
        <v>5497.1537320093585</v>
      </c>
      <c r="Y85" s="40">
        <f t="shared" si="31"/>
        <v>13016</v>
      </c>
      <c r="Z85" s="40">
        <f t="shared" si="32"/>
        <v>7886</v>
      </c>
      <c r="AA85" s="40">
        <f t="shared" si="33"/>
        <v>6703</v>
      </c>
      <c r="AB85" s="40">
        <f t="shared" si="34"/>
        <v>5497</v>
      </c>
    </row>
    <row r="86" spans="1:28" ht="15.75" customHeight="1">
      <c r="A86" s="11" t="s">
        <v>372</v>
      </c>
      <c r="B86" s="12" t="s">
        <v>373</v>
      </c>
      <c r="C86" s="13" t="s">
        <v>25</v>
      </c>
      <c r="D86" s="13" t="s">
        <v>33</v>
      </c>
      <c r="E86" s="20">
        <v>44512</v>
      </c>
      <c r="F86" s="15">
        <f t="shared" si="0"/>
        <v>2021</v>
      </c>
      <c r="G86" s="16">
        <f t="shared" si="1"/>
        <v>46</v>
      </c>
      <c r="H86" s="16">
        <f t="shared" si="2"/>
        <v>5</v>
      </c>
      <c r="I86" s="16" t="str">
        <f>VLOOKUP(H86,'Дни недели сортировка'!A:B,2,FALSE)</f>
        <v>05-пятница</v>
      </c>
      <c r="J86" s="24">
        <v>0.75694444444444442</v>
      </c>
      <c r="K86" s="12" t="s">
        <v>27</v>
      </c>
      <c r="L86" s="12" t="s">
        <v>374</v>
      </c>
      <c r="M86" s="12" t="s">
        <v>35</v>
      </c>
      <c r="N86" s="18">
        <v>1597737</v>
      </c>
      <c r="O86" s="18">
        <f>N86-1.5%*N86</f>
        <v>1573770.9450000001</v>
      </c>
      <c r="P86" s="18">
        <f>O86*17.43%</f>
        <v>274308.27571350004</v>
      </c>
      <c r="Q86" s="18">
        <f>P86*7.2%</f>
        <v>19750.195851372006</v>
      </c>
      <c r="R86" s="18">
        <f t="shared" si="4"/>
        <v>23966.054999999935</v>
      </c>
      <c r="S86" s="18">
        <f>O86*0.58%</f>
        <v>9127.8714810000001</v>
      </c>
      <c r="T86" s="12" t="s">
        <v>375</v>
      </c>
      <c r="U86" s="18">
        <v>18170.180183262244</v>
      </c>
      <c r="V86" s="19">
        <v>7030.0427129041627</v>
      </c>
      <c r="W86" s="19">
        <v>5975.5363059685378</v>
      </c>
      <c r="X86" s="19">
        <v>4720.673681715145</v>
      </c>
      <c r="Y86" s="40">
        <f t="shared" si="31"/>
        <v>18170</v>
      </c>
      <c r="Z86" s="40">
        <f t="shared" si="32"/>
        <v>7030</v>
      </c>
      <c r="AA86" s="40">
        <f t="shared" si="33"/>
        <v>5975</v>
      </c>
      <c r="AB86" s="40">
        <f t="shared" si="34"/>
        <v>4720</v>
      </c>
    </row>
    <row r="87" spans="1:28" ht="15.75" customHeight="1">
      <c r="A87" s="11" t="s">
        <v>376</v>
      </c>
      <c r="B87" s="12" t="s">
        <v>377</v>
      </c>
      <c r="C87" s="13" t="s">
        <v>25</v>
      </c>
      <c r="D87" s="13" t="s">
        <v>33</v>
      </c>
      <c r="E87" s="20">
        <v>44512</v>
      </c>
      <c r="F87" s="15">
        <f t="shared" si="0"/>
        <v>2021</v>
      </c>
      <c r="G87" s="16">
        <f t="shared" si="1"/>
        <v>46</v>
      </c>
      <c r="H87" s="16">
        <f t="shared" si="2"/>
        <v>5</v>
      </c>
      <c r="I87" s="16" t="str">
        <f>VLOOKUP(H87,'Дни недели сортировка'!A:B,2,FALSE)</f>
        <v>05-пятница</v>
      </c>
      <c r="J87" s="24">
        <v>0.75694444444444442</v>
      </c>
      <c r="K87" s="12" t="s">
        <v>27</v>
      </c>
      <c r="L87" s="12" t="s">
        <v>378</v>
      </c>
      <c r="M87" s="12" t="s">
        <v>41</v>
      </c>
      <c r="N87" s="18">
        <v>1381312</v>
      </c>
      <c r="O87" s="18">
        <f t="shared" ref="O87:O88" si="40">N87-2%*N87</f>
        <v>1353685.76</v>
      </c>
      <c r="P87" s="18">
        <f>O87*11.05%</f>
        <v>149582.27648</v>
      </c>
      <c r="Q87" s="18">
        <f>P87*12%</f>
        <v>17949.873177599999</v>
      </c>
      <c r="R87" s="18">
        <f t="shared" si="4"/>
        <v>27626.239999999991</v>
      </c>
      <c r="S87" s="18">
        <f>O87*0.59%</f>
        <v>7986.7459840000001</v>
      </c>
      <c r="T87" s="12" t="s">
        <v>379</v>
      </c>
      <c r="U87" s="18">
        <v>16693.382055168</v>
      </c>
      <c r="V87" s="19">
        <v>5769.2328382660608</v>
      </c>
      <c r="W87" s="19">
        <v>4823.0786527904265</v>
      </c>
      <c r="X87" s="19">
        <v>3617.3089895928197</v>
      </c>
      <c r="Y87" s="40">
        <f t="shared" si="31"/>
        <v>16693</v>
      </c>
      <c r="Z87" s="40">
        <f t="shared" si="32"/>
        <v>5769</v>
      </c>
      <c r="AA87" s="40">
        <f t="shared" si="33"/>
        <v>4823</v>
      </c>
      <c r="AB87" s="40">
        <f t="shared" si="34"/>
        <v>3617</v>
      </c>
    </row>
    <row r="88" spans="1:28" ht="15.75" customHeight="1">
      <c r="A88" s="11" t="s">
        <v>380</v>
      </c>
      <c r="B88" s="12" t="s">
        <v>381</v>
      </c>
      <c r="C88" s="13" t="s">
        <v>25</v>
      </c>
      <c r="D88" s="13" t="s">
        <v>33</v>
      </c>
      <c r="E88" s="20">
        <v>44512</v>
      </c>
      <c r="F88" s="15">
        <f t="shared" si="0"/>
        <v>2021</v>
      </c>
      <c r="G88" s="16">
        <f t="shared" si="1"/>
        <v>46</v>
      </c>
      <c r="H88" s="16">
        <f t="shared" si="2"/>
        <v>5</v>
      </c>
      <c r="I88" s="16" t="str">
        <f>VLOOKUP(H88,'Дни недели сортировка'!A:B,2,FALSE)</f>
        <v>05-пятница</v>
      </c>
      <c r="J88" s="24">
        <v>0.75694444444444442</v>
      </c>
      <c r="K88" s="12" t="s">
        <v>27</v>
      </c>
      <c r="L88" s="12" t="s">
        <v>382</v>
      </c>
      <c r="M88" s="12" t="s">
        <v>29</v>
      </c>
      <c r="N88" s="18">
        <v>1906931</v>
      </c>
      <c r="O88" s="18">
        <f t="shared" si="40"/>
        <v>1868792.38</v>
      </c>
      <c r="P88" s="18">
        <f>O88*9.2%</f>
        <v>171928.89895999999</v>
      </c>
      <c r="Q88" s="18">
        <f>P88*9%</f>
        <v>15473.600906399999</v>
      </c>
      <c r="R88" s="18">
        <f t="shared" si="4"/>
        <v>38138.620000000112</v>
      </c>
      <c r="S88" s="18">
        <f t="shared" ref="S88:S89" si="41">O88*0.57%</f>
        <v>10652.116565999999</v>
      </c>
      <c r="T88" s="12" t="s">
        <v>383</v>
      </c>
      <c r="U88" s="18">
        <v>14080.976824824</v>
      </c>
      <c r="V88" s="19">
        <v>3399.1478055125135</v>
      </c>
      <c r="W88" s="19">
        <v>2760.108018076161</v>
      </c>
      <c r="X88" s="19">
        <v>2014.8788531955975</v>
      </c>
      <c r="Y88" s="40">
        <f t="shared" si="31"/>
        <v>14080</v>
      </c>
      <c r="Z88" s="40">
        <f t="shared" si="32"/>
        <v>3399</v>
      </c>
      <c r="AA88" s="40">
        <f t="shared" si="33"/>
        <v>2760</v>
      </c>
      <c r="AB88" s="40">
        <f t="shared" si="34"/>
        <v>2014</v>
      </c>
    </row>
    <row r="89" spans="1:28" ht="15.75" customHeight="1">
      <c r="A89" s="11" t="s">
        <v>384</v>
      </c>
      <c r="B89" s="12" t="s">
        <v>385</v>
      </c>
      <c r="C89" s="13" t="s">
        <v>25</v>
      </c>
      <c r="D89" s="13" t="s">
        <v>33</v>
      </c>
      <c r="E89" s="20">
        <v>44512</v>
      </c>
      <c r="F89" s="15">
        <f t="shared" si="0"/>
        <v>2021</v>
      </c>
      <c r="G89" s="16">
        <f t="shared" si="1"/>
        <v>46</v>
      </c>
      <c r="H89" s="16">
        <f t="shared" si="2"/>
        <v>5</v>
      </c>
      <c r="I89" s="16" t="str">
        <f>VLOOKUP(H89,'Дни недели сортировка'!A:B,2,FALSE)</f>
        <v>05-пятница</v>
      </c>
      <c r="J89" s="24">
        <v>0.75694444444444442</v>
      </c>
      <c r="K89" s="12" t="s">
        <v>27</v>
      </c>
      <c r="L89" s="12" t="s">
        <v>386</v>
      </c>
      <c r="M89" s="12" t="s">
        <v>35</v>
      </c>
      <c r="N89" s="18">
        <v>2074099</v>
      </c>
      <c r="O89" s="18">
        <f>N89-1.5%*N89</f>
        <v>2042987.5149999999</v>
      </c>
      <c r="P89" s="18">
        <f>O89*17.43%</f>
        <v>356092.7238645</v>
      </c>
      <c r="Q89" s="18">
        <f>P89*8.4%</f>
        <v>29911.788804618001</v>
      </c>
      <c r="R89" s="18">
        <f t="shared" si="4"/>
        <v>31111.485000000102</v>
      </c>
      <c r="S89" s="18">
        <f t="shared" si="41"/>
        <v>11645.028835499998</v>
      </c>
      <c r="T89" s="12" t="s">
        <v>387</v>
      </c>
      <c r="U89" s="18">
        <v>26023.256260017661</v>
      </c>
      <c r="V89" s="19">
        <v>14817.642114454056</v>
      </c>
      <c r="W89" s="19">
        <v>14521.289272164975</v>
      </c>
      <c r="X89" s="19">
        <v>11471.818525010331</v>
      </c>
      <c r="Y89" s="40">
        <f t="shared" si="31"/>
        <v>26023</v>
      </c>
      <c r="Z89" s="40">
        <f t="shared" si="32"/>
        <v>14817</v>
      </c>
      <c r="AA89" s="40">
        <f t="shared" si="33"/>
        <v>14521</v>
      </c>
      <c r="AB89" s="40">
        <f t="shared" si="34"/>
        <v>11471</v>
      </c>
    </row>
    <row r="90" spans="1:28" ht="15.75" customHeight="1">
      <c r="A90" s="11" t="s">
        <v>388</v>
      </c>
      <c r="B90" s="12" t="s">
        <v>389</v>
      </c>
      <c r="C90" s="13" t="s">
        <v>25</v>
      </c>
      <c r="D90" s="13" t="s">
        <v>33</v>
      </c>
      <c r="E90" s="20">
        <v>44512</v>
      </c>
      <c r="F90" s="15">
        <f t="shared" si="0"/>
        <v>2021</v>
      </c>
      <c r="G90" s="16">
        <f t="shared" si="1"/>
        <v>46</v>
      </c>
      <c r="H90" s="16">
        <f t="shared" si="2"/>
        <v>5</v>
      </c>
      <c r="I90" s="16" t="str">
        <f>VLOOKUP(H90,'Дни недели сортировка'!A:B,2,FALSE)</f>
        <v>05-пятница</v>
      </c>
      <c r="J90" s="24">
        <v>0.75694444444444442</v>
      </c>
      <c r="K90" s="12" t="s">
        <v>27</v>
      </c>
      <c r="L90" s="12" t="s">
        <v>390</v>
      </c>
      <c r="M90" s="12" t="s">
        <v>41</v>
      </c>
      <c r="N90" s="18">
        <v>2169298</v>
      </c>
      <c r="O90" s="18">
        <f t="shared" ref="O90:O91" si="42">N90-2%*N90</f>
        <v>2125912.04</v>
      </c>
      <c r="P90" s="18">
        <f>O90*11.05%</f>
        <v>234913.28042</v>
      </c>
      <c r="Q90" s="18">
        <f>P90*3.9%</f>
        <v>9161.6179363800002</v>
      </c>
      <c r="R90" s="18">
        <f t="shared" si="4"/>
        <v>43385.959999999963</v>
      </c>
      <c r="S90" s="18">
        <f>O90*0.5%</f>
        <v>10629.5602</v>
      </c>
      <c r="T90" s="12" t="s">
        <v>391</v>
      </c>
      <c r="U90" s="18">
        <v>6321.5163761021995</v>
      </c>
      <c r="V90" s="19">
        <v>1641.6978028737412</v>
      </c>
      <c r="W90" s="19">
        <v>1428.2770885001548</v>
      </c>
      <c r="X90" s="19">
        <v>1185.4699834551284</v>
      </c>
      <c r="Y90" s="40">
        <f t="shared" si="31"/>
        <v>6321</v>
      </c>
      <c r="Z90" s="40">
        <f t="shared" si="32"/>
        <v>1641</v>
      </c>
      <c r="AA90" s="40">
        <f t="shared" si="33"/>
        <v>1428</v>
      </c>
      <c r="AB90" s="40">
        <f t="shared" si="34"/>
        <v>1185</v>
      </c>
    </row>
    <row r="91" spans="1:28" ht="15.75" customHeight="1">
      <c r="A91" s="11" t="s">
        <v>392</v>
      </c>
      <c r="B91" s="12" t="s">
        <v>393</v>
      </c>
      <c r="C91" s="13" t="s">
        <v>25</v>
      </c>
      <c r="D91" s="13" t="s">
        <v>33</v>
      </c>
      <c r="E91" s="14">
        <v>44512</v>
      </c>
      <c r="F91" s="15">
        <f t="shared" si="0"/>
        <v>2021</v>
      </c>
      <c r="G91" s="16">
        <f t="shared" si="1"/>
        <v>46</v>
      </c>
      <c r="H91" s="16">
        <f t="shared" si="2"/>
        <v>5</v>
      </c>
      <c r="I91" s="16" t="str">
        <f>VLOOKUP(H91,'Дни недели сортировка'!A:B,2,FALSE)</f>
        <v>05-пятница</v>
      </c>
      <c r="J91" s="17">
        <v>0.56527777777777777</v>
      </c>
      <c r="K91" s="12" t="s">
        <v>27</v>
      </c>
      <c r="L91" s="12" t="s">
        <v>394</v>
      </c>
      <c r="M91" s="12" t="s">
        <v>29</v>
      </c>
      <c r="N91" s="18">
        <v>1775030</v>
      </c>
      <c r="O91" s="18">
        <f t="shared" si="42"/>
        <v>1739529.4</v>
      </c>
      <c r="P91" s="18">
        <f>O91*9.2%</f>
        <v>160036.70479999998</v>
      </c>
      <c r="Q91" s="18">
        <f>P91*7.2%</f>
        <v>11522.6427456</v>
      </c>
      <c r="R91" s="18">
        <f t="shared" si="4"/>
        <v>35500.600000000093</v>
      </c>
      <c r="S91" s="18">
        <f>O91*0.58%</f>
        <v>10089.270519999998</v>
      </c>
      <c r="T91" s="12" t="s">
        <v>395</v>
      </c>
      <c r="U91" s="18">
        <v>11176.963463231999</v>
      </c>
      <c r="V91" s="19">
        <v>4661.9114605140667</v>
      </c>
      <c r="W91" s="19">
        <v>3962.6247414369564</v>
      </c>
      <c r="X91" s="19">
        <v>3249.352287978304</v>
      </c>
      <c r="Y91" s="40">
        <f t="shared" si="31"/>
        <v>11176</v>
      </c>
      <c r="Z91" s="40">
        <f t="shared" si="32"/>
        <v>4661</v>
      </c>
      <c r="AA91" s="40">
        <f t="shared" si="33"/>
        <v>3962</v>
      </c>
      <c r="AB91" s="40">
        <f t="shared" si="34"/>
        <v>3249</v>
      </c>
    </row>
    <row r="92" spans="1:28" ht="15.75" customHeight="1">
      <c r="A92" s="11" t="s">
        <v>396</v>
      </c>
      <c r="B92" s="12" t="s">
        <v>397</v>
      </c>
      <c r="C92" s="13" t="s">
        <v>25</v>
      </c>
      <c r="D92" s="13" t="s">
        <v>33</v>
      </c>
      <c r="E92" s="20">
        <v>44512</v>
      </c>
      <c r="F92" s="15">
        <f t="shared" si="0"/>
        <v>2021</v>
      </c>
      <c r="G92" s="16">
        <f t="shared" si="1"/>
        <v>46</v>
      </c>
      <c r="H92" s="16">
        <f t="shared" si="2"/>
        <v>5</v>
      </c>
      <c r="I92" s="16" t="str">
        <f>VLOOKUP(H92,'Дни недели сортировка'!A:B,2,FALSE)</f>
        <v>05-пятница</v>
      </c>
      <c r="J92" s="24">
        <v>0.75694444444444442</v>
      </c>
      <c r="K92" s="12" t="s">
        <v>27</v>
      </c>
      <c r="L92" s="12" t="s">
        <v>398</v>
      </c>
      <c r="M92" s="12" t="s">
        <v>35</v>
      </c>
      <c r="N92" s="18">
        <v>1937172</v>
      </c>
      <c r="O92" s="18">
        <f>N92-1.5%*N92</f>
        <v>1908114.42</v>
      </c>
      <c r="P92" s="18">
        <f>O92*11.05%</f>
        <v>210846.64340999999</v>
      </c>
      <c r="Q92" s="18">
        <f>P92*12%</f>
        <v>25301.597209199997</v>
      </c>
      <c r="R92" s="18">
        <f t="shared" si="4"/>
        <v>29057.580000000075</v>
      </c>
      <c r="S92" s="18">
        <f>O92*0.59%</f>
        <v>11257.875077999999</v>
      </c>
      <c r="T92" s="12" t="s">
        <v>399</v>
      </c>
      <c r="U92" s="18">
        <v>21506.357627819998</v>
      </c>
      <c r="V92" s="19">
        <v>13030.702086696136</v>
      </c>
      <c r="W92" s="19">
        <v>10893.666944477969</v>
      </c>
      <c r="X92" s="19">
        <v>8605.9968861375964</v>
      </c>
      <c r="Y92" s="40">
        <f t="shared" si="31"/>
        <v>21506</v>
      </c>
      <c r="Z92" s="40">
        <f t="shared" si="32"/>
        <v>13030</v>
      </c>
      <c r="AA92" s="40">
        <f t="shared" si="33"/>
        <v>10893</v>
      </c>
      <c r="AB92" s="40">
        <f t="shared" si="34"/>
        <v>8605</v>
      </c>
    </row>
    <row r="93" spans="1:28" ht="15.75" customHeight="1">
      <c r="A93" s="11" t="s">
        <v>400</v>
      </c>
      <c r="B93" s="12" t="s">
        <v>401</v>
      </c>
      <c r="C93" s="13" t="s">
        <v>25</v>
      </c>
      <c r="D93" s="13" t="s">
        <v>33</v>
      </c>
      <c r="E93" s="20">
        <v>44512</v>
      </c>
      <c r="F93" s="15">
        <f t="shared" si="0"/>
        <v>2021</v>
      </c>
      <c r="G93" s="16">
        <f t="shared" si="1"/>
        <v>46</v>
      </c>
      <c r="H93" s="16">
        <f t="shared" si="2"/>
        <v>5</v>
      </c>
      <c r="I93" s="16" t="str">
        <f>VLOOKUP(H93,'Дни недели сортировка'!A:B,2,FALSE)</f>
        <v>05-пятница</v>
      </c>
      <c r="J93" s="24">
        <v>0.75694444444444442</v>
      </c>
      <c r="K93" s="12" t="s">
        <v>27</v>
      </c>
      <c r="L93" s="12" t="s">
        <v>402</v>
      </c>
      <c r="M93" s="12" t="s">
        <v>41</v>
      </c>
      <c r="N93" s="18">
        <v>961202</v>
      </c>
      <c r="O93" s="18">
        <f t="shared" ref="O93:O94" si="43">N93-2%*N93</f>
        <v>941977.96</v>
      </c>
      <c r="P93" s="18">
        <f>O93*18%</f>
        <v>169556.03279999999</v>
      </c>
      <c r="Q93" s="18">
        <f>P93*9%</f>
        <v>15260.042951999998</v>
      </c>
      <c r="R93" s="18">
        <f t="shared" si="4"/>
        <v>19224.040000000037</v>
      </c>
      <c r="S93" s="18">
        <f t="shared" ref="S93:S94" si="44">O93*0.57%</f>
        <v>5369.2743719999989</v>
      </c>
      <c r="T93" s="12" t="s">
        <v>403</v>
      </c>
      <c r="U93" s="18">
        <v>14039.23951584</v>
      </c>
      <c r="V93" s="19">
        <v>5431.7817686784965</v>
      </c>
      <c r="W93" s="19">
        <v>4410.6067961669396</v>
      </c>
      <c r="X93" s="19">
        <v>3307.9550971252047</v>
      </c>
      <c r="Y93" s="40">
        <f t="shared" si="31"/>
        <v>14039</v>
      </c>
      <c r="Z93" s="40">
        <f t="shared" si="32"/>
        <v>5431</v>
      </c>
      <c r="AA93" s="40">
        <f t="shared" si="33"/>
        <v>4410</v>
      </c>
      <c r="AB93" s="40">
        <f t="shared" si="34"/>
        <v>3307</v>
      </c>
    </row>
    <row r="94" spans="1:28" ht="15.75" customHeight="1">
      <c r="A94" s="11" t="s">
        <v>404</v>
      </c>
      <c r="B94" s="12" t="s">
        <v>405</v>
      </c>
      <c r="C94" s="13" t="s">
        <v>25</v>
      </c>
      <c r="D94" s="13" t="s">
        <v>33</v>
      </c>
      <c r="E94" s="20">
        <v>44512</v>
      </c>
      <c r="F94" s="15">
        <f t="shared" si="0"/>
        <v>2021</v>
      </c>
      <c r="G94" s="16">
        <f t="shared" si="1"/>
        <v>46</v>
      </c>
      <c r="H94" s="16">
        <f t="shared" si="2"/>
        <v>5</v>
      </c>
      <c r="I94" s="16" t="str">
        <f>VLOOKUP(H94,'Дни недели сортировка'!A:B,2,FALSE)</f>
        <v>05-пятница</v>
      </c>
      <c r="J94" s="24">
        <v>0.75694444444444442</v>
      </c>
      <c r="K94" s="12" t="s">
        <v>27</v>
      </c>
      <c r="L94" s="12" t="s">
        <v>406</v>
      </c>
      <c r="M94" s="12" t="s">
        <v>29</v>
      </c>
      <c r="N94" s="18">
        <v>553518</v>
      </c>
      <c r="O94" s="18">
        <f t="shared" si="43"/>
        <v>542447.64</v>
      </c>
      <c r="P94" s="18">
        <f>O94*17.43%</f>
        <v>94548.623652000009</v>
      </c>
      <c r="Q94" s="18">
        <f>P94*8.4%</f>
        <v>7942.0843867680014</v>
      </c>
      <c r="R94" s="18">
        <f t="shared" si="4"/>
        <v>11070.359999999986</v>
      </c>
      <c r="S94" s="18">
        <f t="shared" si="44"/>
        <v>3091.9515479999995</v>
      </c>
      <c r="T94" s="12" t="s">
        <v>407</v>
      </c>
      <c r="U94" s="18">
        <v>7386.1384796942421</v>
      </c>
      <c r="V94" s="19">
        <v>2552.6494585823298</v>
      </c>
      <c r="W94" s="19">
        <v>2501.5964694106833</v>
      </c>
      <c r="X94" s="19">
        <v>1826.1654226697988</v>
      </c>
      <c r="Y94" s="40">
        <f t="shared" si="31"/>
        <v>7386</v>
      </c>
      <c r="Z94" s="40">
        <f t="shared" si="32"/>
        <v>2552</v>
      </c>
      <c r="AA94" s="40">
        <f t="shared" si="33"/>
        <v>2501</v>
      </c>
      <c r="AB94" s="40">
        <f t="shared" si="34"/>
        <v>1826</v>
      </c>
    </row>
    <row r="95" spans="1:28" ht="15.75" customHeight="1">
      <c r="A95" s="11" t="s">
        <v>408</v>
      </c>
      <c r="B95" s="12" t="s">
        <v>409</v>
      </c>
      <c r="C95" s="13" t="s">
        <v>25</v>
      </c>
      <c r="D95" s="13" t="s">
        <v>410</v>
      </c>
      <c r="E95" s="29">
        <v>44532</v>
      </c>
      <c r="F95" s="15">
        <f t="shared" si="0"/>
        <v>2021</v>
      </c>
      <c r="G95" s="16">
        <f t="shared" si="1"/>
        <v>48</v>
      </c>
      <c r="H95" s="16">
        <f t="shared" si="2"/>
        <v>4</v>
      </c>
      <c r="I95" s="16" t="str">
        <f>VLOOKUP(H95,'Дни недели сортировка'!A:B,2,FALSE)</f>
        <v>04-четверг</v>
      </c>
      <c r="J95" s="30">
        <v>0.56180555555555556</v>
      </c>
      <c r="K95" s="12" t="s">
        <v>27</v>
      </c>
      <c r="L95" s="12" t="s">
        <v>411</v>
      </c>
      <c r="M95" s="12" t="s">
        <v>35</v>
      </c>
      <c r="N95" s="18">
        <v>2423128</v>
      </c>
      <c r="O95" s="18">
        <f>N95-1.5%*N95</f>
        <v>2386781.08</v>
      </c>
      <c r="P95" s="18">
        <f>O95*11.05%</f>
        <v>263739.30934000004</v>
      </c>
      <c r="Q95" s="18">
        <f>P95*3.9%</f>
        <v>10285.833064260001</v>
      </c>
      <c r="R95" s="18">
        <f t="shared" si="4"/>
        <v>36346.919999999925</v>
      </c>
      <c r="S95" s="18">
        <f>O95*0.5%</f>
        <v>11933.905400000001</v>
      </c>
      <c r="T95" s="12" t="s">
        <v>412</v>
      </c>
      <c r="U95" s="18">
        <v>9360.1080884766016</v>
      </c>
      <c r="V95" s="19">
        <v>2259.5300925582519</v>
      </c>
      <c r="W95" s="19">
        <v>1965.7911805256792</v>
      </c>
      <c r="X95" s="19">
        <v>1552.9750326152866</v>
      </c>
      <c r="Y95" s="40">
        <f t="shared" si="31"/>
        <v>9360</v>
      </c>
      <c r="Z95" s="40">
        <f t="shared" si="32"/>
        <v>2259</v>
      </c>
      <c r="AA95" s="40">
        <f t="shared" si="33"/>
        <v>1965</v>
      </c>
      <c r="AB95" s="40">
        <f t="shared" si="34"/>
        <v>1552</v>
      </c>
    </row>
    <row r="96" spans="1:28" ht="15.75" customHeight="1">
      <c r="A96" s="11" t="s">
        <v>413</v>
      </c>
      <c r="B96" s="12" t="s">
        <v>414</v>
      </c>
      <c r="C96" s="13" t="s">
        <v>25</v>
      </c>
      <c r="D96" s="13" t="s">
        <v>410</v>
      </c>
      <c r="E96" s="29">
        <v>44532</v>
      </c>
      <c r="F96" s="15">
        <f t="shared" si="0"/>
        <v>2021</v>
      </c>
      <c r="G96" s="16">
        <f t="shared" si="1"/>
        <v>48</v>
      </c>
      <c r="H96" s="16">
        <f t="shared" si="2"/>
        <v>4</v>
      </c>
      <c r="I96" s="16" t="str">
        <f>VLOOKUP(H96,'Дни недели сортировка'!A:B,2,FALSE)</f>
        <v>04-четверг</v>
      </c>
      <c r="J96" s="30">
        <v>0.5756944444444444</v>
      </c>
      <c r="K96" s="12" t="s">
        <v>27</v>
      </c>
      <c r="L96" s="12" t="s">
        <v>415</v>
      </c>
      <c r="M96" s="12" t="s">
        <v>41</v>
      </c>
      <c r="N96" s="18">
        <v>1613899</v>
      </c>
      <c r="O96" s="18">
        <f t="shared" ref="O96:O97" si="45">N96-2%*N96</f>
        <v>1581621.02</v>
      </c>
      <c r="P96" s="18">
        <f>O96*9.2%</f>
        <v>145509.13383999999</v>
      </c>
      <c r="Q96" s="18">
        <f>P96*7.2%</f>
        <v>10476.65763648</v>
      </c>
      <c r="R96" s="18">
        <f t="shared" si="4"/>
        <v>32277.979999999981</v>
      </c>
      <c r="S96" s="18">
        <f>O96*0.58%</f>
        <v>9173.4019159999989</v>
      </c>
      <c r="T96" s="12" t="s">
        <v>416</v>
      </c>
      <c r="U96" s="18">
        <v>9114.6921437376004</v>
      </c>
      <c r="V96" s="19">
        <v>5189.9057066441901</v>
      </c>
      <c r="W96" s="19">
        <v>4411.4198506475614</v>
      </c>
      <c r="X96" s="19">
        <v>3661.478476037476</v>
      </c>
      <c r="Y96" s="40">
        <f t="shared" si="31"/>
        <v>9114</v>
      </c>
      <c r="Z96" s="40">
        <f t="shared" si="32"/>
        <v>5189</v>
      </c>
      <c r="AA96" s="40">
        <f t="shared" si="33"/>
        <v>4411</v>
      </c>
      <c r="AB96" s="40">
        <f t="shared" si="34"/>
        <v>3661</v>
      </c>
    </row>
    <row r="97" spans="1:28" ht="15.75" customHeight="1">
      <c r="A97" s="11" t="s">
        <v>417</v>
      </c>
      <c r="B97" s="12" t="s">
        <v>418</v>
      </c>
      <c r="C97" s="13" t="s">
        <v>25</v>
      </c>
      <c r="D97" s="13" t="s">
        <v>410</v>
      </c>
      <c r="E97" s="29">
        <v>44532</v>
      </c>
      <c r="F97" s="15">
        <f t="shared" si="0"/>
        <v>2021</v>
      </c>
      <c r="G97" s="16">
        <f t="shared" si="1"/>
        <v>48</v>
      </c>
      <c r="H97" s="16">
        <f t="shared" si="2"/>
        <v>4</v>
      </c>
      <c r="I97" s="16" t="str">
        <f>VLOOKUP(H97,'Дни недели сортировка'!A:B,2,FALSE)</f>
        <v>04-четверг</v>
      </c>
      <c r="J97" s="30">
        <v>0.57499999999999996</v>
      </c>
      <c r="K97" s="12" t="s">
        <v>27</v>
      </c>
      <c r="L97" s="12" t="s">
        <v>419</v>
      </c>
      <c r="M97" s="12" t="s">
        <v>29</v>
      </c>
      <c r="N97" s="18">
        <v>1168943</v>
      </c>
      <c r="O97" s="18">
        <f t="shared" si="45"/>
        <v>1145564.1399999999</v>
      </c>
      <c r="P97" s="18">
        <f>O97*17.43%</f>
        <v>199671.82960199998</v>
      </c>
      <c r="Q97" s="18">
        <f>P97*12%</f>
        <v>23960.619552239998</v>
      </c>
      <c r="R97" s="18">
        <f t="shared" si="4"/>
        <v>23378.860000000102</v>
      </c>
      <c r="S97" s="18">
        <f>O97*0.59%</f>
        <v>6758.8284259999991</v>
      </c>
      <c r="T97" s="12" t="s">
        <v>420</v>
      </c>
      <c r="U97" s="18">
        <v>16532.827491045598</v>
      </c>
      <c r="V97" s="19">
        <v>4293.5752994245422</v>
      </c>
      <c r="W97" s="19">
        <v>3649.5390045108607</v>
      </c>
      <c r="X97" s="19">
        <v>2992.6219836989058</v>
      </c>
      <c r="Y97" s="40">
        <f t="shared" si="31"/>
        <v>16532</v>
      </c>
      <c r="Z97" s="40">
        <f t="shared" si="32"/>
        <v>4293</v>
      </c>
      <c r="AA97" s="40">
        <f t="shared" si="33"/>
        <v>3649</v>
      </c>
      <c r="AB97" s="40">
        <f t="shared" si="34"/>
        <v>2992</v>
      </c>
    </row>
    <row r="98" spans="1:28" ht="15.75" customHeight="1">
      <c r="A98" s="11" t="s">
        <v>421</v>
      </c>
      <c r="B98" s="12" t="s">
        <v>422</v>
      </c>
      <c r="C98" s="13" t="s">
        <v>25</v>
      </c>
      <c r="D98" s="13" t="s">
        <v>410</v>
      </c>
      <c r="E98" s="29">
        <v>44536</v>
      </c>
      <c r="F98" s="15">
        <f t="shared" si="0"/>
        <v>2021</v>
      </c>
      <c r="G98" s="16">
        <f t="shared" si="1"/>
        <v>49</v>
      </c>
      <c r="H98" s="16">
        <f t="shared" si="2"/>
        <v>1</v>
      </c>
      <c r="I98" s="16" t="str">
        <f>VLOOKUP(H98,'Дни недели сортировка'!A:B,2,FALSE)</f>
        <v>01-понедельник</v>
      </c>
      <c r="J98" s="30">
        <v>0.65</v>
      </c>
      <c r="K98" s="12" t="s">
        <v>27</v>
      </c>
      <c r="L98" s="12" t="s">
        <v>423</v>
      </c>
      <c r="M98" s="12" t="s">
        <v>35</v>
      </c>
      <c r="N98" s="18">
        <v>1227828</v>
      </c>
      <c r="O98" s="18">
        <f>N98-1.5%*N98</f>
        <v>1209410.58</v>
      </c>
      <c r="P98" s="18">
        <f>O98*11.05%</f>
        <v>133639.86909000002</v>
      </c>
      <c r="Q98" s="18">
        <f>P98*9%</f>
        <v>12027.588218100002</v>
      </c>
      <c r="R98" s="18">
        <f t="shared" si="4"/>
        <v>18417.419999999925</v>
      </c>
      <c r="S98" s="18">
        <f t="shared" ref="S98:S99" si="46">O98*0.57%</f>
        <v>6893.6403059999993</v>
      </c>
      <c r="T98" s="12" t="s">
        <v>424</v>
      </c>
      <c r="U98" s="18">
        <v>11666.760571557001</v>
      </c>
      <c r="V98" s="19">
        <v>4866.2058343964245</v>
      </c>
      <c r="W98" s="19">
        <v>4068.1480775554105</v>
      </c>
      <c r="X98" s="19">
        <v>3213.8369812687743</v>
      </c>
      <c r="Y98" s="40">
        <f t="shared" si="31"/>
        <v>11666</v>
      </c>
      <c r="Z98" s="40">
        <f t="shared" si="32"/>
        <v>4866</v>
      </c>
      <c r="AA98" s="40">
        <f t="shared" si="33"/>
        <v>4068</v>
      </c>
      <c r="AB98" s="40">
        <f t="shared" si="34"/>
        <v>3213</v>
      </c>
    </row>
    <row r="99" spans="1:28" ht="15.75" customHeight="1">
      <c r="A99" s="11" t="s">
        <v>425</v>
      </c>
      <c r="B99" s="12" t="s">
        <v>426</v>
      </c>
      <c r="C99" s="13" t="s">
        <v>25</v>
      </c>
      <c r="D99" s="13" t="s">
        <v>410</v>
      </c>
      <c r="E99" s="29">
        <v>44536</v>
      </c>
      <c r="F99" s="15">
        <f t="shared" si="0"/>
        <v>2021</v>
      </c>
      <c r="G99" s="16">
        <f t="shared" si="1"/>
        <v>49</v>
      </c>
      <c r="H99" s="16">
        <f t="shared" si="2"/>
        <v>1</v>
      </c>
      <c r="I99" s="16" t="str">
        <f>VLOOKUP(H99,'Дни недели сортировка'!A:B,2,FALSE)</f>
        <v>01-понедельник</v>
      </c>
      <c r="J99" s="30">
        <v>0.64930555555555558</v>
      </c>
      <c r="K99" s="12" t="s">
        <v>27</v>
      </c>
      <c r="L99" s="12" t="s">
        <v>427</v>
      </c>
      <c r="M99" s="12" t="s">
        <v>41</v>
      </c>
      <c r="N99" s="18">
        <v>1137692</v>
      </c>
      <c r="O99" s="18">
        <f t="shared" ref="O99:O100" si="47">N99-2%*N99</f>
        <v>1114938.1599999999</v>
      </c>
      <c r="P99" s="18">
        <f>O99*9.2%</f>
        <v>102574.31071999999</v>
      </c>
      <c r="Q99" s="18">
        <f>P99*8.4%</f>
        <v>8616.2421004799999</v>
      </c>
      <c r="R99" s="18">
        <f t="shared" si="4"/>
        <v>22753.840000000084</v>
      </c>
      <c r="S99" s="18">
        <f t="shared" si="46"/>
        <v>6355.1475119999986</v>
      </c>
      <c r="T99" s="12" t="s">
        <v>428</v>
      </c>
      <c r="U99" s="18">
        <v>7323.8057854079998</v>
      </c>
      <c r="V99" s="19">
        <v>4437.493925378707</v>
      </c>
      <c r="W99" s="19">
        <v>3603.2450674075103</v>
      </c>
      <c r="X99" s="19">
        <v>2702.4338005556328</v>
      </c>
      <c r="Y99" s="40">
        <f t="shared" si="31"/>
        <v>7323</v>
      </c>
      <c r="Z99" s="40">
        <f t="shared" si="32"/>
        <v>4437</v>
      </c>
      <c r="AA99" s="40">
        <f t="shared" si="33"/>
        <v>3603</v>
      </c>
      <c r="AB99" s="40">
        <f t="shared" si="34"/>
        <v>2702</v>
      </c>
    </row>
    <row r="100" spans="1:28" ht="15.75" customHeight="1">
      <c r="A100" s="11" t="s">
        <v>429</v>
      </c>
      <c r="B100" s="12" t="s">
        <v>430</v>
      </c>
      <c r="C100" s="13" t="s">
        <v>25</v>
      </c>
      <c r="D100" s="13" t="s">
        <v>410</v>
      </c>
      <c r="E100" s="29">
        <v>44543</v>
      </c>
      <c r="F100" s="15">
        <f t="shared" si="0"/>
        <v>2021</v>
      </c>
      <c r="G100" s="16">
        <f t="shared" si="1"/>
        <v>50</v>
      </c>
      <c r="H100" s="16">
        <f t="shared" si="2"/>
        <v>1</v>
      </c>
      <c r="I100" s="16" t="str">
        <f>VLOOKUP(H100,'Дни недели сортировка'!A:B,2,FALSE)</f>
        <v>01-понедельник</v>
      </c>
      <c r="J100" s="30">
        <v>0.61527777777777781</v>
      </c>
      <c r="K100" s="12" t="s">
        <v>27</v>
      </c>
      <c r="L100" s="12" t="s">
        <v>431</v>
      </c>
      <c r="M100" s="12" t="s">
        <v>29</v>
      </c>
      <c r="N100" s="18">
        <v>1730060</v>
      </c>
      <c r="O100" s="18">
        <f t="shared" si="47"/>
        <v>1695458.8</v>
      </c>
      <c r="P100" s="18">
        <f>O100*11.05%</f>
        <v>187348.1974</v>
      </c>
      <c r="Q100" s="18">
        <f>P100*3.9%</f>
        <v>7306.5796986000005</v>
      </c>
      <c r="R100" s="18">
        <f t="shared" si="4"/>
        <v>34601.199999999953</v>
      </c>
      <c r="S100" s="18">
        <f>O100*0.5%</f>
        <v>8477.2939999999999</v>
      </c>
      <c r="T100" s="12" t="s">
        <v>432</v>
      </c>
      <c r="U100" s="18">
        <v>6722.0533227120004</v>
      </c>
      <c r="V100" s="19">
        <v>2600.7624305572731</v>
      </c>
      <c r="W100" s="19">
        <v>2548.7471819461275</v>
      </c>
      <c r="X100" s="19">
        <v>1860.5854428206731</v>
      </c>
      <c r="Y100" s="40">
        <f t="shared" si="31"/>
        <v>6722</v>
      </c>
      <c r="Z100" s="40">
        <f t="shared" si="32"/>
        <v>2600</v>
      </c>
      <c r="AA100" s="40">
        <f t="shared" si="33"/>
        <v>2548</v>
      </c>
      <c r="AB100" s="40">
        <f t="shared" si="34"/>
        <v>1860</v>
      </c>
    </row>
    <row r="101" spans="1:28" ht="15.75" customHeight="1">
      <c r="A101" s="11" t="s">
        <v>433</v>
      </c>
      <c r="B101" s="12" t="s">
        <v>434</v>
      </c>
      <c r="C101" s="13" t="s">
        <v>25</v>
      </c>
      <c r="D101" s="13" t="s">
        <v>410</v>
      </c>
      <c r="E101" s="29">
        <v>44539</v>
      </c>
      <c r="F101" s="15">
        <f t="shared" si="0"/>
        <v>2021</v>
      </c>
      <c r="G101" s="16">
        <f t="shared" si="1"/>
        <v>49</v>
      </c>
      <c r="H101" s="16">
        <f t="shared" si="2"/>
        <v>4</v>
      </c>
      <c r="I101" s="16" t="str">
        <f>VLOOKUP(H101,'Дни недели сортировка'!A:B,2,FALSE)</f>
        <v>04-четверг</v>
      </c>
      <c r="J101" s="30">
        <v>0.66805555555555551</v>
      </c>
      <c r="K101" s="12" t="s">
        <v>27</v>
      </c>
      <c r="L101" s="12" t="s">
        <v>435</v>
      </c>
      <c r="M101" s="12" t="s">
        <v>35</v>
      </c>
      <c r="N101" s="18">
        <v>2131798</v>
      </c>
      <c r="O101" s="18">
        <f>N101-1.5%*N101</f>
        <v>2099821.0299999998</v>
      </c>
      <c r="P101" s="18">
        <f>O101*18%</f>
        <v>377967.78539999994</v>
      </c>
      <c r="Q101" s="18">
        <f>P101*7.2%</f>
        <v>27213.680548799999</v>
      </c>
      <c r="R101" s="18">
        <f t="shared" si="4"/>
        <v>31976.970000000205</v>
      </c>
      <c r="S101" s="18">
        <f>O101*0.58%</f>
        <v>12178.961973999998</v>
      </c>
      <c r="T101" s="12" t="s">
        <v>436</v>
      </c>
      <c r="U101" s="18">
        <v>25308.722910384</v>
      </c>
      <c r="V101" s="19">
        <v>8746.6946378287103</v>
      </c>
      <c r="W101" s="19">
        <v>7609.6243349109782</v>
      </c>
      <c r="X101" s="19">
        <v>6011.6032245796732</v>
      </c>
      <c r="Y101" s="40">
        <f t="shared" si="31"/>
        <v>25308</v>
      </c>
      <c r="Z101" s="40">
        <f t="shared" si="32"/>
        <v>8746</v>
      </c>
      <c r="AA101" s="40">
        <f t="shared" si="33"/>
        <v>7609</v>
      </c>
      <c r="AB101" s="40">
        <f t="shared" si="34"/>
        <v>6011</v>
      </c>
    </row>
    <row r="102" spans="1:28" ht="15.75" customHeight="1">
      <c r="A102" s="11" t="s">
        <v>437</v>
      </c>
      <c r="B102" s="12" t="s">
        <v>438</v>
      </c>
      <c r="C102" s="13" t="s">
        <v>25</v>
      </c>
      <c r="D102" s="13" t="s">
        <v>33</v>
      </c>
      <c r="E102" s="14">
        <v>44512</v>
      </c>
      <c r="F102" s="15">
        <f t="shared" si="0"/>
        <v>2021</v>
      </c>
      <c r="G102" s="16">
        <f t="shared" si="1"/>
        <v>46</v>
      </c>
      <c r="H102" s="16">
        <f t="shared" si="2"/>
        <v>5</v>
      </c>
      <c r="I102" s="16" t="str">
        <f>VLOOKUP(H102,'Дни недели сортировка'!A:B,2,FALSE)</f>
        <v>05-пятница</v>
      </c>
      <c r="J102" s="17">
        <v>0.56527777777777777</v>
      </c>
      <c r="K102" s="12" t="s">
        <v>27</v>
      </c>
      <c r="L102" s="12" t="s">
        <v>439</v>
      </c>
      <c r="M102" s="12" t="s">
        <v>29</v>
      </c>
      <c r="N102" s="18">
        <v>2164372</v>
      </c>
      <c r="O102" s="18">
        <f t="shared" ref="O102:O103" si="48">N102-2%*N102</f>
        <v>2121084.56</v>
      </c>
      <c r="P102" s="18">
        <f>O102*11.05%</f>
        <v>234379.84388</v>
      </c>
      <c r="Q102" s="18">
        <f>P102*12%</f>
        <v>28125.581265599998</v>
      </c>
      <c r="R102" s="18">
        <f t="shared" si="4"/>
        <v>43287.439999999944</v>
      </c>
      <c r="S102" s="18">
        <f>O102*0.59%</f>
        <v>12514.398904</v>
      </c>
      <c r="T102" s="12" t="s">
        <v>440</v>
      </c>
      <c r="U102" s="18">
        <v>25594.278951696</v>
      </c>
      <c r="V102" s="19">
        <v>6178.458938939415</v>
      </c>
      <c r="W102" s="19">
        <v>5251.6900980985029</v>
      </c>
      <c r="X102" s="19">
        <v>4358.902781421757</v>
      </c>
      <c r="Y102" s="40">
        <f t="shared" si="31"/>
        <v>25594</v>
      </c>
      <c r="Z102" s="40">
        <f t="shared" si="32"/>
        <v>6178</v>
      </c>
      <c r="AA102" s="40">
        <f t="shared" si="33"/>
        <v>5251</v>
      </c>
      <c r="AB102" s="40">
        <f t="shared" si="34"/>
        <v>4358</v>
      </c>
    </row>
    <row r="103" spans="1:28" ht="15.75" customHeight="1">
      <c r="A103" s="11" t="s">
        <v>441</v>
      </c>
      <c r="B103" s="12" t="s">
        <v>442</v>
      </c>
      <c r="C103" s="13" t="s">
        <v>25</v>
      </c>
      <c r="D103" s="13" t="s">
        <v>410</v>
      </c>
      <c r="E103" s="29">
        <v>44539</v>
      </c>
      <c r="F103" s="15">
        <f t="shared" si="0"/>
        <v>2021</v>
      </c>
      <c r="G103" s="16">
        <f t="shared" si="1"/>
        <v>49</v>
      </c>
      <c r="H103" s="16">
        <f t="shared" si="2"/>
        <v>4</v>
      </c>
      <c r="I103" s="16" t="str">
        <f>VLOOKUP(H103,'Дни недели сортировка'!A:B,2,FALSE)</f>
        <v>04-четверг</v>
      </c>
      <c r="J103" s="30">
        <v>0.54305555555555551</v>
      </c>
      <c r="K103" s="12" t="s">
        <v>27</v>
      </c>
      <c r="L103" s="12" t="s">
        <v>443</v>
      </c>
      <c r="M103" s="12" t="s">
        <v>35</v>
      </c>
      <c r="N103" s="18">
        <v>1478133</v>
      </c>
      <c r="O103" s="18">
        <f t="shared" si="48"/>
        <v>1448570.34</v>
      </c>
      <c r="P103" s="18">
        <f>O103*18%</f>
        <v>260742.6612</v>
      </c>
      <c r="Q103" s="18">
        <f>P103*9%</f>
        <v>23466.839508000001</v>
      </c>
      <c r="R103" s="18">
        <f t="shared" si="4"/>
        <v>29562.659999999916</v>
      </c>
      <c r="S103" s="18">
        <f t="shared" ref="S103:S104" si="49">O103*0.34%</f>
        <v>4925.1391560000002</v>
      </c>
      <c r="T103" s="12" t="s">
        <v>444</v>
      </c>
      <c r="U103" s="18">
        <v>20416.15037196</v>
      </c>
      <c r="V103" s="19">
        <v>11624.956021794025</v>
      </c>
      <c r="W103" s="19">
        <v>9718.4632342198038</v>
      </c>
      <c r="X103" s="19">
        <v>7969.1398520602388</v>
      </c>
      <c r="Y103" s="40">
        <f t="shared" si="31"/>
        <v>20416</v>
      </c>
      <c r="Z103" s="40">
        <f t="shared" si="32"/>
        <v>11624</v>
      </c>
      <c r="AA103" s="40">
        <f t="shared" si="33"/>
        <v>9718</v>
      </c>
      <c r="AB103" s="40">
        <f t="shared" si="34"/>
        <v>7969</v>
      </c>
    </row>
    <row r="104" spans="1:28" ht="15.75" customHeight="1">
      <c r="A104" s="11" t="s">
        <v>445</v>
      </c>
      <c r="B104" s="12" t="s">
        <v>446</v>
      </c>
      <c r="C104" s="13" t="s">
        <v>25</v>
      </c>
      <c r="D104" s="13" t="s">
        <v>410</v>
      </c>
      <c r="E104" s="29">
        <v>44545</v>
      </c>
      <c r="F104" s="15">
        <f t="shared" si="0"/>
        <v>2021</v>
      </c>
      <c r="G104" s="16">
        <f t="shared" si="1"/>
        <v>50</v>
      </c>
      <c r="H104" s="16">
        <f t="shared" si="2"/>
        <v>3</v>
      </c>
      <c r="I104" s="16" t="str">
        <f>VLOOKUP(H104,'Дни недели сортировка'!A:B,2,FALSE)</f>
        <v>03-среда</v>
      </c>
      <c r="J104" s="30">
        <v>0.59861111111111109</v>
      </c>
      <c r="K104" s="12" t="s">
        <v>27</v>
      </c>
      <c r="L104" s="12" t="s">
        <v>447</v>
      </c>
      <c r="M104" s="12" t="s">
        <v>41</v>
      </c>
      <c r="N104" s="18">
        <v>1729870</v>
      </c>
      <c r="O104" s="18">
        <f>N104-1.5%*N104</f>
        <v>1703921.95</v>
      </c>
      <c r="P104" s="18">
        <f>O104*17.43%</f>
        <v>296993.59588500002</v>
      </c>
      <c r="Q104" s="18">
        <f>P104*8.4%</f>
        <v>24947.462054340001</v>
      </c>
      <c r="R104" s="18">
        <f t="shared" si="4"/>
        <v>25948.050000000047</v>
      </c>
      <c r="S104" s="18">
        <f t="shared" si="49"/>
        <v>5793.3346300000003</v>
      </c>
      <c r="T104" s="12" t="s">
        <v>448</v>
      </c>
      <c r="U104" s="18">
        <v>17213.748817494601</v>
      </c>
      <c r="V104" s="19">
        <v>4470.4105679033473</v>
      </c>
      <c r="W104" s="19">
        <v>3629.9733811375181</v>
      </c>
      <c r="X104" s="19">
        <v>2867.6789710986395</v>
      </c>
      <c r="Y104" s="40">
        <f t="shared" si="31"/>
        <v>17213</v>
      </c>
      <c r="Z104" s="40">
        <f t="shared" si="32"/>
        <v>4470</v>
      </c>
      <c r="AA104" s="40">
        <f t="shared" si="33"/>
        <v>3629</v>
      </c>
      <c r="AB104" s="40">
        <f t="shared" si="34"/>
        <v>2867</v>
      </c>
    </row>
    <row r="105" spans="1:28" ht="15.75" customHeight="1">
      <c r="A105" s="11" t="s">
        <v>449</v>
      </c>
      <c r="B105" s="12" t="s">
        <v>450</v>
      </c>
      <c r="C105" s="13" t="s">
        <v>25</v>
      </c>
      <c r="D105" s="13" t="s">
        <v>410</v>
      </c>
      <c r="E105" s="29">
        <v>44545</v>
      </c>
      <c r="F105" s="15">
        <f t="shared" si="0"/>
        <v>2021</v>
      </c>
      <c r="G105" s="16">
        <f t="shared" si="1"/>
        <v>50</v>
      </c>
      <c r="H105" s="16">
        <f t="shared" si="2"/>
        <v>3</v>
      </c>
      <c r="I105" s="16" t="str">
        <f>VLOOKUP(H105,'Дни недели сортировка'!A:B,2,FALSE)</f>
        <v>03-среда</v>
      </c>
      <c r="J105" s="30">
        <v>0.59791666666666665</v>
      </c>
      <c r="K105" s="12" t="s">
        <v>27</v>
      </c>
      <c r="L105" s="12" t="s">
        <v>451</v>
      </c>
      <c r="M105" s="12" t="s">
        <v>29</v>
      </c>
      <c r="N105" s="18">
        <v>649502</v>
      </c>
      <c r="O105" s="18">
        <f t="shared" ref="O105:O106" si="50">N105-2%*N105</f>
        <v>636511.96</v>
      </c>
      <c r="P105" s="18">
        <f>O105*11.05%</f>
        <v>70334.571580000003</v>
      </c>
      <c r="Q105" s="18">
        <f>P105*3.9%</f>
        <v>2743.0482916200003</v>
      </c>
      <c r="R105" s="18">
        <f t="shared" si="4"/>
        <v>12990.040000000037</v>
      </c>
      <c r="S105" s="18">
        <f>O105*0.29%</f>
        <v>1845.8846839999997</v>
      </c>
      <c r="T105" s="12" t="s">
        <v>452</v>
      </c>
      <c r="U105" s="18">
        <v>2660.7568428714003</v>
      </c>
      <c r="V105" s="19">
        <v>1109.801679161661</v>
      </c>
      <c r="W105" s="19">
        <v>1087.6056455784278</v>
      </c>
      <c r="X105" s="19">
        <v>815.70423418382086</v>
      </c>
      <c r="Y105" s="40">
        <f t="shared" si="31"/>
        <v>2660</v>
      </c>
      <c r="Z105" s="40">
        <f t="shared" si="32"/>
        <v>1109</v>
      </c>
      <c r="AA105" s="40">
        <f t="shared" si="33"/>
        <v>1087</v>
      </c>
      <c r="AB105" s="40">
        <f t="shared" si="34"/>
        <v>815</v>
      </c>
    </row>
    <row r="106" spans="1:28" ht="15.75" customHeight="1">
      <c r="A106" s="11" t="s">
        <v>453</v>
      </c>
      <c r="B106" s="12" t="s">
        <v>454</v>
      </c>
      <c r="C106" s="13" t="s">
        <v>25</v>
      </c>
      <c r="D106" s="13" t="s">
        <v>410</v>
      </c>
      <c r="E106" s="29">
        <v>44546</v>
      </c>
      <c r="F106" s="15">
        <f t="shared" si="0"/>
        <v>2021</v>
      </c>
      <c r="G106" s="16">
        <f t="shared" si="1"/>
        <v>50</v>
      </c>
      <c r="H106" s="16">
        <f t="shared" si="2"/>
        <v>4</v>
      </c>
      <c r="I106" s="16" t="str">
        <f>VLOOKUP(H106,'Дни недели сортировка'!A:B,2,FALSE)</f>
        <v>04-четверг</v>
      </c>
      <c r="J106" s="30">
        <v>0.55555555555555558</v>
      </c>
      <c r="K106" s="12" t="s">
        <v>27</v>
      </c>
      <c r="L106" s="12" t="s">
        <v>455</v>
      </c>
      <c r="M106" s="12" t="s">
        <v>35</v>
      </c>
      <c r="N106" s="18">
        <v>2266270</v>
      </c>
      <c r="O106" s="18">
        <f t="shared" si="50"/>
        <v>2220944.6</v>
      </c>
      <c r="P106" s="18">
        <f>O106*9.2%</f>
        <v>204326.9032</v>
      </c>
      <c r="Q106" s="18">
        <f>P106*7.2%</f>
        <v>14711.537030400003</v>
      </c>
      <c r="R106" s="18">
        <f t="shared" si="4"/>
        <v>45325.399999999907</v>
      </c>
      <c r="S106" s="18">
        <f>O106*0.28%</f>
        <v>6218.6448800000007</v>
      </c>
      <c r="T106" s="12" t="s">
        <v>456</v>
      </c>
      <c r="U106" s="18">
        <v>12504.806475840001</v>
      </c>
      <c r="V106" s="19">
        <v>7576.6622437114565</v>
      </c>
      <c r="W106" s="19">
        <v>6591.6961520289669</v>
      </c>
      <c r="X106" s="19">
        <v>4811.9381909811455</v>
      </c>
      <c r="Y106" s="40">
        <f t="shared" si="31"/>
        <v>12504</v>
      </c>
      <c r="Z106" s="40">
        <f t="shared" si="32"/>
        <v>7576</v>
      </c>
      <c r="AA106" s="40">
        <f t="shared" si="33"/>
        <v>6591</v>
      </c>
      <c r="AB106" s="40">
        <f t="shared" si="34"/>
        <v>4811</v>
      </c>
    </row>
    <row r="107" spans="1:28" ht="15.75" customHeight="1">
      <c r="A107" s="11" t="s">
        <v>457</v>
      </c>
      <c r="B107" s="12" t="s">
        <v>458</v>
      </c>
      <c r="C107" s="13" t="s">
        <v>25</v>
      </c>
      <c r="D107" s="13" t="s">
        <v>410</v>
      </c>
      <c r="E107" s="29">
        <v>44546</v>
      </c>
      <c r="F107" s="15">
        <f t="shared" si="0"/>
        <v>2021</v>
      </c>
      <c r="G107" s="16">
        <f t="shared" si="1"/>
        <v>50</v>
      </c>
      <c r="H107" s="16">
        <f t="shared" si="2"/>
        <v>4</v>
      </c>
      <c r="I107" s="16" t="str">
        <f>VLOOKUP(H107,'Дни недели сортировка'!A:B,2,FALSE)</f>
        <v>04-четверг</v>
      </c>
      <c r="J107" s="30">
        <v>0.5541666666666667</v>
      </c>
      <c r="K107" s="12" t="s">
        <v>27</v>
      </c>
      <c r="L107" s="12" t="s">
        <v>459</v>
      </c>
      <c r="M107" s="12" t="s">
        <v>41</v>
      </c>
      <c r="N107" s="18">
        <v>1639899</v>
      </c>
      <c r="O107" s="18">
        <f>N107-1.5%*N107</f>
        <v>1615300.5149999999</v>
      </c>
      <c r="P107" s="18">
        <f>O107*17.43%</f>
        <v>281546.87976450002</v>
      </c>
      <c r="Q107" s="18">
        <f>P107*12%</f>
        <v>33785.625571739998</v>
      </c>
      <c r="R107" s="18">
        <f t="shared" si="4"/>
        <v>24598.485000000102</v>
      </c>
      <c r="S107" s="18">
        <f t="shared" ref="S107:S108" si="51">O107*0.34%</f>
        <v>5492.0217510000002</v>
      </c>
      <c r="T107" s="12" t="s">
        <v>460</v>
      </c>
      <c r="U107" s="18">
        <v>31082.775526000798</v>
      </c>
      <c r="V107" s="19">
        <v>12025.92585100971</v>
      </c>
      <c r="W107" s="19">
        <v>10222.036973358254</v>
      </c>
      <c r="X107" s="19">
        <v>8075.4092089530204</v>
      </c>
      <c r="Y107" s="40">
        <f t="shared" si="31"/>
        <v>31082</v>
      </c>
      <c r="Z107" s="40">
        <f t="shared" si="32"/>
        <v>12025</v>
      </c>
      <c r="AA107" s="40">
        <f t="shared" si="33"/>
        <v>10222</v>
      </c>
      <c r="AB107" s="40">
        <f t="shared" si="34"/>
        <v>8075</v>
      </c>
    </row>
    <row r="108" spans="1:28" ht="15.75" customHeight="1">
      <c r="A108" s="11" t="s">
        <v>461</v>
      </c>
      <c r="B108" s="12" t="s">
        <v>462</v>
      </c>
      <c r="C108" s="13" t="s">
        <v>25</v>
      </c>
      <c r="D108" s="13" t="s">
        <v>410</v>
      </c>
      <c r="E108" s="29">
        <v>44550</v>
      </c>
      <c r="F108" s="15">
        <f t="shared" si="0"/>
        <v>2021</v>
      </c>
      <c r="G108" s="16">
        <f t="shared" si="1"/>
        <v>51</v>
      </c>
      <c r="H108" s="16">
        <f t="shared" si="2"/>
        <v>1</v>
      </c>
      <c r="I108" s="16" t="str">
        <f>VLOOKUP(H108,'Дни недели сортировка'!A:B,2,FALSE)</f>
        <v>01-понедельник</v>
      </c>
      <c r="J108" s="30">
        <v>0.7104166666666667</v>
      </c>
      <c r="K108" s="12" t="s">
        <v>27</v>
      </c>
      <c r="L108" s="12" t="s">
        <v>463</v>
      </c>
      <c r="M108" s="12" t="s">
        <v>29</v>
      </c>
      <c r="N108" s="18">
        <v>1307090</v>
      </c>
      <c r="O108" s="18">
        <f t="shared" ref="O108:O109" si="52">N108-2%*N108</f>
        <v>1280948.2</v>
      </c>
      <c r="P108" s="18">
        <f>O108*11.05%</f>
        <v>141544.77609999999</v>
      </c>
      <c r="Q108" s="18">
        <f>P108*9%</f>
        <v>12739.029848999999</v>
      </c>
      <c r="R108" s="18">
        <f t="shared" si="4"/>
        <v>26141.800000000047</v>
      </c>
      <c r="S108" s="18">
        <f t="shared" si="51"/>
        <v>4355.2238800000005</v>
      </c>
      <c r="T108" s="12" t="s">
        <v>464</v>
      </c>
      <c r="U108" s="18">
        <v>11847.297759569999</v>
      </c>
      <c r="V108" s="19">
        <v>4094.4261057073913</v>
      </c>
      <c r="W108" s="19">
        <v>3480.2621898512825</v>
      </c>
      <c r="X108" s="19">
        <v>2888.6176175765645</v>
      </c>
      <c r="Y108" s="40">
        <f t="shared" si="31"/>
        <v>11847</v>
      </c>
      <c r="Z108" s="40">
        <f t="shared" si="32"/>
        <v>4094</v>
      </c>
      <c r="AA108" s="40">
        <f t="shared" si="33"/>
        <v>3480</v>
      </c>
      <c r="AB108" s="40">
        <f t="shared" si="34"/>
        <v>2888</v>
      </c>
    </row>
    <row r="109" spans="1:28" ht="15.75" customHeight="1">
      <c r="A109" s="11" t="s">
        <v>465</v>
      </c>
      <c r="B109" s="12" t="s">
        <v>466</v>
      </c>
      <c r="C109" s="13" t="s">
        <v>25</v>
      </c>
      <c r="D109" s="13" t="s">
        <v>410</v>
      </c>
      <c r="E109" s="29">
        <v>44550</v>
      </c>
      <c r="F109" s="15">
        <f t="shared" si="0"/>
        <v>2021</v>
      </c>
      <c r="G109" s="16">
        <f t="shared" si="1"/>
        <v>51</v>
      </c>
      <c r="H109" s="16">
        <f t="shared" si="2"/>
        <v>1</v>
      </c>
      <c r="I109" s="16" t="str">
        <f>VLOOKUP(H109,'Дни недели сортировка'!A:B,2,FALSE)</f>
        <v>01-понедельник</v>
      </c>
      <c r="J109" s="30">
        <v>0.62361111111111112</v>
      </c>
      <c r="K109" s="12" t="s">
        <v>27</v>
      </c>
      <c r="L109" s="12" t="s">
        <v>467</v>
      </c>
      <c r="M109" s="12" t="s">
        <v>35</v>
      </c>
      <c r="N109" s="18">
        <v>2089912</v>
      </c>
      <c r="O109" s="18">
        <f t="shared" si="52"/>
        <v>2048113.76</v>
      </c>
      <c r="P109" s="18">
        <f>O109*9.2%</f>
        <v>188426.46591999999</v>
      </c>
      <c r="Q109" s="18">
        <f>P109*8.4%</f>
        <v>15827.82313728</v>
      </c>
      <c r="R109" s="18">
        <f t="shared" si="4"/>
        <v>41798.239999999991</v>
      </c>
      <c r="S109" s="18">
        <f>O109*0.29%</f>
        <v>5939.529904</v>
      </c>
      <c r="T109" s="12" t="s">
        <v>468</v>
      </c>
      <c r="U109" s="18">
        <v>14403.319054924801</v>
      </c>
      <c r="V109" s="19">
        <v>3476.961219858847</v>
      </c>
      <c r="W109" s="19">
        <v>2906.7395798019961</v>
      </c>
      <c r="X109" s="19">
        <v>2383.5264554376367</v>
      </c>
      <c r="Y109" s="40">
        <f t="shared" si="31"/>
        <v>14403</v>
      </c>
      <c r="Z109" s="40">
        <f t="shared" si="32"/>
        <v>3476</v>
      </c>
      <c r="AA109" s="40">
        <f t="shared" si="33"/>
        <v>2906</v>
      </c>
      <c r="AB109" s="40">
        <f t="shared" si="34"/>
        <v>2383</v>
      </c>
    </row>
    <row r="110" spans="1:28" ht="15.75" customHeight="1">
      <c r="A110" s="11" t="s">
        <v>469</v>
      </c>
      <c r="B110" s="12" t="s">
        <v>470</v>
      </c>
      <c r="C110" s="13" t="s">
        <v>25</v>
      </c>
      <c r="D110" s="13" t="s">
        <v>410</v>
      </c>
      <c r="E110" s="29">
        <v>44557</v>
      </c>
      <c r="F110" s="15">
        <f t="shared" si="0"/>
        <v>2021</v>
      </c>
      <c r="G110" s="16">
        <f t="shared" si="1"/>
        <v>52</v>
      </c>
      <c r="H110" s="16">
        <f t="shared" si="2"/>
        <v>1</v>
      </c>
      <c r="I110" s="16" t="str">
        <f>VLOOKUP(H110,'Дни недели сортировка'!A:B,2,FALSE)</f>
        <v>01-понедельник</v>
      </c>
      <c r="J110" s="30">
        <v>0.67222222222222228</v>
      </c>
      <c r="K110" s="12" t="s">
        <v>27</v>
      </c>
      <c r="L110" s="12" t="s">
        <v>471</v>
      </c>
      <c r="M110" s="12" t="s">
        <v>41</v>
      </c>
      <c r="N110" s="18">
        <v>2478293</v>
      </c>
      <c r="O110" s="18">
        <f>N110-1.5%*N110</f>
        <v>2441118.605</v>
      </c>
      <c r="P110" s="18">
        <f>O110*11.05%</f>
        <v>269743.60585250001</v>
      </c>
      <c r="Q110" s="18">
        <f>P110*3.9%</f>
        <v>10520.000628247501</v>
      </c>
      <c r="R110" s="18">
        <f t="shared" si="4"/>
        <v>37174.395000000019</v>
      </c>
      <c r="S110" s="18">
        <f>O110*0.28%</f>
        <v>6835.1320940000005</v>
      </c>
      <c r="T110" s="12" t="s">
        <v>472</v>
      </c>
      <c r="U110" s="18">
        <v>9152.4005465753253</v>
      </c>
      <c r="V110" s="19">
        <v>5211.3768712199899</v>
      </c>
      <c r="W110" s="19">
        <v>4231.6380194306321</v>
      </c>
      <c r="X110" s="19">
        <v>3342.9940353501993</v>
      </c>
      <c r="Y110" s="40">
        <f t="shared" si="31"/>
        <v>9152</v>
      </c>
      <c r="Z110" s="40">
        <f t="shared" si="32"/>
        <v>5211</v>
      </c>
      <c r="AA110" s="40">
        <f t="shared" si="33"/>
        <v>4231</v>
      </c>
      <c r="AB110" s="40">
        <f t="shared" si="34"/>
        <v>3342</v>
      </c>
    </row>
    <row r="111" spans="1:28" ht="15.75" customHeight="1">
      <c r="A111" s="11" t="s">
        <v>473</v>
      </c>
      <c r="B111" s="12" t="s">
        <v>474</v>
      </c>
      <c r="C111" s="13" t="s">
        <v>25</v>
      </c>
      <c r="D111" s="13" t="s">
        <v>410</v>
      </c>
      <c r="E111" s="29">
        <v>44557</v>
      </c>
      <c r="F111" s="15">
        <f t="shared" si="0"/>
        <v>2021</v>
      </c>
      <c r="G111" s="16">
        <f t="shared" si="1"/>
        <v>52</v>
      </c>
      <c r="H111" s="16">
        <f t="shared" si="2"/>
        <v>1</v>
      </c>
      <c r="I111" s="16" t="str">
        <f>VLOOKUP(H111,'Дни недели сортировка'!A:B,2,FALSE)</f>
        <v>01-понедельник</v>
      </c>
      <c r="J111" s="30">
        <v>0.55347222222222225</v>
      </c>
      <c r="K111" s="12" t="s">
        <v>27</v>
      </c>
      <c r="L111" s="12" t="s">
        <v>475</v>
      </c>
      <c r="M111" s="12" t="s">
        <v>29</v>
      </c>
      <c r="N111" s="18">
        <v>2107380</v>
      </c>
      <c r="O111" s="18">
        <f t="shared" ref="O111:O112" si="53">N111-2%*N111</f>
        <v>2065232.4</v>
      </c>
      <c r="P111" s="18">
        <f>O111*18%</f>
        <v>371741.83199999999</v>
      </c>
      <c r="Q111" s="18">
        <f>P111*7.2%</f>
        <v>26765.411904000004</v>
      </c>
      <c r="R111" s="18">
        <f t="shared" si="4"/>
        <v>42147.600000000093</v>
      </c>
      <c r="S111" s="18">
        <f t="shared" ref="S111:S112" si="54">O111*0.34%</f>
        <v>7021.7901600000005</v>
      </c>
      <c r="T111" s="12" t="s">
        <v>476</v>
      </c>
      <c r="U111" s="18">
        <v>18468.13421376</v>
      </c>
      <c r="V111" s="19">
        <v>4796.1744553134722</v>
      </c>
      <c r="W111" s="19">
        <v>4700.2509662072025</v>
      </c>
      <c r="X111" s="19">
        <v>3525.1882246554019</v>
      </c>
      <c r="Y111" s="40">
        <f t="shared" si="31"/>
        <v>18468</v>
      </c>
      <c r="Z111" s="40">
        <f t="shared" si="32"/>
        <v>4796</v>
      </c>
      <c r="AA111" s="40">
        <f t="shared" si="33"/>
        <v>4700</v>
      </c>
      <c r="AB111" s="40">
        <f t="shared" si="34"/>
        <v>3525</v>
      </c>
    </row>
    <row r="112" spans="1:28" ht="15.75" customHeight="1">
      <c r="A112" s="11" t="s">
        <v>477</v>
      </c>
      <c r="B112" s="12" t="s">
        <v>478</v>
      </c>
      <c r="C112" s="13" t="s">
        <v>25</v>
      </c>
      <c r="D112" s="13" t="s">
        <v>410</v>
      </c>
      <c r="E112" s="29">
        <v>44557</v>
      </c>
      <c r="F112" s="15">
        <f t="shared" si="0"/>
        <v>2021</v>
      </c>
      <c r="G112" s="16">
        <f t="shared" si="1"/>
        <v>52</v>
      </c>
      <c r="H112" s="16">
        <f t="shared" si="2"/>
        <v>1</v>
      </c>
      <c r="I112" s="16" t="str">
        <f>VLOOKUP(H112,'Дни недели сортировка'!A:B,2,FALSE)</f>
        <v>01-понедельник</v>
      </c>
      <c r="J112" s="30">
        <v>0.67083333333333328</v>
      </c>
      <c r="K112" s="12" t="s">
        <v>27</v>
      </c>
      <c r="L112" s="12" t="s">
        <v>479</v>
      </c>
      <c r="M112" s="12" t="s">
        <v>35</v>
      </c>
      <c r="N112" s="18">
        <v>1352779</v>
      </c>
      <c r="O112" s="18">
        <f t="shared" si="53"/>
        <v>1325723.42</v>
      </c>
      <c r="P112" s="18">
        <f>O112*17.43%</f>
        <v>231073.592106</v>
      </c>
      <c r="Q112" s="18">
        <f>P112*12%</f>
        <v>27728.831052719997</v>
      </c>
      <c r="R112" s="18">
        <f t="shared" si="4"/>
        <v>27055.580000000075</v>
      </c>
      <c r="S112" s="18">
        <f t="shared" si="54"/>
        <v>4507.4596280000005</v>
      </c>
      <c r="T112" s="12" t="s">
        <v>480</v>
      </c>
      <c r="U112" s="18">
        <v>26896.966121138397</v>
      </c>
      <c r="V112" s="19">
        <v>11218.724569126825</v>
      </c>
      <c r="W112" s="19">
        <v>9760.2903751403373</v>
      </c>
      <c r="X112" s="19">
        <v>7125.0119738524463</v>
      </c>
      <c r="Y112" s="40">
        <f t="shared" si="31"/>
        <v>26896</v>
      </c>
      <c r="Z112" s="40">
        <f t="shared" si="32"/>
        <v>11218</v>
      </c>
      <c r="AA112" s="40">
        <f t="shared" si="33"/>
        <v>9760</v>
      </c>
      <c r="AB112" s="40">
        <f t="shared" si="34"/>
        <v>7125</v>
      </c>
    </row>
    <row r="113" spans="1:28" ht="15.75" customHeight="1">
      <c r="A113" s="11" t="s">
        <v>481</v>
      </c>
      <c r="B113" s="12" t="s">
        <v>482</v>
      </c>
      <c r="C113" s="13" t="s">
        <v>25</v>
      </c>
      <c r="D113" s="13" t="s">
        <v>26</v>
      </c>
      <c r="E113" s="14">
        <v>44498</v>
      </c>
      <c r="F113" s="15">
        <f t="shared" si="0"/>
        <v>2021</v>
      </c>
      <c r="G113" s="16">
        <f t="shared" si="1"/>
        <v>44</v>
      </c>
      <c r="H113" s="16">
        <f t="shared" si="2"/>
        <v>5</v>
      </c>
      <c r="I113" s="16" t="str">
        <f>VLOOKUP(H113,'Дни недели сортировка'!A:B,2,FALSE)</f>
        <v>05-пятница</v>
      </c>
      <c r="J113" s="17">
        <v>0.75</v>
      </c>
      <c r="K113" s="12" t="s">
        <v>27</v>
      </c>
      <c r="L113" s="12" t="s">
        <v>483</v>
      </c>
      <c r="M113" s="12" t="s">
        <v>41</v>
      </c>
      <c r="N113" s="18">
        <v>2470588</v>
      </c>
      <c r="O113" s="18">
        <f>N113-1.5%*N113</f>
        <v>2433529.1800000002</v>
      </c>
      <c r="P113" s="18">
        <f>O113*11.05%</f>
        <v>268904.97439000005</v>
      </c>
      <c r="Q113" s="18">
        <f>P113*9%</f>
        <v>24201.447695100003</v>
      </c>
      <c r="R113" s="18">
        <f t="shared" si="4"/>
        <v>37058.819999999832</v>
      </c>
      <c r="S113" s="18">
        <f>O113*0.29%</f>
        <v>7057.2346219999999</v>
      </c>
      <c r="T113" s="12" t="s">
        <v>484</v>
      </c>
      <c r="U113" s="18">
        <v>20571.230540835004</v>
      </c>
      <c r="V113" s="19">
        <v>12464.108584691929</v>
      </c>
      <c r="W113" s="19">
        <v>10594.492296988139</v>
      </c>
      <c r="X113" s="19">
        <v>8369.6489146206295</v>
      </c>
      <c r="Y113" s="40">
        <f t="shared" si="31"/>
        <v>20571</v>
      </c>
      <c r="Z113" s="40">
        <f t="shared" si="32"/>
        <v>12464</v>
      </c>
      <c r="AA113" s="40">
        <f t="shared" si="33"/>
        <v>10594</v>
      </c>
      <c r="AB113" s="40">
        <f t="shared" si="34"/>
        <v>8369</v>
      </c>
    </row>
    <row r="114" spans="1:28" ht="15.75" customHeight="1">
      <c r="A114" s="11" t="s">
        <v>485</v>
      </c>
      <c r="B114" s="12" t="s">
        <v>486</v>
      </c>
      <c r="C114" s="13" t="s">
        <v>25</v>
      </c>
      <c r="D114" s="13" t="s">
        <v>33</v>
      </c>
      <c r="E114" s="14">
        <v>44512</v>
      </c>
      <c r="F114" s="15">
        <f t="shared" si="0"/>
        <v>2021</v>
      </c>
      <c r="G114" s="16">
        <f t="shared" si="1"/>
        <v>46</v>
      </c>
      <c r="H114" s="16">
        <f t="shared" si="2"/>
        <v>5</v>
      </c>
      <c r="I114" s="16" t="str">
        <f>VLOOKUP(H114,'Дни недели сортировка'!A:B,2,FALSE)</f>
        <v>05-пятница</v>
      </c>
      <c r="J114" s="17">
        <v>0.56527777777777777</v>
      </c>
      <c r="K114" s="12" t="s">
        <v>27</v>
      </c>
      <c r="L114" s="12" t="s">
        <v>487</v>
      </c>
      <c r="M114" s="12" t="s">
        <v>29</v>
      </c>
      <c r="N114" s="18">
        <v>1813178</v>
      </c>
      <c r="O114" s="18">
        <f t="shared" ref="O114:O115" si="55">N114-2%*N114</f>
        <v>1776914.44</v>
      </c>
      <c r="P114" s="18">
        <f>O114*9.2%</f>
        <v>163476.12847999998</v>
      </c>
      <c r="Q114" s="18">
        <f>P114*8.4%</f>
        <v>13731.99479232</v>
      </c>
      <c r="R114" s="18">
        <f t="shared" si="4"/>
        <v>36263.560000000056</v>
      </c>
      <c r="S114" s="18">
        <f>O114*0.28%</f>
        <v>4975.3604320000004</v>
      </c>
      <c r="T114" s="12" t="s">
        <v>488</v>
      </c>
      <c r="U114" s="18">
        <v>12633.435208934401</v>
      </c>
      <c r="V114" s="19">
        <v>4887.8760823367202</v>
      </c>
      <c r="W114" s="19">
        <v>4086.2644048334978</v>
      </c>
      <c r="X114" s="19">
        <v>3391.5994560118029</v>
      </c>
      <c r="Y114" s="40">
        <f t="shared" si="31"/>
        <v>12633</v>
      </c>
      <c r="Z114" s="40">
        <f t="shared" si="32"/>
        <v>4887</v>
      </c>
      <c r="AA114" s="40">
        <f t="shared" si="33"/>
        <v>4086</v>
      </c>
      <c r="AB114" s="40">
        <f t="shared" si="34"/>
        <v>3391</v>
      </c>
    </row>
    <row r="115" spans="1:28" ht="15.75" customHeight="1">
      <c r="A115" s="11" t="s">
        <v>489</v>
      </c>
      <c r="B115" s="12" t="s">
        <v>490</v>
      </c>
      <c r="C115" s="13" t="s">
        <v>25</v>
      </c>
      <c r="D115" s="13" t="s">
        <v>410</v>
      </c>
      <c r="E115" s="29">
        <v>44553</v>
      </c>
      <c r="F115" s="15">
        <f t="shared" si="0"/>
        <v>2021</v>
      </c>
      <c r="G115" s="16">
        <f t="shared" si="1"/>
        <v>51</v>
      </c>
      <c r="H115" s="16">
        <f t="shared" si="2"/>
        <v>4</v>
      </c>
      <c r="I115" s="16" t="str">
        <f>VLOOKUP(H115,'Дни недели сортировка'!A:B,2,FALSE)</f>
        <v>04-четверг</v>
      </c>
      <c r="J115" s="30">
        <v>0.61319444444444449</v>
      </c>
      <c r="K115" s="12" t="s">
        <v>27</v>
      </c>
      <c r="L115" s="12" t="s">
        <v>491</v>
      </c>
      <c r="M115" s="12" t="s">
        <v>35</v>
      </c>
      <c r="N115" s="18">
        <v>2223699</v>
      </c>
      <c r="O115" s="18">
        <f t="shared" si="55"/>
        <v>2179225.02</v>
      </c>
      <c r="P115" s="18">
        <f>O115*17.43%</f>
        <v>379838.92098600004</v>
      </c>
      <c r="Q115" s="18">
        <f>P115*3.9%</f>
        <v>14813.717918454002</v>
      </c>
      <c r="R115" s="18">
        <f t="shared" si="4"/>
        <v>44473.979999999981</v>
      </c>
      <c r="S115" s="18">
        <f>O115*0.25%</f>
        <v>5448.0625500000006</v>
      </c>
      <c r="T115" s="12" t="s">
        <v>492</v>
      </c>
      <c r="U115" s="18">
        <v>13776.757664162222</v>
      </c>
      <c r="V115" s="19">
        <v>4761.2474487344634</v>
      </c>
      <c r="W115" s="19">
        <v>3866.1329283723844</v>
      </c>
      <c r="X115" s="19">
        <v>3170.2290012653552</v>
      </c>
      <c r="Y115" s="40">
        <f t="shared" si="31"/>
        <v>13776</v>
      </c>
      <c r="Z115" s="40">
        <f t="shared" si="32"/>
        <v>4761</v>
      </c>
      <c r="AA115" s="40">
        <f t="shared" si="33"/>
        <v>3866</v>
      </c>
      <c r="AB115" s="40">
        <f t="shared" si="34"/>
        <v>3170</v>
      </c>
    </row>
    <row r="116" spans="1:28" ht="15.75" customHeight="1">
      <c r="A116" s="11" t="s">
        <v>493</v>
      </c>
      <c r="B116" s="12" t="s">
        <v>494</v>
      </c>
      <c r="C116" s="13" t="s">
        <v>25</v>
      </c>
      <c r="D116" s="13" t="s">
        <v>410</v>
      </c>
      <c r="E116" s="29">
        <v>44553</v>
      </c>
      <c r="F116" s="15">
        <f t="shared" si="0"/>
        <v>2021</v>
      </c>
      <c r="G116" s="16">
        <f t="shared" si="1"/>
        <v>51</v>
      </c>
      <c r="H116" s="16">
        <f t="shared" si="2"/>
        <v>4</v>
      </c>
      <c r="I116" s="16" t="str">
        <f>VLOOKUP(H116,'Дни недели сортировка'!A:B,2,FALSE)</f>
        <v>04-четверг</v>
      </c>
      <c r="J116" s="30">
        <v>0.61458333333333337</v>
      </c>
      <c r="K116" s="12" t="s">
        <v>27</v>
      </c>
      <c r="L116" s="12" t="s">
        <v>495</v>
      </c>
      <c r="M116" s="12" t="s">
        <v>41</v>
      </c>
      <c r="N116" s="18">
        <v>1396682</v>
      </c>
      <c r="O116" s="18">
        <f>N116-1.5%*N116</f>
        <v>1375731.77</v>
      </c>
      <c r="P116" s="18">
        <f>O116*11.05%</f>
        <v>152018.36058500002</v>
      </c>
      <c r="Q116" s="18">
        <f>P116*7.2%</f>
        <v>10945.321962120002</v>
      </c>
      <c r="R116" s="18">
        <f t="shared" si="4"/>
        <v>20950.229999999981</v>
      </c>
      <c r="S116" s="18">
        <f>O116*0.24%</f>
        <v>3301.7562479999997</v>
      </c>
      <c r="T116" s="12" t="s">
        <v>496</v>
      </c>
      <c r="U116" s="18">
        <v>9960.242985529203</v>
      </c>
      <c r="V116" s="19">
        <v>2404.4026567067499</v>
      </c>
      <c r="W116" s="19">
        <v>2356.3146035726149</v>
      </c>
      <c r="X116" s="19">
        <v>1861.4885368223659</v>
      </c>
      <c r="Y116" s="40">
        <f t="shared" si="31"/>
        <v>9960</v>
      </c>
      <c r="Z116" s="40">
        <f t="shared" si="32"/>
        <v>2404</v>
      </c>
      <c r="AA116" s="40">
        <f t="shared" si="33"/>
        <v>2356</v>
      </c>
      <c r="AB116" s="40">
        <f t="shared" si="34"/>
        <v>1861</v>
      </c>
    </row>
    <row r="117" spans="1:28" ht="15.75" customHeight="1">
      <c r="A117" s="11" t="s">
        <v>497</v>
      </c>
      <c r="B117" s="12" t="s">
        <v>498</v>
      </c>
      <c r="C117" s="13" t="s">
        <v>25</v>
      </c>
      <c r="D117" s="13" t="s">
        <v>410</v>
      </c>
      <c r="E117" s="29">
        <v>44557</v>
      </c>
      <c r="F117" s="15">
        <f t="shared" si="0"/>
        <v>2021</v>
      </c>
      <c r="G117" s="16">
        <f t="shared" si="1"/>
        <v>52</v>
      </c>
      <c r="H117" s="16">
        <f t="shared" si="2"/>
        <v>1</v>
      </c>
      <c r="I117" s="16" t="str">
        <f>VLOOKUP(H117,'Дни недели сортировка'!A:B,2,FALSE)</f>
        <v>01-понедельник</v>
      </c>
      <c r="J117" s="30">
        <v>0.59375</v>
      </c>
      <c r="K117" s="12" t="s">
        <v>27</v>
      </c>
      <c r="L117" s="12" t="s">
        <v>499</v>
      </c>
      <c r="M117" s="12" t="s">
        <v>29</v>
      </c>
      <c r="N117" s="18">
        <v>868107</v>
      </c>
      <c r="O117" s="18">
        <f t="shared" ref="O117:O118" si="56">N117-2%*N117</f>
        <v>850744.86</v>
      </c>
      <c r="P117" s="18">
        <f>O117*9.2%</f>
        <v>78268.527119999999</v>
      </c>
      <c r="Q117" s="18">
        <f>P117*12%</f>
        <v>9392.2232543999999</v>
      </c>
      <c r="R117" s="18">
        <f t="shared" si="4"/>
        <v>17362.140000000014</v>
      </c>
      <c r="S117" s="18">
        <f>O117*0.29%</f>
        <v>2467.1600939999998</v>
      </c>
      <c r="T117" s="12" t="s">
        <v>500</v>
      </c>
      <c r="U117" s="18">
        <v>8171.2342313279996</v>
      </c>
      <c r="V117" s="19">
        <v>4652.7007713181629</v>
      </c>
      <c r="W117" s="19">
        <v>4047.8496710468016</v>
      </c>
      <c r="X117" s="19">
        <v>3035.887253285101</v>
      </c>
      <c r="Y117" s="40">
        <f t="shared" si="31"/>
        <v>8171</v>
      </c>
      <c r="Z117" s="40">
        <f t="shared" si="32"/>
        <v>4652</v>
      </c>
      <c r="AA117" s="40">
        <f t="shared" si="33"/>
        <v>4047</v>
      </c>
      <c r="AB117" s="40">
        <f t="shared" si="34"/>
        <v>3035</v>
      </c>
    </row>
    <row r="118" spans="1:28" ht="15.75" customHeight="1">
      <c r="A118" s="11" t="s">
        <v>501</v>
      </c>
      <c r="B118" s="12" t="s">
        <v>502</v>
      </c>
      <c r="C118" s="13" t="s">
        <v>25</v>
      </c>
      <c r="D118" s="13" t="s">
        <v>503</v>
      </c>
      <c r="E118" s="29">
        <v>44566</v>
      </c>
      <c r="F118" s="15">
        <f t="shared" si="0"/>
        <v>2022</v>
      </c>
      <c r="G118" s="16">
        <f t="shared" si="1"/>
        <v>1</v>
      </c>
      <c r="H118" s="16">
        <f t="shared" si="2"/>
        <v>3</v>
      </c>
      <c r="I118" s="16" t="str">
        <f>VLOOKUP(H118,'Дни недели сортировка'!A:B,2,FALSE)</f>
        <v>03-среда</v>
      </c>
      <c r="J118" s="30">
        <v>0.50208333333333333</v>
      </c>
      <c r="K118" s="12" t="s">
        <v>27</v>
      </c>
      <c r="L118" s="12" t="s">
        <v>504</v>
      </c>
      <c r="M118" s="12" t="s">
        <v>35</v>
      </c>
      <c r="N118" s="18">
        <v>510034</v>
      </c>
      <c r="O118" s="18">
        <f t="shared" si="56"/>
        <v>499833.32</v>
      </c>
      <c r="P118" s="18">
        <f>O118*11.05%</f>
        <v>55231.581859999998</v>
      </c>
      <c r="Q118" s="18">
        <f>P118*9%</f>
        <v>4970.8423673999996</v>
      </c>
      <c r="R118" s="18">
        <f t="shared" si="4"/>
        <v>10200.679999999993</v>
      </c>
      <c r="S118" s="18">
        <f>O118*0.28%</f>
        <v>1399.5332960000003</v>
      </c>
      <c r="T118" s="12" t="s">
        <v>505</v>
      </c>
      <c r="U118" s="18">
        <v>3429.8812335059993</v>
      </c>
      <c r="V118" s="19">
        <v>890.74015634150794</v>
      </c>
      <c r="W118" s="19">
        <v>757.12913289028177</v>
      </c>
      <c r="X118" s="19">
        <v>552.70426700990572</v>
      </c>
      <c r="Y118" s="40">
        <f t="shared" si="31"/>
        <v>3429</v>
      </c>
      <c r="Z118" s="40">
        <f t="shared" si="32"/>
        <v>890</v>
      </c>
      <c r="AA118" s="40">
        <f t="shared" si="33"/>
        <v>757</v>
      </c>
      <c r="AB118" s="40">
        <f t="shared" si="34"/>
        <v>552</v>
      </c>
    </row>
    <row r="119" spans="1:28" ht="15.75" customHeight="1">
      <c r="A119" s="11" t="s">
        <v>506</v>
      </c>
      <c r="B119" s="12" t="s">
        <v>507</v>
      </c>
      <c r="C119" s="13" t="s">
        <v>25</v>
      </c>
      <c r="D119" s="13" t="s">
        <v>503</v>
      </c>
      <c r="E119" s="29">
        <v>44571</v>
      </c>
      <c r="F119" s="15">
        <f t="shared" si="0"/>
        <v>2022</v>
      </c>
      <c r="G119" s="16">
        <f t="shared" si="1"/>
        <v>2</v>
      </c>
      <c r="H119" s="16">
        <f t="shared" si="2"/>
        <v>1</v>
      </c>
      <c r="I119" s="16" t="str">
        <f>VLOOKUP(H119,'Дни недели сортировка'!A:B,2,FALSE)</f>
        <v>01-понедельник</v>
      </c>
      <c r="J119" s="30">
        <v>0.68888888888888888</v>
      </c>
      <c r="K119" s="12" t="s">
        <v>27</v>
      </c>
      <c r="L119" s="12" t="s">
        <v>508</v>
      </c>
      <c r="M119" s="12" t="s">
        <v>41</v>
      </c>
      <c r="N119" s="18">
        <v>542459</v>
      </c>
      <c r="O119" s="18">
        <f>N119-1.5%*N119</f>
        <v>534322.11499999999</v>
      </c>
      <c r="P119" s="18">
        <f>O119*18%</f>
        <v>96177.9807</v>
      </c>
      <c r="Q119" s="18">
        <f>P119*8.4%</f>
        <v>8078.9503788000002</v>
      </c>
      <c r="R119" s="18">
        <f t="shared" si="4"/>
        <v>8136.8850000000093</v>
      </c>
      <c r="S119" s="18">
        <f>O119*0.25%</f>
        <v>1335.8052875000001</v>
      </c>
      <c r="T119" s="12" t="s">
        <v>509</v>
      </c>
      <c r="U119" s="18">
        <v>7836.5818674359998</v>
      </c>
      <c r="V119" s="19">
        <v>3268.6382969075553</v>
      </c>
      <c r="W119" s="19">
        <v>2778.3425523714218</v>
      </c>
      <c r="X119" s="19">
        <v>2194.8906163734232</v>
      </c>
      <c r="Y119" s="40">
        <f t="shared" si="31"/>
        <v>7836</v>
      </c>
      <c r="Z119" s="40">
        <f t="shared" si="32"/>
        <v>3268</v>
      </c>
      <c r="AA119" s="40">
        <f t="shared" si="33"/>
        <v>2778</v>
      </c>
      <c r="AB119" s="40">
        <f t="shared" si="34"/>
        <v>2194</v>
      </c>
    </row>
    <row r="120" spans="1:28" ht="15.75" customHeight="1">
      <c r="A120" s="11" t="s">
        <v>510</v>
      </c>
      <c r="B120" s="12" t="s">
        <v>511</v>
      </c>
      <c r="C120" s="13" t="s">
        <v>25</v>
      </c>
      <c r="D120" s="13" t="s">
        <v>503</v>
      </c>
      <c r="E120" s="29">
        <v>44571</v>
      </c>
      <c r="F120" s="15">
        <f t="shared" si="0"/>
        <v>2022</v>
      </c>
      <c r="G120" s="16">
        <f t="shared" si="1"/>
        <v>2</v>
      </c>
      <c r="H120" s="16">
        <f t="shared" si="2"/>
        <v>1</v>
      </c>
      <c r="I120" s="16" t="str">
        <f>VLOOKUP(H120,'Дни недели сортировка'!A:B,2,FALSE)</f>
        <v>01-понедельник</v>
      </c>
      <c r="J120" s="30">
        <v>0.62430555555555556</v>
      </c>
      <c r="K120" s="12" t="s">
        <v>27</v>
      </c>
      <c r="L120" s="12" t="s">
        <v>512</v>
      </c>
      <c r="M120" s="12" t="s">
        <v>29</v>
      </c>
      <c r="N120" s="18">
        <v>553237</v>
      </c>
      <c r="O120" s="18">
        <f t="shared" ref="O120:O121" si="57">N120-2%*N120</f>
        <v>542172.26</v>
      </c>
      <c r="P120" s="18">
        <f>O120*11.05%</f>
        <v>59910.034729999999</v>
      </c>
      <c r="Q120" s="18">
        <f>P120*3.9%</f>
        <v>2336.4913544699998</v>
      </c>
      <c r="R120" s="18">
        <f t="shared" si="4"/>
        <v>11064.739999999991</v>
      </c>
      <c r="S120" s="18">
        <f>O120*0.24%</f>
        <v>1301.2134239999998</v>
      </c>
      <c r="T120" s="12" t="s">
        <v>513</v>
      </c>
      <c r="U120" s="18">
        <v>1986.0176512994997</v>
      </c>
      <c r="V120" s="19">
        <v>1203.3280949223667</v>
      </c>
      <c r="W120" s="19">
        <v>1005.9822873550986</v>
      </c>
      <c r="X120" s="19">
        <v>834.96529850473178</v>
      </c>
      <c r="Y120" s="40">
        <f t="shared" si="31"/>
        <v>1986</v>
      </c>
      <c r="Z120" s="40">
        <f t="shared" si="32"/>
        <v>1203</v>
      </c>
      <c r="AA120" s="40">
        <f t="shared" si="33"/>
        <v>1005</v>
      </c>
      <c r="AB120" s="40">
        <f t="shared" si="34"/>
        <v>834</v>
      </c>
    </row>
    <row r="121" spans="1:28" ht="15.75" customHeight="1">
      <c r="A121" s="11" t="s">
        <v>514</v>
      </c>
      <c r="B121" s="12" t="s">
        <v>515</v>
      </c>
      <c r="C121" s="13" t="s">
        <v>25</v>
      </c>
      <c r="D121" s="13" t="s">
        <v>503</v>
      </c>
      <c r="E121" s="29">
        <v>44571</v>
      </c>
      <c r="F121" s="15">
        <f t="shared" si="0"/>
        <v>2022</v>
      </c>
      <c r="G121" s="16">
        <f t="shared" si="1"/>
        <v>2</v>
      </c>
      <c r="H121" s="16">
        <f t="shared" si="2"/>
        <v>1</v>
      </c>
      <c r="I121" s="16" t="str">
        <f>VLOOKUP(H121,'Дни недели сортировка'!A:B,2,FALSE)</f>
        <v>01-понедельник</v>
      </c>
      <c r="J121" s="30">
        <v>0.66805555555555551</v>
      </c>
      <c r="K121" s="12" t="s">
        <v>27</v>
      </c>
      <c r="L121" s="12" t="s">
        <v>516</v>
      </c>
      <c r="M121" s="12" t="s">
        <v>35</v>
      </c>
      <c r="N121" s="18">
        <v>838103</v>
      </c>
      <c r="O121" s="18">
        <f t="shared" si="57"/>
        <v>821340.94</v>
      </c>
      <c r="P121" s="18">
        <f>O121*18%</f>
        <v>147841.36919999999</v>
      </c>
      <c r="Q121" s="18">
        <f>P121*7.2%</f>
        <v>10644.5785824</v>
      </c>
      <c r="R121" s="18">
        <f t="shared" si="4"/>
        <v>16762.060000000056</v>
      </c>
      <c r="S121" s="18">
        <f>O121*0.29%</f>
        <v>2381.8887259999997</v>
      </c>
      <c r="T121" s="12" t="s">
        <v>517</v>
      </c>
      <c r="U121" s="18">
        <v>9793.0122958079992</v>
      </c>
      <c r="V121" s="19">
        <v>3788.916457248115</v>
      </c>
      <c r="W121" s="19">
        <v>3076.6001632854695</v>
      </c>
      <c r="X121" s="19">
        <v>2522.812133894085</v>
      </c>
      <c r="Y121" s="40">
        <f t="shared" si="31"/>
        <v>9793</v>
      </c>
      <c r="Z121" s="40">
        <f t="shared" si="32"/>
        <v>3788</v>
      </c>
      <c r="AA121" s="40">
        <f t="shared" si="33"/>
        <v>3076</v>
      </c>
      <c r="AB121" s="40">
        <f t="shared" si="34"/>
        <v>2522</v>
      </c>
    </row>
    <row r="122" spans="1:28" ht="15.75" customHeight="1">
      <c r="A122" s="11" t="s">
        <v>518</v>
      </c>
      <c r="B122" s="12" t="s">
        <v>519</v>
      </c>
      <c r="C122" s="13" t="s">
        <v>25</v>
      </c>
      <c r="D122" s="13" t="s">
        <v>503</v>
      </c>
      <c r="E122" s="29">
        <v>44571</v>
      </c>
      <c r="F122" s="15">
        <f t="shared" si="0"/>
        <v>2022</v>
      </c>
      <c r="G122" s="16">
        <f t="shared" si="1"/>
        <v>2</v>
      </c>
      <c r="H122" s="16">
        <f t="shared" si="2"/>
        <v>1</v>
      </c>
      <c r="I122" s="16" t="str">
        <f>VLOOKUP(H122,'Дни недели сортировка'!A:B,2,FALSE)</f>
        <v>01-понедельник</v>
      </c>
      <c r="J122" s="30">
        <v>0.64722222222222225</v>
      </c>
      <c r="K122" s="12" t="s">
        <v>27</v>
      </c>
      <c r="L122" s="12" t="s">
        <v>520</v>
      </c>
      <c r="M122" s="12" t="s">
        <v>29</v>
      </c>
      <c r="N122" s="18">
        <v>2289758</v>
      </c>
      <c r="O122" s="18">
        <f>N122-1.5%*N122</f>
        <v>2255411.63</v>
      </c>
      <c r="P122" s="18">
        <f>O122*17.43%</f>
        <v>393118.24710899999</v>
      </c>
      <c r="Q122" s="18">
        <f>P122*12%</f>
        <v>47174.18965308</v>
      </c>
      <c r="R122" s="18">
        <f t="shared" si="4"/>
        <v>34346.370000000112</v>
      </c>
      <c r="S122" s="18">
        <f>O122*0.28%</f>
        <v>6315.1525640000009</v>
      </c>
      <c r="T122" s="12" t="s">
        <v>521</v>
      </c>
      <c r="U122" s="18">
        <v>43871.996377364405</v>
      </c>
      <c r="V122" s="19">
        <v>15162.161948017138</v>
      </c>
      <c r="W122" s="19">
        <v>14858.918709056794</v>
      </c>
      <c r="X122" s="19">
        <v>11738.545780154867</v>
      </c>
      <c r="Y122" s="40">
        <f t="shared" si="31"/>
        <v>43871</v>
      </c>
      <c r="Z122" s="40">
        <f t="shared" si="32"/>
        <v>15162</v>
      </c>
      <c r="AA122" s="40">
        <f t="shared" si="33"/>
        <v>14858</v>
      </c>
      <c r="AB122" s="40">
        <f t="shared" si="34"/>
        <v>11738</v>
      </c>
    </row>
    <row r="123" spans="1:28" ht="15.75" customHeight="1">
      <c r="A123" s="11" t="s">
        <v>522</v>
      </c>
      <c r="B123" s="12" t="s">
        <v>523</v>
      </c>
      <c r="C123" s="13" t="s">
        <v>25</v>
      </c>
      <c r="D123" s="13" t="s">
        <v>503</v>
      </c>
      <c r="E123" s="29">
        <v>44574</v>
      </c>
      <c r="F123" s="15">
        <f t="shared" si="0"/>
        <v>2022</v>
      </c>
      <c r="G123" s="16">
        <f t="shared" si="1"/>
        <v>2</v>
      </c>
      <c r="H123" s="16">
        <f t="shared" si="2"/>
        <v>4</v>
      </c>
      <c r="I123" s="16" t="str">
        <f>VLOOKUP(H123,'Дни недели сортировка'!A:B,2,FALSE)</f>
        <v>04-четверг</v>
      </c>
      <c r="J123" s="30">
        <v>0.54374999999999996</v>
      </c>
      <c r="K123" s="12" t="s">
        <v>27</v>
      </c>
      <c r="L123" s="12" t="s">
        <v>524</v>
      </c>
      <c r="M123" s="12" t="s">
        <v>35</v>
      </c>
      <c r="N123" s="18">
        <v>2395740</v>
      </c>
      <c r="O123" s="18">
        <f t="shared" ref="O123:O124" si="58">N123-2%*N123</f>
        <v>2347825.2000000002</v>
      </c>
      <c r="P123" s="18">
        <f>O123*11.05%</f>
        <v>259434.68460000004</v>
      </c>
      <c r="Q123" s="18">
        <f>P123*9%</f>
        <v>23349.121614000003</v>
      </c>
      <c r="R123" s="18">
        <f t="shared" si="4"/>
        <v>47914.799999999814</v>
      </c>
      <c r="S123" s="18">
        <f>O123*0.25%</f>
        <v>5869.563000000001</v>
      </c>
      <c r="T123" s="12" t="s">
        <v>525</v>
      </c>
      <c r="U123" s="18">
        <v>21247.700668740003</v>
      </c>
      <c r="V123" s="19">
        <v>5129.1949414338369</v>
      </c>
      <c r="W123" s="19">
        <v>4462.3995990474377</v>
      </c>
      <c r="X123" s="19">
        <v>3346.7996992855783</v>
      </c>
      <c r="Y123" s="40">
        <f t="shared" si="31"/>
        <v>21247</v>
      </c>
      <c r="Z123" s="40">
        <f t="shared" si="32"/>
        <v>5129</v>
      </c>
      <c r="AA123" s="40">
        <f t="shared" si="33"/>
        <v>4462</v>
      </c>
      <c r="AB123" s="40">
        <f t="shared" si="34"/>
        <v>3346</v>
      </c>
    </row>
    <row r="124" spans="1:28" ht="15.75" customHeight="1">
      <c r="A124" s="11" t="s">
        <v>526</v>
      </c>
      <c r="B124" s="12" t="s">
        <v>527</v>
      </c>
      <c r="C124" s="13" t="s">
        <v>25</v>
      </c>
      <c r="D124" s="13" t="s">
        <v>503</v>
      </c>
      <c r="E124" s="29">
        <v>44574</v>
      </c>
      <c r="F124" s="15">
        <f t="shared" si="0"/>
        <v>2022</v>
      </c>
      <c r="G124" s="16">
        <f t="shared" si="1"/>
        <v>2</v>
      </c>
      <c r="H124" s="16">
        <f t="shared" si="2"/>
        <v>4</v>
      </c>
      <c r="I124" s="16" t="str">
        <f>VLOOKUP(H124,'Дни недели сортировка'!A:B,2,FALSE)</f>
        <v>04-четверг</v>
      </c>
      <c r="J124" s="30">
        <v>0.54374999999999996</v>
      </c>
      <c r="K124" s="12" t="s">
        <v>27</v>
      </c>
      <c r="L124" s="12" t="s">
        <v>528</v>
      </c>
      <c r="M124" s="12" t="s">
        <v>41</v>
      </c>
      <c r="N124" s="18">
        <v>1539816</v>
      </c>
      <c r="O124" s="18">
        <f t="shared" si="58"/>
        <v>1509019.68</v>
      </c>
      <c r="P124" s="18">
        <f>O124*9.2%</f>
        <v>138829.81055999998</v>
      </c>
      <c r="Q124" s="18">
        <f>P124*8.4%</f>
        <v>11661.70408704</v>
      </c>
      <c r="R124" s="18">
        <f t="shared" si="4"/>
        <v>30796.320000000065</v>
      </c>
      <c r="S124" s="18">
        <f>O124*0.24%</f>
        <v>3621.6472319999993</v>
      </c>
      <c r="T124" s="12" t="s">
        <v>529</v>
      </c>
      <c r="U124" s="18">
        <v>10145.682555724799</v>
      </c>
      <c r="V124" s="19">
        <v>5776.9516472297009</v>
      </c>
      <c r="W124" s="19">
        <v>4910.4089001452458</v>
      </c>
      <c r="X124" s="19">
        <v>3584.5984971060293</v>
      </c>
      <c r="Y124" s="40">
        <f t="shared" si="31"/>
        <v>10145</v>
      </c>
      <c r="Z124" s="40">
        <f t="shared" si="32"/>
        <v>5776</v>
      </c>
      <c r="AA124" s="40">
        <f t="shared" si="33"/>
        <v>4910</v>
      </c>
      <c r="AB124" s="40">
        <f t="shared" si="34"/>
        <v>3584</v>
      </c>
    </row>
    <row r="125" spans="1:28" ht="15.75" customHeight="1">
      <c r="A125" s="11" t="s">
        <v>530</v>
      </c>
      <c r="B125" s="12" t="s">
        <v>531</v>
      </c>
      <c r="C125" s="13" t="s">
        <v>25</v>
      </c>
      <c r="D125" s="13" t="s">
        <v>33</v>
      </c>
      <c r="E125" s="14">
        <v>44512</v>
      </c>
      <c r="F125" s="15">
        <f t="shared" si="0"/>
        <v>2021</v>
      </c>
      <c r="G125" s="16">
        <f t="shared" si="1"/>
        <v>46</v>
      </c>
      <c r="H125" s="16">
        <f t="shared" si="2"/>
        <v>5</v>
      </c>
      <c r="I125" s="16" t="str">
        <f>VLOOKUP(H125,'Дни недели сортировка'!A:B,2,FALSE)</f>
        <v>05-пятница</v>
      </c>
      <c r="J125" s="17">
        <v>0.56527777777777777</v>
      </c>
      <c r="K125" s="12" t="s">
        <v>27</v>
      </c>
      <c r="L125" s="12" t="s">
        <v>532</v>
      </c>
      <c r="M125" s="12" t="s">
        <v>29</v>
      </c>
      <c r="N125" s="18">
        <v>1321760</v>
      </c>
      <c r="O125" s="18">
        <f>N125-1.5%*N125</f>
        <v>1301933.6000000001</v>
      </c>
      <c r="P125" s="18">
        <f>O125*17.43%</f>
        <v>226927.02648000003</v>
      </c>
      <c r="Q125" s="18">
        <f>P125*3.9%</f>
        <v>8850.1540327200019</v>
      </c>
      <c r="R125" s="18">
        <f t="shared" si="4"/>
        <v>19826.399999999907</v>
      </c>
      <c r="S125" s="18">
        <f>O125*0.29%</f>
        <v>3775.6074400000002</v>
      </c>
      <c r="T125" s="12" t="s">
        <v>533</v>
      </c>
      <c r="U125" s="18">
        <v>6106.6062825768004</v>
      </c>
      <c r="V125" s="19">
        <v>1585.8856515851953</v>
      </c>
      <c r="W125" s="19">
        <v>1325.8004047252232</v>
      </c>
      <c r="X125" s="19">
        <v>1047.3823197329264</v>
      </c>
      <c r="Y125" s="40">
        <f t="shared" si="31"/>
        <v>6106</v>
      </c>
      <c r="Z125" s="40">
        <f t="shared" si="32"/>
        <v>1585</v>
      </c>
      <c r="AA125" s="40">
        <f t="shared" si="33"/>
        <v>1325</v>
      </c>
      <c r="AB125" s="40">
        <f t="shared" si="34"/>
        <v>1047</v>
      </c>
    </row>
    <row r="126" spans="1:28" ht="15.75" customHeight="1">
      <c r="A126" s="11" t="s">
        <v>534</v>
      </c>
      <c r="B126" s="12" t="s">
        <v>535</v>
      </c>
      <c r="C126" s="13" t="s">
        <v>25</v>
      </c>
      <c r="D126" s="13" t="s">
        <v>503</v>
      </c>
      <c r="E126" s="29">
        <v>44574</v>
      </c>
      <c r="F126" s="15">
        <f t="shared" si="0"/>
        <v>2022</v>
      </c>
      <c r="G126" s="16">
        <f t="shared" si="1"/>
        <v>2</v>
      </c>
      <c r="H126" s="16">
        <f t="shared" si="2"/>
        <v>4</v>
      </c>
      <c r="I126" s="16" t="str">
        <f>VLOOKUP(H126,'Дни недели сортировка'!A:B,2,FALSE)</f>
        <v>04-четверг</v>
      </c>
      <c r="J126" s="30">
        <v>0.54374999999999996</v>
      </c>
      <c r="K126" s="12" t="s">
        <v>27</v>
      </c>
      <c r="L126" s="12" t="s">
        <v>536</v>
      </c>
      <c r="M126" s="12" t="s">
        <v>35</v>
      </c>
      <c r="N126" s="18">
        <v>1839175</v>
      </c>
      <c r="O126" s="18">
        <f t="shared" ref="O126:O127" si="59">N126-2%*N126</f>
        <v>1802391.5</v>
      </c>
      <c r="P126" s="18">
        <f>O126*11.05%</f>
        <v>199164.26075000002</v>
      </c>
      <c r="Q126" s="18">
        <f>P126*7.2%</f>
        <v>14339.826774000003</v>
      </c>
      <c r="R126" s="18">
        <f t="shared" si="4"/>
        <v>36783.5</v>
      </c>
      <c r="S126" s="18">
        <f t="shared" ref="S126:S136" si="60">O126*0.15%</f>
        <v>2703.58725</v>
      </c>
      <c r="T126" s="12" t="s">
        <v>537</v>
      </c>
      <c r="U126" s="18">
        <v>13909.631970780003</v>
      </c>
      <c r="V126" s="19">
        <v>5801.7074950123388</v>
      </c>
      <c r="W126" s="19">
        <v>4710.9864859500194</v>
      </c>
      <c r="X126" s="19">
        <v>3910.1187833385161</v>
      </c>
      <c r="Y126" s="40">
        <f t="shared" si="31"/>
        <v>13909</v>
      </c>
      <c r="Z126" s="40">
        <f t="shared" si="32"/>
        <v>5801</v>
      </c>
      <c r="AA126" s="40">
        <f t="shared" si="33"/>
        <v>4710</v>
      </c>
      <c r="AB126" s="40">
        <f t="shared" si="34"/>
        <v>3910</v>
      </c>
    </row>
    <row r="127" spans="1:28" ht="15.75" customHeight="1">
      <c r="A127" s="11" t="s">
        <v>538</v>
      </c>
      <c r="B127" s="12" t="s">
        <v>539</v>
      </c>
      <c r="C127" s="13" t="s">
        <v>25</v>
      </c>
      <c r="D127" s="13" t="s">
        <v>503</v>
      </c>
      <c r="E127" s="29">
        <v>44574</v>
      </c>
      <c r="F127" s="15">
        <f t="shared" si="0"/>
        <v>2022</v>
      </c>
      <c r="G127" s="16">
        <f t="shared" si="1"/>
        <v>2</v>
      </c>
      <c r="H127" s="16">
        <f t="shared" si="2"/>
        <v>4</v>
      </c>
      <c r="I127" s="16" t="str">
        <f>VLOOKUP(H127,'Дни недели сортировка'!A:B,2,FALSE)</f>
        <v>04-четверг</v>
      </c>
      <c r="J127" s="30">
        <v>0.54374999999999996</v>
      </c>
      <c r="K127" s="12" t="s">
        <v>27</v>
      </c>
      <c r="L127" s="12" t="s">
        <v>540</v>
      </c>
      <c r="M127" s="12" t="s">
        <v>41</v>
      </c>
      <c r="N127" s="18">
        <v>1953295</v>
      </c>
      <c r="O127" s="18">
        <f t="shared" si="59"/>
        <v>1914229.1</v>
      </c>
      <c r="P127" s="18">
        <f>O127*9.2%</f>
        <v>176109.0772</v>
      </c>
      <c r="Q127" s="18">
        <f>P127*12%</f>
        <v>21133.089263999998</v>
      </c>
      <c r="R127" s="18">
        <f t="shared" si="4"/>
        <v>39065.899999999907</v>
      </c>
      <c r="S127" s="18">
        <f t="shared" si="60"/>
        <v>2871.3436500000003</v>
      </c>
      <c r="T127" s="12" t="s">
        <v>541</v>
      </c>
      <c r="U127" s="18">
        <v>17963.125874399997</v>
      </c>
      <c r="V127" s="19">
        <v>10883.857967298958</v>
      </c>
      <c r="W127" s="19">
        <v>10666.180807952978</v>
      </c>
      <c r="X127" s="19">
        <v>8746.268262521442</v>
      </c>
      <c r="Y127" s="40">
        <f t="shared" si="31"/>
        <v>17963</v>
      </c>
      <c r="Z127" s="40">
        <f t="shared" si="32"/>
        <v>10883</v>
      </c>
      <c r="AA127" s="40">
        <f t="shared" si="33"/>
        <v>10666</v>
      </c>
      <c r="AB127" s="40">
        <f t="shared" si="34"/>
        <v>8746</v>
      </c>
    </row>
    <row r="128" spans="1:28" ht="15.75" customHeight="1">
      <c r="A128" s="11" t="s">
        <v>542</v>
      </c>
      <c r="B128" s="12" t="s">
        <v>543</v>
      </c>
      <c r="C128" s="13" t="s">
        <v>25</v>
      </c>
      <c r="D128" s="13" t="s">
        <v>503</v>
      </c>
      <c r="E128" s="29">
        <v>44578</v>
      </c>
      <c r="F128" s="15">
        <f t="shared" si="0"/>
        <v>2022</v>
      </c>
      <c r="G128" s="16">
        <f t="shared" si="1"/>
        <v>3</v>
      </c>
      <c r="H128" s="16">
        <f t="shared" si="2"/>
        <v>1</v>
      </c>
      <c r="I128" s="16" t="str">
        <f>VLOOKUP(H128,'Дни недели сортировка'!A:B,2,FALSE)</f>
        <v>01-понедельник</v>
      </c>
      <c r="J128" s="30">
        <v>0.65833333333333333</v>
      </c>
      <c r="K128" s="12" t="s">
        <v>27</v>
      </c>
      <c r="L128" s="12" t="s">
        <v>544</v>
      </c>
      <c r="M128" s="12" t="s">
        <v>29</v>
      </c>
      <c r="N128" s="18">
        <v>1616729</v>
      </c>
      <c r="O128" s="18">
        <f>N128-1.5%*N128</f>
        <v>1592478.0649999999</v>
      </c>
      <c r="P128" s="18">
        <f>O128*11.05%</f>
        <v>175968.82618249999</v>
      </c>
      <c r="Q128" s="18">
        <f>P128*9%</f>
        <v>15837.194356425</v>
      </c>
      <c r="R128" s="18">
        <f t="shared" si="4"/>
        <v>24250.935000000056</v>
      </c>
      <c r="S128" s="18">
        <f t="shared" si="60"/>
        <v>2388.7170974999999</v>
      </c>
      <c r="T128" s="12" t="s">
        <v>545</v>
      </c>
      <c r="U128" s="18">
        <v>14570.218807911</v>
      </c>
      <c r="V128" s="19">
        <v>5637.2176567807655</v>
      </c>
      <c r="W128" s="19">
        <v>4904.3793613992657</v>
      </c>
      <c r="X128" s="19">
        <v>3874.4596955054199</v>
      </c>
      <c r="Y128" s="40">
        <f t="shared" si="31"/>
        <v>14570</v>
      </c>
      <c r="Z128" s="40">
        <f t="shared" si="32"/>
        <v>5637</v>
      </c>
      <c r="AA128" s="40">
        <f t="shared" si="33"/>
        <v>4904</v>
      </c>
      <c r="AB128" s="40">
        <f t="shared" si="34"/>
        <v>3874</v>
      </c>
    </row>
    <row r="129" spans="1:28" ht="15.75" customHeight="1">
      <c r="A129" s="11" t="s">
        <v>546</v>
      </c>
      <c r="B129" s="12" t="s">
        <v>547</v>
      </c>
      <c r="C129" s="13" t="s">
        <v>25</v>
      </c>
      <c r="D129" s="13" t="s">
        <v>503</v>
      </c>
      <c r="E129" s="29">
        <v>44580</v>
      </c>
      <c r="F129" s="15">
        <f t="shared" si="0"/>
        <v>2022</v>
      </c>
      <c r="G129" s="16">
        <f t="shared" si="1"/>
        <v>3</v>
      </c>
      <c r="H129" s="16">
        <f t="shared" si="2"/>
        <v>3</v>
      </c>
      <c r="I129" s="16" t="str">
        <f>VLOOKUP(H129,'Дни недели сортировка'!A:B,2,FALSE)</f>
        <v>03-среда</v>
      </c>
      <c r="J129" s="30">
        <v>0.75208333333333333</v>
      </c>
      <c r="K129" s="12" t="s">
        <v>27</v>
      </c>
      <c r="L129" s="12" t="s">
        <v>548</v>
      </c>
      <c r="M129" s="12" t="s">
        <v>35</v>
      </c>
      <c r="N129" s="18">
        <v>877792</v>
      </c>
      <c r="O129" s="18">
        <f t="shared" ref="O129:O130" si="61">N129-2%*N129</f>
        <v>860236.16</v>
      </c>
      <c r="P129" s="18">
        <f>O129*18%</f>
        <v>154842.50880000001</v>
      </c>
      <c r="Q129" s="18">
        <f>P129*8.4%</f>
        <v>13006.770739200001</v>
      </c>
      <c r="R129" s="18">
        <f t="shared" si="4"/>
        <v>17555.839999999967</v>
      </c>
      <c r="S129" s="18">
        <f t="shared" si="60"/>
        <v>1290.3542400000001</v>
      </c>
      <c r="T129" s="12" t="s">
        <v>549</v>
      </c>
      <c r="U129" s="18">
        <v>12096.296787456002</v>
      </c>
      <c r="V129" s="19">
        <v>4180.4801697447938</v>
      </c>
      <c r="W129" s="19">
        <v>3553.4081442830748</v>
      </c>
      <c r="X129" s="19">
        <v>2665.0561082123058</v>
      </c>
      <c r="Y129" s="40">
        <f t="shared" si="31"/>
        <v>12096</v>
      </c>
      <c r="Z129" s="40">
        <f t="shared" si="32"/>
        <v>4180</v>
      </c>
      <c r="AA129" s="40">
        <f t="shared" si="33"/>
        <v>3553</v>
      </c>
      <c r="AB129" s="40">
        <f t="shared" si="34"/>
        <v>2665</v>
      </c>
    </row>
    <row r="130" spans="1:28" ht="15.75" customHeight="1">
      <c r="A130" s="11" t="s">
        <v>550</v>
      </c>
      <c r="B130" s="12" t="s">
        <v>551</v>
      </c>
      <c r="C130" s="13" t="s">
        <v>25</v>
      </c>
      <c r="D130" s="13" t="s">
        <v>503</v>
      </c>
      <c r="E130" s="29">
        <v>44580</v>
      </c>
      <c r="F130" s="15">
        <f t="shared" si="0"/>
        <v>2022</v>
      </c>
      <c r="G130" s="16">
        <f t="shared" si="1"/>
        <v>3</v>
      </c>
      <c r="H130" s="16">
        <f t="shared" si="2"/>
        <v>3</v>
      </c>
      <c r="I130" s="16" t="str">
        <f>VLOOKUP(H130,'Дни недели сортировка'!A:B,2,FALSE)</f>
        <v>03-среда</v>
      </c>
      <c r="J130" s="30">
        <v>0.77222222222222225</v>
      </c>
      <c r="K130" s="12" t="s">
        <v>27</v>
      </c>
      <c r="L130" s="12" t="s">
        <v>552</v>
      </c>
      <c r="M130" s="12" t="s">
        <v>41</v>
      </c>
      <c r="N130" s="18">
        <v>2092885</v>
      </c>
      <c r="O130" s="18">
        <f t="shared" si="61"/>
        <v>2051027.3</v>
      </c>
      <c r="P130" s="18">
        <f>O130*17.43%</f>
        <v>357494.05839000002</v>
      </c>
      <c r="Q130" s="18">
        <f>P130*3.9%</f>
        <v>13942.268277210002</v>
      </c>
      <c r="R130" s="18">
        <f t="shared" si="4"/>
        <v>41857.699999999953</v>
      </c>
      <c r="S130" s="18">
        <f t="shared" si="60"/>
        <v>3076.5409500000001</v>
      </c>
      <c r="T130" s="12" t="s">
        <v>553</v>
      </c>
      <c r="U130" s="18">
        <v>12687.464132261102</v>
      </c>
      <c r="V130" s="19">
        <v>3062.75384152783</v>
      </c>
      <c r="W130" s="19">
        <v>2603.3407652986552</v>
      </c>
      <c r="X130" s="19">
        <v>1900.4387586680182</v>
      </c>
      <c r="Y130" s="40">
        <f t="shared" si="31"/>
        <v>12687</v>
      </c>
      <c r="Z130" s="40">
        <f t="shared" si="32"/>
        <v>3062</v>
      </c>
      <c r="AA130" s="40">
        <f t="shared" si="33"/>
        <v>2603</v>
      </c>
      <c r="AB130" s="40">
        <f t="shared" si="34"/>
        <v>1900</v>
      </c>
    </row>
    <row r="131" spans="1:28" ht="15.75" customHeight="1">
      <c r="A131" s="11" t="s">
        <v>554</v>
      </c>
      <c r="B131" s="12" t="s">
        <v>555</v>
      </c>
      <c r="C131" s="13" t="s">
        <v>25</v>
      </c>
      <c r="D131" s="13" t="s">
        <v>503</v>
      </c>
      <c r="E131" s="29">
        <v>44580</v>
      </c>
      <c r="F131" s="15">
        <f t="shared" si="0"/>
        <v>2022</v>
      </c>
      <c r="G131" s="16">
        <f t="shared" si="1"/>
        <v>3</v>
      </c>
      <c r="H131" s="16">
        <f t="shared" si="2"/>
        <v>3</v>
      </c>
      <c r="I131" s="16" t="str">
        <f>VLOOKUP(H131,'Дни недели сортировка'!A:B,2,FALSE)</f>
        <v>03-среда</v>
      </c>
      <c r="J131" s="30">
        <v>0.75416666666666665</v>
      </c>
      <c r="K131" s="12" t="s">
        <v>27</v>
      </c>
      <c r="L131" s="12" t="s">
        <v>556</v>
      </c>
      <c r="M131" s="12" t="s">
        <v>29</v>
      </c>
      <c r="N131" s="18">
        <v>1305992</v>
      </c>
      <c r="O131" s="18">
        <f>N131-1.5%*N131</f>
        <v>1286402.1200000001</v>
      </c>
      <c r="P131" s="18">
        <f>O131*11.05%</f>
        <v>142147.43426000001</v>
      </c>
      <c r="Q131" s="18">
        <f>P131*7.2%</f>
        <v>10234.615266720002</v>
      </c>
      <c r="R131" s="18">
        <f t="shared" si="4"/>
        <v>19589.879999999888</v>
      </c>
      <c r="S131" s="18">
        <f t="shared" si="60"/>
        <v>1929.6031800000003</v>
      </c>
      <c r="T131" s="12" t="s">
        <v>557</v>
      </c>
      <c r="U131" s="18">
        <v>8904.1152820464013</v>
      </c>
      <c r="V131" s="19">
        <v>5070.0032415972209</v>
      </c>
      <c r="W131" s="19">
        <v>4238.5227099752765</v>
      </c>
      <c r="X131" s="19">
        <v>3348.4329408804688</v>
      </c>
      <c r="Y131" s="40">
        <f t="shared" ref="Y131:Y168" si="62">ROUNDDOWN(U131,0)</f>
        <v>8904</v>
      </c>
      <c r="Z131" s="40">
        <f t="shared" ref="Z131:Z168" si="63">ROUNDDOWN(V131,0)</f>
        <v>5070</v>
      </c>
      <c r="AA131" s="40">
        <f t="shared" ref="AA131:AA168" si="64">ROUNDDOWN(W131,0)</f>
        <v>4238</v>
      </c>
      <c r="AB131" s="40">
        <f t="shared" ref="AB131:AB168" si="65">ROUNDDOWN(X131,0)</f>
        <v>3348</v>
      </c>
    </row>
    <row r="132" spans="1:28" ht="15.75" customHeight="1">
      <c r="A132" s="11" t="s">
        <v>558</v>
      </c>
      <c r="B132" s="12" t="s">
        <v>559</v>
      </c>
      <c r="C132" s="13" t="s">
        <v>25</v>
      </c>
      <c r="D132" s="13" t="s">
        <v>503</v>
      </c>
      <c r="E132" s="29">
        <v>44580</v>
      </c>
      <c r="F132" s="15">
        <f t="shared" si="0"/>
        <v>2022</v>
      </c>
      <c r="G132" s="16">
        <f t="shared" si="1"/>
        <v>3</v>
      </c>
      <c r="H132" s="16">
        <f t="shared" si="2"/>
        <v>3</v>
      </c>
      <c r="I132" s="16" t="str">
        <f>VLOOKUP(H132,'Дни недели сортировка'!A:B,2,FALSE)</f>
        <v>03-среда</v>
      </c>
      <c r="J132" s="30">
        <v>0.75416666666666665</v>
      </c>
      <c r="K132" s="12" t="s">
        <v>27</v>
      </c>
      <c r="L132" s="12" t="s">
        <v>560</v>
      </c>
      <c r="M132" s="12" t="s">
        <v>35</v>
      </c>
      <c r="N132" s="18">
        <v>1712023</v>
      </c>
      <c r="O132" s="18">
        <f t="shared" ref="O132:O133" si="66">N132-2%*N132</f>
        <v>1677782.54</v>
      </c>
      <c r="P132" s="18">
        <f>O132*9.2%</f>
        <v>154355.99368000001</v>
      </c>
      <c r="Q132" s="18">
        <f>P132*12%</f>
        <v>18522.7192416</v>
      </c>
      <c r="R132" s="18">
        <f t="shared" si="4"/>
        <v>34240.459999999963</v>
      </c>
      <c r="S132" s="18">
        <f t="shared" si="60"/>
        <v>2516.6738100000002</v>
      </c>
      <c r="T132" s="12" t="s">
        <v>561</v>
      </c>
      <c r="U132" s="18">
        <v>12780.676276703998</v>
      </c>
      <c r="V132" s="19">
        <v>3319.1416290600287</v>
      </c>
      <c r="W132" s="19">
        <v>2695.1430027967435</v>
      </c>
      <c r="X132" s="19">
        <v>2236.9686923212971</v>
      </c>
      <c r="Y132" s="40">
        <f t="shared" si="62"/>
        <v>12780</v>
      </c>
      <c r="Z132" s="40">
        <f t="shared" si="63"/>
        <v>3319</v>
      </c>
      <c r="AA132" s="40">
        <f t="shared" si="64"/>
        <v>2695</v>
      </c>
      <c r="AB132" s="40">
        <f t="shared" si="65"/>
        <v>2236</v>
      </c>
    </row>
    <row r="133" spans="1:28" ht="15.75" customHeight="1">
      <c r="A133" s="11" t="s">
        <v>562</v>
      </c>
      <c r="B133" s="12" t="s">
        <v>563</v>
      </c>
      <c r="C133" s="13" t="s">
        <v>25</v>
      </c>
      <c r="D133" s="13" t="s">
        <v>503</v>
      </c>
      <c r="E133" s="29">
        <v>44581</v>
      </c>
      <c r="F133" s="15">
        <f t="shared" si="0"/>
        <v>2022</v>
      </c>
      <c r="G133" s="16">
        <f t="shared" si="1"/>
        <v>3</v>
      </c>
      <c r="H133" s="16">
        <f t="shared" si="2"/>
        <v>4</v>
      </c>
      <c r="I133" s="16" t="str">
        <f>VLOOKUP(H133,'Дни недели сортировка'!A:B,2,FALSE)</f>
        <v>04-четверг</v>
      </c>
      <c r="J133" s="30">
        <v>0.57847222222222228</v>
      </c>
      <c r="K133" s="12" t="s">
        <v>27</v>
      </c>
      <c r="L133" s="12" t="s">
        <v>564</v>
      </c>
      <c r="M133" s="12" t="s">
        <v>41</v>
      </c>
      <c r="N133" s="18">
        <v>2102905</v>
      </c>
      <c r="O133" s="18">
        <f t="shared" si="66"/>
        <v>2060846.9</v>
      </c>
      <c r="P133" s="18">
        <f>O133*17.43%</f>
        <v>359205.61466999998</v>
      </c>
      <c r="Q133" s="18">
        <f>P133*9%</f>
        <v>32328.505320299999</v>
      </c>
      <c r="R133" s="18">
        <f t="shared" si="4"/>
        <v>42058.100000000093</v>
      </c>
      <c r="S133" s="18">
        <f t="shared" si="60"/>
        <v>3091.2703499999998</v>
      </c>
      <c r="T133" s="12" t="s">
        <v>565</v>
      </c>
      <c r="U133" s="18">
        <v>31358.650160690999</v>
      </c>
      <c r="V133" s="19">
        <v>13079.692982024215</v>
      </c>
      <c r="W133" s="19">
        <v>12818.09912238373</v>
      </c>
      <c r="X133" s="19">
        <v>10510.841280354658</v>
      </c>
      <c r="Y133" s="40">
        <f t="shared" si="62"/>
        <v>31358</v>
      </c>
      <c r="Z133" s="40">
        <f t="shared" si="63"/>
        <v>13079</v>
      </c>
      <c r="AA133" s="40">
        <f t="shared" si="64"/>
        <v>12818</v>
      </c>
      <c r="AB133" s="40">
        <f t="shared" si="65"/>
        <v>10510</v>
      </c>
    </row>
    <row r="134" spans="1:28" ht="15.75" customHeight="1">
      <c r="A134" s="11" t="s">
        <v>566</v>
      </c>
      <c r="B134" s="12" t="s">
        <v>567</v>
      </c>
      <c r="C134" s="13" t="s">
        <v>25</v>
      </c>
      <c r="D134" s="13" t="s">
        <v>503</v>
      </c>
      <c r="E134" s="29">
        <v>44581</v>
      </c>
      <c r="F134" s="15">
        <f t="shared" si="0"/>
        <v>2022</v>
      </c>
      <c r="G134" s="16">
        <f t="shared" si="1"/>
        <v>3</v>
      </c>
      <c r="H134" s="16">
        <f t="shared" si="2"/>
        <v>4</v>
      </c>
      <c r="I134" s="16" t="str">
        <f>VLOOKUP(H134,'Дни недели сортировка'!A:B,2,FALSE)</f>
        <v>04-четверг</v>
      </c>
      <c r="J134" s="30">
        <v>0.57847222222222228</v>
      </c>
      <c r="K134" s="12" t="s">
        <v>27</v>
      </c>
      <c r="L134" s="12" t="s">
        <v>568</v>
      </c>
      <c r="M134" s="12" t="s">
        <v>29</v>
      </c>
      <c r="N134" s="18">
        <v>701456</v>
      </c>
      <c r="O134" s="18">
        <f>N134-1.5%*N134</f>
        <v>690934.16</v>
      </c>
      <c r="P134" s="18">
        <f>O134*11.05%</f>
        <v>76348.224679999999</v>
      </c>
      <c r="Q134" s="18">
        <f>P134*8.4%</f>
        <v>6413.2508731200005</v>
      </c>
      <c r="R134" s="18">
        <f t="shared" si="4"/>
        <v>10521.839999999967</v>
      </c>
      <c r="S134" s="18">
        <f t="shared" si="60"/>
        <v>1036.4012400000001</v>
      </c>
      <c r="T134" s="12" t="s">
        <v>569</v>
      </c>
      <c r="U134" s="18">
        <v>5451.2632421520002</v>
      </c>
      <c r="V134" s="19">
        <v>3302.9203984198966</v>
      </c>
      <c r="W134" s="19">
        <v>2873.54074662531</v>
      </c>
      <c r="X134" s="19">
        <v>2270.0971898339949</v>
      </c>
      <c r="Y134" s="40">
        <f t="shared" si="62"/>
        <v>5451</v>
      </c>
      <c r="Z134" s="40">
        <f t="shared" si="63"/>
        <v>3302</v>
      </c>
      <c r="AA134" s="40">
        <f t="shared" si="64"/>
        <v>2873</v>
      </c>
      <c r="AB134" s="40">
        <f t="shared" si="65"/>
        <v>2270</v>
      </c>
    </row>
    <row r="135" spans="1:28" ht="15.75" customHeight="1">
      <c r="A135" s="11" t="s">
        <v>570</v>
      </c>
      <c r="B135" s="12" t="s">
        <v>571</v>
      </c>
      <c r="C135" s="13" t="s">
        <v>25</v>
      </c>
      <c r="D135" s="13" t="s">
        <v>33</v>
      </c>
      <c r="E135" s="14">
        <v>44512</v>
      </c>
      <c r="F135" s="15">
        <f t="shared" si="0"/>
        <v>2021</v>
      </c>
      <c r="G135" s="16">
        <f t="shared" si="1"/>
        <v>46</v>
      </c>
      <c r="H135" s="16">
        <f t="shared" si="2"/>
        <v>5</v>
      </c>
      <c r="I135" s="16" t="str">
        <f>VLOOKUP(H135,'Дни недели сортировка'!A:B,2,FALSE)</f>
        <v>05-пятница</v>
      </c>
      <c r="J135" s="17">
        <v>0.56527777777777777</v>
      </c>
      <c r="K135" s="12" t="s">
        <v>27</v>
      </c>
      <c r="L135" s="12" t="s">
        <v>572</v>
      </c>
      <c r="M135" s="12" t="s">
        <v>35</v>
      </c>
      <c r="N135" s="18">
        <v>709715</v>
      </c>
      <c r="O135" s="18">
        <f t="shared" ref="O135:O136" si="67">N135-2%*N135</f>
        <v>695520.7</v>
      </c>
      <c r="P135" s="18">
        <f>O135*9.2%</f>
        <v>63987.904399999992</v>
      </c>
      <c r="Q135" s="18">
        <f>P135*3.9%</f>
        <v>2495.5282715999997</v>
      </c>
      <c r="R135" s="18">
        <f t="shared" si="4"/>
        <v>14194.300000000047</v>
      </c>
      <c r="S135" s="18">
        <f t="shared" si="60"/>
        <v>1043.2810500000001</v>
      </c>
      <c r="T135" s="12" t="s">
        <v>573</v>
      </c>
      <c r="U135" s="18">
        <v>2295.8860098719997</v>
      </c>
      <c r="V135" s="19">
        <v>888.27829721947671</v>
      </c>
      <c r="W135" s="19">
        <v>755.03655263655514</v>
      </c>
      <c r="X135" s="19">
        <v>566.27741447741641</v>
      </c>
      <c r="Y135" s="40">
        <f t="shared" si="62"/>
        <v>2295</v>
      </c>
      <c r="Z135" s="40">
        <f t="shared" si="63"/>
        <v>888</v>
      </c>
      <c r="AA135" s="40">
        <f t="shared" si="64"/>
        <v>755</v>
      </c>
      <c r="AB135" s="40">
        <f t="shared" si="65"/>
        <v>566</v>
      </c>
    </row>
    <row r="136" spans="1:28" ht="15.75" customHeight="1">
      <c r="A136" s="11" t="s">
        <v>574</v>
      </c>
      <c r="B136" s="12" t="s">
        <v>575</v>
      </c>
      <c r="C136" s="13" t="s">
        <v>25</v>
      </c>
      <c r="D136" s="13" t="s">
        <v>33</v>
      </c>
      <c r="E136" s="14">
        <v>44512</v>
      </c>
      <c r="F136" s="15">
        <f t="shared" si="0"/>
        <v>2021</v>
      </c>
      <c r="G136" s="16">
        <f t="shared" si="1"/>
        <v>46</v>
      </c>
      <c r="H136" s="16">
        <f t="shared" si="2"/>
        <v>5</v>
      </c>
      <c r="I136" s="16" t="str">
        <f>VLOOKUP(H136,'Дни недели сортировка'!A:B,2,FALSE)</f>
        <v>05-пятница</v>
      </c>
      <c r="J136" s="17">
        <v>0.56527777777777777</v>
      </c>
      <c r="K136" s="12" t="s">
        <v>27</v>
      </c>
      <c r="L136" s="12" t="s">
        <v>576</v>
      </c>
      <c r="M136" s="12" t="s">
        <v>41</v>
      </c>
      <c r="N136" s="18">
        <v>1423230</v>
      </c>
      <c r="O136" s="18">
        <f t="shared" si="67"/>
        <v>1394765.4</v>
      </c>
      <c r="P136" s="18">
        <f>O136*11.05%</f>
        <v>154121.57670000001</v>
      </c>
      <c r="Q136" s="18">
        <f>P136*7.2%</f>
        <v>11096.753522400002</v>
      </c>
      <c r="R136" s="18">
        <f t="shared" si="4"/>
        <v>28464.600000000093</v>
      </c>
      <c r="S136" s="18">
        <f t="shared" si="60"/>
        <v>2092.1480999999999</v>
      </c>
      <c r="T136" s="12" t="s">
        <v>577</v>
      </c>
      <c r="U136" s="18">
        <v>10319.980775832002</v>
      </c>
      <c r="V136" s="19">
        <v>3566.5853561275399</v>
      </c>
      <c r="W136" s="19">
        <v>2981.6653577226234</v>
      </c>
      <c r="X136" s="19">
        <v>2176.6157111375151</v>
      </c>
      <c r="Y136" s="40">
        <f t="shared" si="62"/>
        <v>10319</v>
      </c>
      <c r="Z136" s="40">
        <f t="shared" si="63"/>
        <v>3566</v>
      </c>
      <c r="AA136" s="40">
        <f t="shared" si="64"/>
        <v>2981</v>
      </c>
      <c r="AB136" s="40">
        <f t="shared" si="65"/>
        <v>2176</v>
      </c>
    </row>
    <row r="137" spans="1:28" ht="15.75" customHeight="1">
      <c r="A137" s="11" t="s">
        <v>578</v>
      </c>
      <c r="B137" s="12" t="s">
        <v>579</v>
      </c>
      <c r="C137" s="13" t="s">
        <v>25</v>
      </c>
      <c r="D137" s="13" t="s">
        <v>33</v>
      </c>
      <c r="E137" s="14">
        <v>44512</v>
      </c>
      <c r="F137" s="15">
        <f t="shared" si="0"/>
        <v>2021</v>
      </c>
      <c r="G137" s="16">
        <f t="shared" si="1"/>
        <v>46</v>
      </c>
      <c r="H137" s="16">
        <f t="shared" si="2"/>
        <v>5</v>
      </c>
      <c r="I137" s="16" t="str">
        <f>VLOOKUP(H137,'Дни недели сортировка'!A:B,2,FALSE)</f>
        <v>05-пятница</v>
      </c>
      <c r="J137" s="17">
        <v>0.56527777777777777</v>
      </c>
      <c r="K137" s="12" t="s">
        <v>27</v>
      </c>
      <c r="L137" s="12" t="s">
        <v>580</v>
      </c>
      <c r="M137" s="12" t="s">
        <v>29</v>
      </c>
      <c r="N137" s="18">
        <v>1042456</v>
      </c>
      <c r="O137" s="18">
        <f>N137-1.5%*N137</f>
        <v>1026819.16</v>
      </c>
      <c r="P137" s="18">
        <f>O137*18%</f>
        <v>184827.44880000001</v>
      </c>
      <c r="Q137" s="18">
        <f>P137*12%</f>
        <v>22179.293856</v>
      </c>
      <c r="R137" s="18">
        <f t="shared" si="4"/>
        <v>15636.839999999967</v>
      </c>
      <c r="S137" s="18">
        <f t="shared" ref="S137:S150" si="68">O137*13%</f>
        <v>133486.4908</v>
      </c>
      <c r="T137" s="12" t="s">
        <v>581</v>
      </c>
      <c r="U137" s="18">
        <v>20183.15740896</v>
      </c>
      <c r="V137" s="19">
        <v>4872.2141985229446</v>
      </c>
      <c r="W137" s="19">
        <v>3956.2379292006312</v>
      </c>
      <c r="X137" s="19">
        <v>3125.427964068499</v>
      </c>
      <c r="Y137" s="40">
        <f t="shared" si="62"/>
        <v>20183</v>
      </c>
      <c r="Z137" s="40">
        <f t="shared" si="63"/>
        <v>4872</v>
      </c>
      <c r="AA137" s="40">
        <f t="shared" si="64"/>
        <v>3956</v>
      </c>
      <c r="AB137" s="40">
        <f t="shared" si="65"/>
        <v>3125</v>
      </c>
    </row>
    <row r="138" spans="1:28" ht="15.75" customHeight="1">
      <c r="A138" s="11" t="s">
        <v>582</v>
      </c>
      <c r="B138" s="12" t="s">
        <v>583</v>
      </c>
      <c r="C138" s="13" t="s">
        <v>25</v>
      </c>
      <c r="D138" s="13" t="s">
        <v>33</v>
      </c>
      <c r="E138" s="14">
        <v>44512</v>
      </c>
      <c r="F138" s="15">
        <f t="shared" si="0"/>
        <v>2021</v>
      </c>
      <c r="G138" s="16">
        <f t="shared" si="1"/>
        <v>46</v>
      </c>
      <c r="H138" s="16">
        <f t="shared" si="2"/>
        <v>5</v>
      </c>
      <c r="I138" s="16" t="str">
        <f>VLOOKUP(H138,'Дни недели сортировка'!A:B,2,FALSE)</f>
        <v>05-пятница</v>
      </c>
      <c r="J138" s="17">
        <v>0.56527777777777777</v>
      </c>
      <c r="K138" s="12" t="s">
        <v>27</v>
      </c>
      <c r="L138" s="12" t="s">
        <v>584</v>
      </c>
      <c r="M138" s="12" t="s">
        <v>35</v>
      </c>
      <c r="N138" s="18">
        <v>804062</v>
      </c>
      <c r="O138" s="18">
        <f t="shared" ref="O138:O139" si="69">N138-2%*N138</f>
        <v>787980.76</v>
      </c>
      <c r="P138" s="18">
        <f>O138*11.05%</f>
        <v>87071.873980000004</v>
      </c>
      <c r="Q138" s="18">
        <f>P138*9%</f>
        <v>7836.4686582000004</v>
      </c>
      <c r="R138" s="18">
        <f t="shared" si="4"/>
        <v>16081.239999999991</v>
      </c>
      <c r="S138" s="18">
        <f t="shared" si="68"/>
        <v>102437.4988</v>
      </c>
      <c r="T138" s="12" t="s">
        <v>585</v>
      </c>
      <c r="U138" s="18">
        <v>6817.7277326339999</v>
      </c>
      <c r="V138" s="19">
        <v>3882.0141709617992</v>
      </c>
      <c r="W138" s="19">
        <v>3804.3738875425634</v>
      </c>
      <c r="X138" s="19">
        <v>3157.6303266603272</v>
      </c>
      <c r="Y138" s="40">
        <f t="shared" si="62"/>
        <v>6817</v>
      </c>
      <c r="Z138" s="40">
        <f t="shared" si="63"/>
        <v>3882</v>
      </c>
      <c r="AA138" s="40">
        <f t="shared" si="64"/>
        <v>3804</v>
      </c>
      <c r="AB138" s="40">
        <f t="shared" si="65"/>
        <v>3157</v>
      </c>
    </row>
    <row r="139" spans="1:28" ht="15.75" customHeight="1">
      <c r="A139" s="11" t="s">
        <v>586</v>
      </c>
      <c r="B139" s="12" t="s">
        <v>587</v>
      </c>
      <c r="C139" s="13" t="s">
        <v>25</v>
      </c>
      <c r="D139" s="13" t="s">
        <v>33</v>
      </c>
      <c r="E139" s="14">
        <v>44512</v>
      </c>
      <c r="F139" s="15">
        <f t="shared" si="0"/>
        <v>2021</v>
      </c>
      <c r="G139" s="16">
        <f t="shared" si="1"/>
        <v>46</v>
      </c>
      <c r="H139" s="16">
        <f t="shared" si="2"/>
        <v>5</v>
      </c>
      <c r="I139" s="16" t="str">
        <f>VLOOKUP(H139,'Дни недели сортировка'!A:B,2,FALSE)</f>
        <v>05-пятница</v>
      </c>
      <c r="J139" s="17">
        <v>0.56527777777777777</v>
      </c>
      <c r="K139" s="12" t="s">
        <v>27</v>
      </c>
      <c r="L139" s="12" t="s">
        <v>588</v>
      </c>
      <c r="M139" s="12" t="s">
        <v>41</v>
      </c>
      <c r="N139" s="18">
        <v>1364133</v>
      </c>
      <c r="O139" s="18">
        <f t="shared" si="69"/>
        <v>1336850.3400000001</v>
      </c>
      <c r="P139" s="18">
        <f>O139*18%</f>
        <v>240633.0612</v>
      </c>
      <c r="Q139" s="18">
        <f>P139*8.4%</f>
        <v>20213.177140800002</v>
      </c>
      <c r="R139" s="18">
        <f t="shared" si="4"/>
        <v>27282.659999999916</v>
      </c>
      <c r="S139" s="18">
        <f t="shared" si="68"/>
        <v>173790.5442</v>
      </c>
      <c r="T139" s="12" t="s">
        <v>589</v>
      </c>
      <c r="U139" s="18">
        <v>13947.092227152001</v>
      </c>
      <c r="V139" s="19">
        <v>3622.0598513913747</v>
      </c>
      <c r="W139" s="19">
        <v>3151.192070710496</v>
      </c>
      <c r="X139" s="19">
        <v>2583.9774979826066</v>
      </c>
      <c r="Y139" s="40">
        <f t="shared" si="62"/>
        <v>13947</v>
      </c>
      <c r="Z139" s="40">
        <f t="shared" si="63"/>
        <v>3622</v>
      </c>
      <c r="AA139" s="40">
        <f t="shared" si="64"/>
        <v>3151</v>
      </c>
      <c r="AB139" s="40">
        <f t="shared" si="65"/>
        <v>2583</v>
      </c>
    </row>
    <row r="140" spans="1:28" ht="15.75" customHeight="1">
      <c r="A140" s="11" t="s">
        <v>590</v>
      </c>
      <c r="B140" s="12" t="s">
        <v>591</v>
      </c>
      <c r="C140" s="13" t="s">
        <v>25</v>
      </c>
      <c r="D140" s="13" t="s">
        <v>33</v>
      </c>
      <c r="E140" s="14">
        <v>44512</v>
      </c>
      <c r="F140" s="15">
        <f t="shared" si="0"/>
        <v>2021</v>
      </c>
      <c r="G140" s="16">
        <f t="shared" si="1"/>
        <v>46</v>
      </c>
      <c r="H140" s="16">
        <f t="shared" si="2"/>
        <v>5</v>
      </c>
      <c r="I140" s="16" t="str">
        <f>VLOOKUP(H140,'Дни недели сортировка'!A:B,2,FALSE)</f>
        <v>05-пятница</v>
      </c>
      <c r="J140" s="17">
        <v>0.56527777777777777</v>
      </c>
      <c r="K140" s="12" t="s">
        <v>27</v>
      </c>
      <c r="L140" s="12" t="s">
        <v>592</v>
      </c>
      <c r="M140" s="12" t="s">
        <v>29</v>
      </c>
      <c r="N140" s="18">
        <v>869029</v>
      </c>
      <c r="O140" s="18">
        <f>N140-1.5%*N140</f>
        <v>855993.56499999994</v>
      </c>
      <c r="P140" s="18">
        <f>O140*17.43%</f>
        <v>149199.67837949999</v>
      </c>
      <c r="Q140" s="18">
        <f>P140*3.9%</f>
        <v>5818.7874568005</v>
      </c>
      <c r="R140" s="18">
        <f t="shared" si="4"/>
        <v>13035.435000000056</v>
      </c>
      <c r="S140" s="18">
        <f t="shared" si="68"/>
        <v>111279.16344999999</v>
      </c>
      <c r="T140" s="12" t="s">
        <v>593</v>
      </c>
      <c r="U140" s="18">
        <v>5644.2238330964847</v>
      </c>
      <c r="V140" s="19">
        <v>2354.2057607845441</v>
      </c>
      <c r="W140" s="19">
        <v>2001.0748966668623</v>
      </c>
      <c r="X140" s="19">
        <v>1580.8491683668212</v>
      </c>
      <c r="Y140" s="40">
        <f t="shared" si="62"/>
        <v>5644</v>
      </c>
      <c r="Z140" s="40">
        <f t="shared" si="63"/>
        <v>2354</v>
      </c>
      <c r="AA140" s="40">
        <f t="shared" si="64"/>
        <v>2001</v>
      </c>
      <c r="AB140" s="40">
        <f t="shared" si="65"/>
        <v>1580</v>
      </c>
    </row>
    <row r="141" spans="1:28" ht="15.75" customHeight="1">
      <c r="A141" s="11" t="s">
        <v>594</v>
      </c>
      <c r="B141" s="12" t="s">
        <v>595</v>
      </c>
      <c r="C141" s="13" t="s">
        <v>25</v>
      </c>
      <c r="D141" s="13" t="s">
        <v>33</v>
      </c>
      <c r="E141" s="14">
        <v>44512</v>
      </c>
      <c r="F141" s="15">
        <f t="shared" si="0"/>
        <v>2021</v>
      </c>
      <c r="G141" s="16">
        <f t="shared" si="1"/>
        <v>46</v>
      </c>
      <c r="H141" s="16">
        <f t="shared" si="2"/>
        <v>5</v>
      </c>
      <c r="I141" s="16" t="str">
        <f>VLOOKUP(H141,'Дни недели сортировка'!A:B,2,FALSE)</f>
        <v>05-пятница</v>
      </c>
      <c r="J141" s="17">
        <v>0.56527777777777777</v>
      </c>
      <c r="K141" s="12" t="s">
        <v>27</v>
      </c>
      <c r="L141" s="12" t="s">
        <v>596</v>
      </c>
      <c r="M141" s="12" t="s">
        <v>35</v>
      </c>
      <c r="N141" s="18">
        <v>2117234</v>
      </c>
      <c r="O141" s="18">
        <f t="shared" ref="O141:O142" si="70">N141-2%*N141</f>
        <v>2074889.32</v>
      </c>
      <c r="P141" s="18">
        <f>O141*11.05%</f>
        <v>229275.26986</v>
      </c>
      <c r="Q141" s="18">
        <f>P141*7.2%</f>
        <v>16507.81942992</v>
      </c>
      <c r="R141" s="18">
        <f t="shared" si="4"/>
        <v>42344.679999999935</v>
      </c>
      <c r="S141" s="18">
        <f t="shared" si="68"/>
        <v>269735.6116</v>
      </c>
      <c r="T141" s="12" t="s">
        <v>597</v>
      </c>
      <c r="U141" s="18">
        <v>14031.646515431999</v>
      </c>
      <c r="V141" s="19">
        <v>8501.7746237002484</v>
      </c>
      <c r="W141" s="19">
        <v>7226.5084301452107</v>
      </c>
      <c r="X141" s="19">
        <v>5419.8813226089078</v>
      </c>
      <c r="Y141" s="40">
        <f t="shared" si="62"/>
        <v>14031</v>
      </c>
      <c r="Z141" s="40">
        <f t="shared" si="63"/>
        <v>8501</v>
      </c>
      <c r="AA141" s="40">
        <f t="shared" si="64"/>
        <v>7226</v>
      </c>
      <c r="AB141" s="40">
        <f t="shared" si="65"/>
        <v>5419</v>
      </c>
    </row>
    <row r="142" spans="1:28" ht="15.75" customHeight="1">
      <c r="A142" s="11" t="s">
        <v>598</v>
      </c>
      <c r="B142" s="12" t="s">
        <v>599</v>
      </c>
      <c r="C142" s="13" t="s">
        <v>25</v>
      </c>
      <c r="D142" s="13" t="s">
        <v>33</v>
      </c>
      <c r="E142" s="31">
        <v>44530</v>
      </c>
      <c r="F142" s="15">
        <f t="shared" si="0"/>
        <v>2021</v>
      </c>
      <c r="G142" s="16">
        <f t="shared" si="1"/>
        <v>48</v>
      </c>
      <c r="H142" s="16">
        <f t="shared" si="2"/>
        <v>2</v>
      </c>
      <c r="I142" s="16" t="str">
        <f>VLOOKUP(H142,'Дни недели сортировка'!A:B,2,FALSE)</f>
        <v>02-вторник</v>
      </c>
      <c r="J142" s="30">
        <v>0.48819444444444443</v>
      </c>
      <c r="K142" s="12" t="s">
        <v>27</v>
      </c>
      <c r="L142" s="12" t="s">
        <v>600</v>
      </c>
      <c r="M142" s="12" t="s">
        <v>29</v>
      </c>
      <c r="N142" s="18">
        <v>2373922</v>
      </c>
      <c r="O142" s="18">
        <f t="shared" si="70"/>
        <v>2326443.56</v>
      </c>
      <c r="P142" s="18">
        <f>O142*9.2%</f>
        <v>214032.80752</v>
      </c>
      <c r="Q142" s="18">
        <f>P142*12%</f>
        <v>25683.936902400001</v>
      </c>
      <c r="R142" s="18">
        <f t="shared" si="4"/>
        <v>47478.439999999944</v>
      </c>
      <c r="S142" s="18">
        <f t="shared" si="68"/>
        <v>302437.66279999999</v>
      </c>
      <c r="T142" s="12" t="s">
        <v>601</v>
      </c>
      <c r="U142" s="18">
        <v>23629.221950208001</v>
      </c>
      <c r="V142" s="19">
        <v>9142.1459725354762</v>
      </c>
      <c r="W142" s="19">
        <v>7642.8340330396577</v>
      </c>
      <c r="X142" s="19">
        <v>5579.2688441189503</v>
      </c>
      <c r="Y142" s="40">
        <f t="shared" si="62"/>
        <v>23629</v>
      </c>
      <c r="Z142" s="40">
        <f t="shared" si="63"/>
        <v>9142</v>
      </c>
      <c r="AA142" s="40">
        <f t="shared" si="64"/>
        <v>7642</v>
      </c>
      <c r="AB142" s="40">
        <f t="shared" si="65"/>
        <v>5579</v>
      </c>
    </row>
    <row r="143" spans="1:28" ht="15.75" customHeight="1">
      <c r="A143" s="11" t="s">
        <v>602</v>
      </c>
      <c r="B143" s="12" t="s">
        <v>603</v>
      </c>
      <c r="C143" s="13" t="s">
        <v>25</v>
      </c>
      <c r="D143" s="13" t="s">
        <v>26</v>
      </c>
      <c r="E143" s="14">
        <v>44498</v>
      </c>
      <c r="F143" s="15">
        <f t="shared" si="0"/>
        <v>2021</v>
      </c>
      <c r="G143" s="16">
        <f t="shared" si="1"/>
        <v>44</v>
      </c>
      <c r="H143" s="16">
        <f t="shared" si="2"/>
        <v>5</v>
      </c>
      <c r="I143" s="16" t="str">
        <f>VLOOKUP(H143,'Дни недели сортировка'!A:B,2,FALSE)</f>
        <v>05-пятница</v>
      </c>
      <c r="J143" s="17">
        <v>0.75486111111111109</v>
      </c>
      <c r="K143" s="12" t="s">
        <v>27</v>
      </c>
      <c r="L143" s="12" t="s">
        <v>604</v>
      </c>
      <c r="M143" s="12" t="s">
        <v>35</v>
      </c>
      <c r="N143" s="18">
        <v>867969</v>
      </c>
      <c r="O143" s="18">
        <f>N143-1.5%*N143</f>
        <v>854949.46499999997</v>
      </c>
      <c r="P143" s="18">
        <f>O143*17.43%</f>
        <v>149017.69174949999</v>
      </c>
      <c r="Q143" s="18">
        <f>P143*9%</f>
        <v>13411.592257454999</v>
      </c>
      <c r="R143" s="18">
        <f t="shared" si="4"/>
        <v>13019.535000000033</v>
      </c>
      <c r="S143" s="18">
        <f t="shared" si="68"/>
        <v>111143.43045</v>
      </c>
      <c r="T143" s="12" t="s">
        <v>605</v>
      </c>
      <c r="U143" s="18">
        <v>12472.780799433149</v>
      </c>
      <c r="V143" s="19">
        <v>4310.5930442840963</v>
      </c>
      <c r="W143" s="19">
        <v>3500.2015519586867</v>
      </c>
      <c r="X143" s="19">
        <v>2765.1592260473626</v>
      </c>
      <c r="Y143" s="40">
        <f t="shared" si="62"/>
        <v>12472</v>
      </c>
      <c r="Z143" s="40">
        <f t="shared" si="63"/>
        <v>4310</v>
      </c>
      <c r="AA143" s="40">
        <f t="shared" si="64"/>
        <v>3500</v>
      </c>
      <c r="AB143" s="40">
        <f t="shared" si="65"/>
        <v>2765</v>
      </c>
    </row>
    <row r="144" spans="1:28" ht="15.75" customHeight="1">
      <c r="A144" s="11" t="s">
        <v>606</v>
      </c>
      <c r="B144" s="12" t="s">
        <v>607</v>
      </c>
      <c r="C144" s="13" t="s">
        <v>25</v>
      </c>
      <c r="D144" s="13" t="s">
        <v>410</v>
      </c>
      <c r="E144" s="31">
        <v>44536</v>
      </c>
      <c r="F144" s="15">
        <f t="shared" si="0"/>
        <v>2021</v>
      </c>
      <c r="G144" s="16">
        <f t="shared" si="1"/>
        <v>49</v>
      </c>
      <c r="H144" s="16">
        <f t="shared" si="2"/>
        <v>1</v>
      </c>
      <c r="I144" s="16" t="str">
        <f>VLOOKUP(H144,'Дни недели сортировка'!A:B,2,FALSE)</f>
        <v>01-понедельник</v>
      </c>
      <c r="J144" s="30">
        <v>0.66180555555555554</v>
      </c>
      <c r="K144" s="12" t="s">
        <v>27</v>
      </c>
      <c r="L144" s="12" t="s">
        <v>608</v>
      </c>
      <c r="M144" s="12" t="s">
        <v>41</v>
      </c>
      <c r="N144" s="18">
        <v>2384393</v>
      </c>
      <c r="O144" s="18">
        <f t="shared" ref="O144:O145" si="71">N144-2%*N144</f>
        <v>2336705.14</v>
      </c>
      <c r="P144" s="18">
        <f>O144*11.05%</f>
        <v>258205.91797000001</v>
      </c>
      <c r="Q144" s="18">
        <f>P144*8.4%</f>
        <v>21689.297109480001</v>
      </c>
      <c r="R144" s="18">
        <f t="shared" si="4"/>
        <v>47687.85999999987</v>
      </c>
      <c r="S144" s="18">
        <f t="shared" si="68"/>
        <v>303771.66820000001</v>
      </c>
      <c r="T144" s="12" t="s">
        <v>609</v>
      </c>
      <c r="U144" s="18">
        <v>19737.260369626802</v>
      </c>
      <c r="V144" s="19">
        <v>4764.5746532279099</v>
      </c>
      <c r="W144" s="19">
        <v>4669.2831601633516</v>
      </c>
      <c r="X144" s="19">
        <v>3875.5050229355816</v>
      </c>
      <c r="Y144" s="40">
        <f t="shared" si="62"/>
        <v>19737</v>
      </c>
      <c r="Z144" s="40">
        <f t="shared" si="63"/>
        <v>4764</v>
      </c>
      <c r="AA144" s="40">
        <f t="shared" si="64"/>
        <v>4669</v>
      </c>
      <c r="AB144" s="40">
        <f t="shared" si="65"/>
        <v>3875</v>
      </c>
    </row>
    <row r="145" spans="1:28" ht="15.75" customHeight="1">
      <c r="A145" s="11" t="s">
        <v>610</v>
      </c>
      <c r="B145" s="12" t="s">
        <v>611</v>
      </c>
      <c r="C145" s="13" t="s">
        <v>25</v>
      </c>
      <c r="D145" s="13" t="s">
        <v>410</v>
      </c>
      <c r="E145" s="31">
        <v>44536</v>
      </c>
      <c r="F145" s="15">
        <f t="shared" si="0"/>
        <v>2021</v>
      </c>
      <c r="G145" s="16">
        <f t="shared" si="1"/>
        <v>49</v>
      </c>
      <c r="H145" s="16">
        <f t="shared" si="2"/>
        <v>1</v>
      </c>
      <c r="I145" s="16" t="str">
        <f>VLOOKUP(H145,'Дни недели сортировка'!A:B,2,FALSE)</f>
        <v>01-понедельник</v>
      </c>
      <c r="J145" s="30">
        <v>0.66111111111111109</v>
      </c>
      <c r="K145" s="12" t="s">
        <v>27</v>
      </c>
      <c r="L145" s="12" t="s">
        <v>612</v>
      </c>
      <c r="M145" s="12" t="s">
        <v>29</v>
      </c>
      <c r="N145" s="18">
        <v>1688325</v>
      </c>
      <c r="O145" s="18">
        <f t="shared" si="71"/>
        <v>1654558.5</v>
      </c>
      <c r="P145" s="18">
        <f>O145*9.2%</f>
        <v>152219.38199999998</v>
      </c>
      <c r="Q145" s="18">
        <f>P145*3.9%</f>
        <v>5936.5558979999996</v>
      </c>
      <c r="R145" s="18">
        <f t="shared" si="4"/>
        <v>33766.5</v>
      </c>
      <c r="S145" s="18">
        <f t="shared" si="68"/>
        <v>215092.60500000001</v>
      </c>
      <c r="T145" s="12" t="s">
        <v>613</v>
      </c>
      <c r="U145" s="18">
        <v>5164.8036312599997</v>
      </c>
      <c r="V145" s="19">
        <v>2940.8391876394439</v>
      </c>
      <c r="W145" s="19">
        <v>2558.530093246316</v>
      </c>
      <c r="X145" s="19">
        <v>2097.994676461979</v>
      </c>
      <c r="Y145" s="40">
        <f t="shared" si="62"/>
        <v>5164</v>
      </c>
      <c r="Z145" s="40">
        <f t="shared" si="63"/>
        <v>2940</v>
      </c>
      <c r="AA145" s="40">
        <f t="shared" si="64"/>
        <v>2558</v>
      </c>
      <c r="AB145" s="40">
        <f t="shared" si="65"/>
        <v>2097</v>
      </c>
    </row>
    <row r="146" spans="1:28" ht="15.75" customHeight="1">
      <c r="A146" s="11" t="s">
        <v>614</v>
      </c>
      <c r="B146" s="12" t="s">
        <v>615</v>
      </c>
      <c r="C146" s="13" t="s">
        <v>25</v>
      </c>
      <c r="D146" s="13" t="s">
        <v>33</v>
      </c>
      <c r="E146" s="14">
        <v>44529</v>
      </c>
      <c r="F146" s="15">
        <f t="shared" si="0"/>
        <v>2021</v>
      </c>
      <c r="G146" s="16">
        <f t="shared" si="1"/>
        <v>48</v>
      </c>
      <c r="H146" s="16">
        <f t="shared" si="2"/>
        <v>1</v>
      </c>
      <c r="I146" s="16" t="str">
        <f>VLOOKUP(H146,'Дни недели сортировка'!A:B,2,FALSE)</f>
        <v>01-понедельник</v>
      </c>
      <c r="J146" s="17">
        <v>0.71597222222222223</v>
      </c>
      <c r="K146" s="12" t="s">
        <v>27</v>
      </c>
      <c r="L146" s="12" t="s">
        <v>616</v>
      </c>
      <c r="M146" s="12" t="s">
        <v>35</v>
      </c>
      <c r="N146" s="18">
        <v>1364105</v>
      </c>
      <c r="O146" s="18">
        <f>N146-1.5%*N146</f>
        <v>1343643.425</v>
      </c>
      <c r="P146" s="18">
        <f>O146*11.05%</f>
        <v>148472.5984625</v>
      </c>
      <c r="Q146" s="18">
        <f>P146*7.2%</f>
        <v>10690.027089300002</v>
      </c>
      <c r="R146" s="18">
        <f t="shared" si="4"/>
        <v>20461.574999999953</v>
      </c>
      <c r="S146" s="18">
        <f t="shared" si="68"/>
        <v>174673.64525</v>
      </c>
      <c r="T146" s="12" t="s">
        <v>617</v>
      </c>
      <c r="U146" s="18">
        <v>7376.1186916170009</v>
      </c>
      <c r="V146" s="19">
        <v>1915.5780242129351</v>
      </c>
      <c r="W146" s="19">
        <v>1628.2413205809949</v>
      </c>
      <c r="X146" s="19">
        <v>1286.3106432589859</v>
      </c>
      <c r="Y146" s="40">
        <f t="shared" si="62"/>
        <v>7376</v>
      </c>
      <c r="Z146" s="40">
        <f t="shared" si="63"/>
        <v>1915</v>
      </c>
      <c r="AA146" s="40">
        <f t="shared" si="64"/>
        <v>1628</v>
      </c>
      <c r="AB146" s="40">
        <f t="shared" si="65"/>
        <v>1286</v>
      </c>
    </row>
    <row r="147" spans="1:28" ht="15.75" customHeight="1">
      <c r="A147" s="11" t="s">
        <v>618</v>
      </c>
      <c r="B147" s="12" t="s">
        <v>619</v>
      </c>
      <c r="C147" s="13" t="s">
        <v>25</v>
      </c>
      <c r="D147" s="13" t="s">
        <v>410</v>
      </c>
      <c r="E147" s="14">
        <v>44543</v>
      </c>
      <c r="F147" s="15">
        <f t="shared" si="0"/>
        <v>2021</v>
      </c>
      <c r="G147" s="16">
        <f t="shared" si="1"/>
        <v>50</v>
      </c>
      <c r="H147" s="16">
        <f t="shared" si="2"/>
        <v>1</v>
      </c>
      <c r="I147" s="16" t="str">
        <f>VLOOKUP(H147,'Дни недели сортировка'!A:B,2,FALSE)</f>
        <v>01-понедельник</v>
      </c>
      <c r="J147" s="17">
        <v>0.61597222222222225</v>
      </c>
      <c r="K147" s="12" t="s">
        <v>27</v>
      </c>
      <c r="L147" s="12" t="s">
        <v>620</v>
      </c>
      <c r="M147" s="12" t="s">
        <v>41</v>
      </c>
      <c r="N147" s="18">
        <v>2198000</v>
      </c>
      <c r="O147" s="18">
        <f t="shared" ref="O147:O148" si="72">N147-2%*N147</f>
        <v>2154040</v>
      </c>
      <c r="P147" s="18">
        <f>O147*18%</f>
        <v>387727.2</v>
      </c>
      <c r="Q147" s="18">
        <f>P147*12%</f>
        <v>46527.264000000003</v>
      </c>
      <c r="R147" s="18">
        <f t="shared" si="4"/>
        <v>43960</v>
      </c>
      <c r="S147" s="18">
        <f t="shared" si="68"/>
        <v>280025.2</v>
      </c>
      <c r="T147" s="12" t="s">
        <v>621</v>
      </c>
      <c r="U147" s="18">
        <v>45131.446080000002</v>
      </c>
      <c r="V147" s="19">
        <v>18824.326159967997</v>
      </c>
      <c r="W147" s="19">
        <v>15737.136669733245</v>
      </c>
      <c r="X147" s="19">
        <v>11802.852502299935</v>
      </c>
      <c r="Y147" s="40">
        <f t="shared" si="62"/>
        <v>45131</v>
      </c>
      <c r="Z147" s="40">
        <f t="shared" si="63"/>
        <v>18824</v>
      </c>
      <c r="AA147" s="40">
        <f t="shared" si="64"/>
        <v>15737</v>
      </c>
      <c r="AB147" s="40">
        <f t="shared" si="65"/>
        <v>11802</v>
      </c>
    </row>
    <row r="148" spans="1:28" ht="15.75" customHeight="1">
      <c r="A148" s="11" t="s">
        <v>622</v>
      </c>
      <c r="B148" s="12" t="s">
        <v>623</v>
      </c>
      <c r="C148" s="13" t="s">
        <v>25</v>
      </c>
      <c r="D148" s="13" t="s">
        <v>410</v>
      </c>
      <c r="E148" s="14">
        <v>44540</v>
      </c>
      <c r="F148" s="15">
        <f t="shared" si="0"/>
        <v>2021</v>
      </c>
      <c r="G148" s="16">
        <f t="shared" si="1"/>
        <v>50</v>
      </c>
      <c r="H148" s="16">
        <f t="shared" si="2"/>
        <v>5</v>
      </c>
      <c r="I148" s="16" t="str">
        <f>VLOOKUP(H148,'Дни недели сортировка'!A:B,2,FALSE)</f>
        <v>05-пятница</v>
      </c>
      <c r="J148" s="17">
        <v>0.59583333333333333</v>
      </c>
      <c r="K148" s="12" t="s">
        <v>27</v>
      </c>
      <c r="L148" s="12" t="s">
        <v>624</v>
      </c>
      <c r="M148" s="12" t="s">
        <v>29</v>
      </c>
      <c r="N148" s="18">
        <v>560494</v>
      </c>
      <c r="O148" s="18">
        <f t="shared" si="72"/>
        <v>549284.12</v>
      </c>
      <c r="P148" s="18">
        <f>O148*17.43%</f>
        <v>95740.222116000004</v>
      </c>
      <c r="Q148" s="18">
        <f>P148*9%</f>
        <v>8616.61999044</v>
      </c>
      <c r="R148" s="18">
        <f t="shared" si="4"/>
        <v>11209.880000000005</v>
      </c>
      <c r="S148" s="18">
        <f t="shared" si="68"/>
        <v>71406.935599999997</v>
      </c>
      <c r="T148" s="12" t="s">
        <v>625</v>
      </c>
      <c r="U148" s="18">
        <v>7324.1269918739999</v>
      </c>
      <c r="V148" s="19">
        <v>4437.6885443764559</v>
      </c>
      <c r="W148" s="19">
        <v>3603.4030980336825</v>
      </c>
      <c r="X148" s="19">
        <v>2630.484261564588</v>
      </c>
      <c r="Y148" s="40">
        <f t="shared" si="62"/>
        <v>7324</v>
      </c>
      <c r="Z148" s="40">
        <f t="shared" si="63"/>
        <v>4437</v>
      </c>
      <c r="AA148" s="40">
        <f t="shared" si="64"/>
        <v>3603</v>
      </c>
      <c r="AB148" s="40">
        <f t="shared" si="65"/>
        <v>2630</v>
      </c>
    </row>
    <row r="149" spans="1:28" ht="15.75" customHeight="1">
      <c r="A149" s="11" t="s">
        <v>626</v>
      </c>
      <c r="B149" s="12" t="s">
        <v>627</v>
      </c>
      <c r="C149" s="13" t="s">
        <v>25</v>
      </c>
      <c r="D149" s="13" t="s">
        <v>410</v>
      </c>
      <c r="E149" s="14">
        <v>44540</v>
      </c>
      <c r="F149" s="15">
        <f t="shared" si="0"/>
        <v>2021</v>
      </c>
      <c r="G149" s="16">
        <f t="shared" si="1"/>
        <v>50</v>
      </c>
      <c r="H149" s="16">
        <f t="shared" si="2"/>
        <v>5</v>
      </c>
      <c r="I149" s="16" t="str">
        <f>VLOOKUP(H149,'Дни недели сортировка'!A:B,2,FALSE)</f>
        <v>05-пятница</v>
      </c>
      <c r="J149" s="17">
        <v>0.59513888888888888</v>
      </c>
      <c r="K149" s="12" t="s">
        <v>27</v>
      </c>
      <c r="L149" s="12" t="s">
        <v>628</v>
      </c>
      <c r="M149" s="12" t="s">
        <v>35</v>
      </c>
      <c r="N149" s="18">
        <v>1857931</v>
      </c>
      <c r="O149" s="18">
        <f>N149-1.5%*N149</f>
        <v>1830062.0349999999</v>
      </c>
      <c r="P149" s="18">
        <f>O149*11.05%</f>
        <v>202221.85486749999</v>
      </c>
      <c r="Q149" s="18">
        <f>P149*8.4%</f>
        <v>16986.63580887</v>
      </c>
      <c r="R149" s="18">
        <f t="shared" si="4"/>
        <v>27868.965000000084</v>
      </c>
      <c r="S149" s="18">
        <f t="shared" si="68"/>
        <v>237908.06455000001</v>
      </c>
      <c r="T149" s="12" t="s">
        <v>629</v>
      </c>
      <c r="U149" s="18">
        <v>15627.704944160401</v>
      </c>
      <c r="V149" s="19">
        <v>6046.3590428956595</v>
      </c>
      <c r="W149" s="19">
        <v>5925.4318620377462</v>
      </c>
      <c r="X149" s="19">
        <v>4681.0911710098198</v>
      </c>
      <c r="Y149" s="40">
        <f t="shared" si="62"/>
        <v>15627</v>
      </c>
      <c r="Z149" s="40">
        <f t="shared" si="63"/>
        <v>6046</v>
      </c>
      <c r="AA149" s="40">
        <f t="shared" si="64"/>
        <v>5925</v>
      </c>
      <c r="AB149" s="40">
        <f t="shared" si="65"/>
        <v>4681</v>
      </c>
    </row>
    <row r="150" spans="1:28" ht="15.75" customHeight="1">
      <c r="A150" s="11" t="s">
        <v>630</v>
      </c>
      <c r="B150" s="12" t="s">
        <v>631</v>
      </c>
      <c r="C150" s="13" t="s">
        <v>25</v>
      </c>
      <c r="D150" s="13" t="s">
        <v>410</v>
      </c>
      <c r="E150" s="14">
        <v>44546</v>
      </c>
      <c r="F150" s="15">
        <f t="shared" si="0"/>
        <v>2021</v>
      </c>
      <c r="G150" s="16">
        <f t="shared" si="1"/>
        <v>50</v>
      </c>
      <c r="H150" s="16">
        <f t="shared" si="2"/>
        <v>4</v>
      </c>
      <c r="I150" s="16" t="str">
        <f>VLOOKUP(H150,'Дни недели сортировка'!A:B,2,FALSE)</f>
        <v>04-четверг</v>
      </c>
      <c r="J150" s="17">
        <v>0.56041666666666667</v>
      </c>
      <c r="K150" s="12" t="s">
        <v>27</v>
      </c>
      <c r="L150" s="12" t="s">
        <v>632</v>
      </c>
      <c r="M150" s="12" t="s">
        <v>41</v>
      </c>
      <c r="N150" s="18">
        <v>2200788</v>
      </c>
      <c r="O150" s="18">
        <f t="shared" ref="O150:O151" si="73">N150-2%*N150</f>
        <v>2156772.2400000002</v>
      </c>
      <c r="P150" s="18">
        <f>O150*9.2%</f>
        <v>198423.04608000003</v>
      </c>
      <c r="Q150" s="18">
        <f>P150*3.9%</f>
        <v>7738.4987971200007</v>
      </c>
      <c r="R150" s="18">
        <f t="shared" si="4"/>
        <v>44015.759999999776</v>
      </c>
      <c r="S150" s="18">
        <f t="shared" si="68"/>
        <v>280380.39120000001</v>
      </c>
      <c r="T150" s="12" t="s">
        <v>633</v>
      </c>
      <c r="U150" s="18">
        <v>7196.8038813216008</v>
      </c>
      <c r="V150" s="19">
        <v>2487.2154213847448</v>
      </c>
      <c r="W150" s="19">
        <v>2163.8774166047278</v>
      </c>
      <c r="X150" s="19">
        <v>1796.0182557819239</v>
      </c>
      <c r="Y150" s="40">
        <f t="shared" si="62"/>
        <v>7196</v>
      </c>
      <c r="Z150" s="40">
        <f t="shared" si="63"/>
        <v>2487</v>
      </c>
      <c r="AA150" s="40">
        <f t="shared" si="64"/>
        <v>2163</v>
      </c>
      <c r="AB150" s="40">
        <f t="shared" si="65"/>
        <v>1796</v>
      </c>
    </row>
    <row r="151" spans="1:28" ht="15.75" customHeight="1">
      <c r="A151" s="11" t="s">
        <v>634</v>
      </c>
      <c r="B151" s="12" t="s">
        <v>635</v>
      </c>
      <c r="C151" s="13" t="s">
        <v>25</v>
      </c>
      <c r="D151" s="13" t="s">
        <v>410</v>
      </c>
      <c r="E151" s="14">
        <v>44546</v>
      </c>
      <c r="F151" s="15">
        <f t="shared" si="0"/>
        <v>2021</v>
      </c>
      <c r="G151" s="16">
        <f t="shared" si="1"/>
        <v>50</v>
      </c>
      <c r="H151" s="16">
        <f t="shared" si="2"/>
        <v>4</v>
      </c>
      <c r="I151" s="16" t="str">
        <f>VLOOKUP(H151,'Дни недели сортировка'!A:B,2,FALSE)</f>
        <v>04-четверг</v>
      </c>
      <c r="J151" s="17">
        <v>0.55694444444444446</v>
      </c>
      <c r="K151" s="12" t="s">
        <v>27</v>
      </c>
      <c r="L151" s="12" t="s">
        <v>636</v>
      </c>
      <c r="M151" s="12" t="s">
        <v>29</v>
      </c>
      <c r="N151" s="18">
        <v>1792197</v>
      </c>
      <c r="O151" s="18">
        <f t="shared" si="73"/>
        <v>1756353.06</v>
      </c>
      <c r="P151" s="18">
        <f>O151*17.43%</f>
        <v>306132.33835800004</v>
      </c>
      <c r="Q151" s="18">
        <f>P151*7.2%</f>
        <v>22041.528361776007</v>
      </c>
      <c r="R151" s="18">
        <f t="shared" si="4"/>
        <v>35843.939999999944</v>
      </c>
      <c r="S151" s="18">
        <f t="shared" ref="S151:S172" si="74">O151*11%</f>
        <v>193198.83660000001</v>
      </c>
      <c r="T151" s="12" t="s">
        <v>637</v>
      </c>
      <c r="U151" s="18">
        <v>20057.790809216167</v>
      </c>
      <c r="V151" s="19">
        <v>4841.9507013447828</v>
      </c>
      <c r="W151" s="19">
        <v>4115.6580961430654</v>
      </c>
      <c r="X151" s="19">
        <v>3374.8396388373135</v>
      </c>
      <c r="Y151" s="40">
        <f t="shared" si="62"/>
        <v>20057</v>
      </c>
      <c r="Z151" s="40">
        <f t="shared" si="63"/>
        <v>4841</v>
      </c>
      <c r="AA151" s="40">
        <f t="shared" si="64"/>
        <v>4115</v>
      </c>
      <c r="AB151" s="40">
        <f t="shared" si="65"/>
        <v>3374</v>
      </c>
    </row>
    <row r="152" spans="1:28" ht="15.75" customHeight="1">
      <c r="A152" s="11" t="s">
        <v>638</v>
      </c>
      <c r="B152" s="12" t="s">
        <v>639</v>
      </c>
      <c r="C152" s="13" t="s">
        <v>25</v>
      </c>
      <c r="D152" s="13" t="s">
        <v>410</v>
      </c>
      <c r="E152" s="14">
        <v>44550</v>
      </c>
      <c r="F152" s="15">
        <f t="shared" si="0"/>
        <v>2021</v>
      </c>
      <c r="G152" s="16">
        <f t="shared" si="1"/>
        <v>51</v>
      </c>
      <c r="H152" s="16">
        <f t="shared" si="2"/>
        <v>1</v>
      </c>
      <c r="I152" s="16" t="str">
        <f>VLOOKUP(H152,'Дни недели сортировка'!A:B,2,FALSE)</f>
        <v>01-понедельник</v>
      </c>
      <c r="J152" s="17">
        <v>0.62013888888888891</v>
      </c>
      <c r="K152" s="12" t="s">
        <v>27</v>
      </c>
      <c r="L152" s="12" t="s">
        <v>640</v>
      </c>
      <c r="M152" s="12" t="s">
        <v>35</v>
      </c>
      <c r="N152" s="18">
        <v>1128193</v>
      </c>
      <c r="O152" s="18">
        <f>N152-1.5%*N152</f>
        <v>1111270.105</v>
      </c>
      <c r="P152" s="18">
        <f>O152*11.05%</f>
        <v>122795.34660249999</v>
      </c>
      <c r="Q152" s="18">
        <f>P152*12%</f>
        <v>14735.441592299998</v>
      </c>
      <c r="R152" s="18">
        <f t="shared" si="4"/>
        <v>16922.895000000019</v>
      </c>
      <c r="S152" s="18">
        <f t="shared" si="74"/>
        <v>122239.71154999999</v>
      </c>
      <c r="T152" s="12" t="s">
        <v>641</v>
      </c>
      <c r="U152" s="18">
        <v>12819.834185300999</v>
      </c>
      <c r="V152" s="19">
        <v>7299.6135851103891</v>
      </c>
      <c r="W152" s="19">
        <v>6204.6715473438308</v>
      </c>
      <c r="X152" s="19">
        <v>4901.6905224016264</v>
      </c>
      <c r="Y152" s="40">
        <f t="shared" si="62"/>
        <v>12819</v>
      </c>
      <c r="Z152" s="40">
        <f t="shared" si="63"/>
        <v>7299</v>
      </c>
      <c r="AA152" s="40">
        <f t="shared" si="64"/>
        <v>6204</v>
      </c>
      <c r="AB152" s="40">
        <f t="shared" si="65"/>
        <v>4901</v>
      </c>
    </row>
    <row r="153" spans="1:28" ht="15.75" customHeight="1">
      <c r="A153" s="11" t="s">
        <v>642</v>
      </c>
      <c r="B153" s="12" t="s">
        <v>643</v>
      </c>
      <c r="C153" s="13" t="s">
        <v>25</v>
      </c>
      <c r="D153" s="13" t="s">
        <v>410</v>
      </c>
      <c r="E153" s="14">
        <v>44550</v>
      </c>
      <c r="F153" s="15">
        <f t="shared" si="0"/>
        <v>2021</v>
      </c>
      <c r="G153" s="16">
        <f t="shared" si="1"/>
        <v>51</v>
      </c>
      <c r="H153" s="16">
        <f t="shared" si="2"/>
        <v>1</v>
      </c>
      <c r="I153" s="16" t="str">
        <f>VLOOKUP(H153,'Дни недели сортировка'!A:B,2,FALSE)</f>
        <v>01-понедельник</v>
      </c>
      <c r="J153" s="17">
        <v>0.7104166666666667</v>
      </c>
      <c r="K153" s="12" t="s">
        <v>27</v>
      </c>
      <c r="L153" s="12" t="s">
        <v>644</v>
      </c>
      <c r="M153" s="12" t="s">
        <v>41</v>
      </c>
      <c r="N153" s="18">
        <v>1990579</v>
      </c>
      <c r="O153" s="18">
        <f t="shared" ref="O153:O154" si="75">N153-2%*N153</f>
        <v>1950767.42</v>
      </c>
      <c r="P153" s="18">
        <f>O153*9.2%</f>
        <v>179470.60264</v>
      </c>
      <c r="Q153" s="18">
        <f>P153*9%</f>
        <v>16152.354237599999</v>
      </c>
      <c r="R153" s="18">
        <f t="shared" si="4"/>
        <v>39811.580000000075</v>
      </c>
      <c r="S153" s="18">
        <f t="shared" si="74"/>
        <v>214584.41620000001</v>
      </c>
      <c r="T153" s="12" t="s">
        <v>645</v>
      </c>
      <c r="U153" s="18">
        <v>11145.124423943998</v>
      </c>
      <c r="V153" s="19">
        <v>2894.3888128982567</v>
      </c>
      <c r="W153" s="19">
        <v>2419.7090475829423</v>
      </c>
      <c r="X153" s="19">
        <v>1814.7817856872066</v>
      </c>
      <c r="Y153" s="40">
        <f t="shared" si="62"/>
        <v>11145</v>
      </c>
      <c r="Z153" s="40">
        <f t="shared" si="63"/>
        <v>2894</v>
      </c>
      <c r="AA153" s="40">
        <f t="shared" si="64"/>
        <v>2419</v>
      </c>
      <c r="AB153" s="40">
        <f t="shared" si="65"/>
        <v>1814</v>
      </c>
    </row>
    <row r="154" spans="1:28" ht="15.75" customHeight="1">
      <c r="A154" s="11" t="s">
        <v>646</v>
      </c>
      <c r="B154" s="12" t="s">
        <v>647</v>
      </c>
      <c r="C154" s="13" t="s">
        <v>25</v>
      </c>
      <c r="D154" s="13" t="s">
        <v>26</v>
      </c>
      <c r="E154" s="14">
        <v>44498</v>
      </c>
      <c r="F154" s="15">
        <f t="shared" si="0"/>
        <v>2021</v>
      </c>
      <c r="G154" s="16">
        <f t="shared" si="1"/>
        <v>44</v>
      </c>
      <c r="H154" s="16">
        <f t="shared" si="2"/>
        <v>5</v>
      </c>
      <c r="I154" s="16" t="str">
        <f>VLOOKUP(H154,'Дни недели сортировка'!A:B,2,FALSE)</f>
        <v>05-пятница</v>
      </c>
      <c r="J154" s="17">
        <v>0.78472222222222221</v>
      </c>
      <c r="K154" s="12" t="s">
        <v>27</v>
      </c>
      <c r="L154" s="12" t="s">
        <v>648</v>
      </c>
      <c r="M154" s="12" t="s">
        <v>29</v>
      </c>
      <c r="N154" s="18">
        <v>2172492</v>
      </c>
      <c r="O154" s="18">
        <f t="shared" si="75"/>
        <v>2129042.16</v>
      </c>
      <c r="P154" s="18">
        <f>O154*11.05%</f>
        <v>235259.15868000002</v>
      </c>
      <c r="Q154" s="18">
        <f>P154*8.4%</f>
        <v>19761.769329120005</v>
      </c>
      <c r="R154" s="18">
        <f t="shared" si="4"/>
        <v>43449.839999999851</v>
      </c>
      <c r="S154" s="18">
        <f t="shared" si="74"/>
        <v>234194.63760000002</v>
      </c>
      <c r="T154" s="12" t="s">
        <v>649</v>
      </c>
      <c r="U154" s="18">
        <v>19168.916249246406</v>
      </c>
      <c r="V154" s="19">
        <v>7995.3549675606746</v>
      </c>
      <c r="W154" s="19">
        <v>6492.228233659268</v>
      </c>
      <c r="X154" s="19">
        <v>4739.3266105712655</v>
      </c>
      <c r="Y154" s="40">
        <f t="shared" si="62"/>
        <v>19168</v>
      </c>
      <c r="Z154" s="40">
        <f t="shared" si="63"/>
        <v>7995</v>
      </c>
      <c r="AA154" s="40">
        <f t="shared" si="64"/>
        <v>6492</v>
      </c>
      <c r="AB154" s="40">
        <f t="shared" si="65"/>
        <v>4739</v>
      </c>
    </row>
    <row r="155" spans="1:28" ht="15.75" customHeight="1">
      <c r="A155" s="11" t="s">
        <v>650</v>
      </c>
      <c r="B155" s="12" t="s">
        <v>651</v>
      </c>
      <c r="C155" s="13" t="s">
        <v>25</v>
      </c>
      <c r="D155" s="13" t="s">
        <v>410</v>
      </c>
      <c r="E155" s="14">
        <v>44550</v>
      </c>
      <c r="F155" s="15">
        <f t="shared" si="0"/>
        <v>2021</v>
      </c>
      <c r="G155" s="16">
        <f t="shared" si="1"/>
        <v>51</v>
      </c>
      <c r="H155" s="16">
        <f t="shared" si="2"/>
        <v>1</v>
      </c>
      <c r="I155" s="16" t="str">
        <f>VLOOKUP(H155,'Дни недели сортировка'!A:B,2,FALSE)</f>
        <v>01-понедельник</v>
      </c>
      <c r="J155" s="17">
        <v>0.69652777777777775</v>
      </c>
      <c r="K155" s="12" t="s">
        <v>27</v>
      </c>
      <c r="L155" s="12" t="s">
        <v>652</v>
      </c>
      <c r="M155" s="12" t="s">
        <v>35</v>
      </c>
      <c r="N155" s="18">
        <v>2175402</v>
      </c>
      <c r="O155" s="18">
        <f>N155-1.5%*N155</f>
        <v>2142770.9700000002</v>
      </c>
      <c r="P155" s="18">
        <f>O155*18%</f>
        <v>385698.7746</v>
      </c>
      <c r="Q155" s="18">
        <f>P155*3.9%</f>
        <v>15042.2522094</v>
      </c>
      <c r="R155" s="18">
        <f t="shared" si="4"/>
        <v>32631.029999999795</v>
      </c>
      <c r="S155" s="18">
        <f t="shared" si="74"/>
        <v>235704.80670000002</v>
      </c>
      <c r="T155" s="12" t="s">
        <v>653</v>
      </c>
      <c r="U155" s="18">
        <v>12785.914377989999</v>
      </c>
      <c r="V155" s="19">
        <v>7746.9855216241394</v>
      </c>
      <c r="W155" s="19">
        <v>7592.0458111916569</v>
      </c>
      <c r="X155" s="19">
        <v>5997.7161908414091</v>
      </c>
      <c r="Y155" s="40">
        <f t="shared" si="62"/>
        <v>12785</v>
      </c>
      <c r="Z155" s="40">
        <f t="shared" si="63"/>
        <v>7746</v>
      </c>
      <c r="AA155" s="40">
        <f t="shared" si="64"/>
        <v>7592</v>
      </c>
      <c r="AB155" s="40">
        <f t="shared" si="65"/>
        <v>5997</v>
      </c>
    </row>
    <row r="156" spans="1:28" ht="15.75" customHeight="1">
      <c r="A156" s="11" t="s">
        <v>654</v>
      </c>
      <c r="B156" s="12" t="s">
        <v>655</v>
      </c>
      <c r="C156" s="13" t="s">
        <v>25</v>
      </c>
      <c r="D156" s="13" t="s">
        <v>410</v>
      </c>
      <c r="E156" s="14">
        <v>44550</v>
      </c>
      <c r="F156" s="15">
        <f t="shared" si="0"/>
        <v>2021</v>
      </c>
      <c r="G156" s="16">
        <f t="shared" si="1"/>
        <v>51</v>
      </c>
      <c r="H156" s="16">
        <f t="shared" si="2"/>
        <v>1</v>
      </c>
      <c r="I156" s="16" t="str">
        <f>VLOOKUP(H156,'Дни недели сортировка'!A:B,2,FALSE)</f>
        <v>01-понедельник</v>
      </c>
      <c r="J156" s="17">
        <v>0.73055555555555551</v>
      </c>
      <c r="K156" s="12" t="s">
        <v>27</v>
      </c>
      <c r="L156" s="12" t="s">
        <v>656</v>
      </c>
      <c r="M156" s="12" t="s">
        <v>41</v>
      </c>
      <c r="N156" s="18">
        <v>1091818</v>
      </c>
      <c r="O156" s="18">
        <f t="shared" ref="O156:O157" si="76">N156-2%*N156</f>
        <v>1069981.6399999999</v>
      </c>
      <c r="P156" s="18">
        <f>O156*11.05%</f>
        <v>118232.97121999999</v>
      </c>
      <c r="Q156" s="18">
        <f>P156*7.2%</f>
        <v>8512.7739278400004</v>
      </c>
      <c r="R156" s="18">
        <f t="shared" si="4"/>
        <v>21836.360000000102</v>
      </c>
      <c r="S156" s="18">
        <f t="shared" si="74"/>
        <v>117697.98039999999</v>
      </c>
      <c r="T156" s="12" t="s">
        <v>657</v>
      </c>
      <c r="U156" s="18">
        <v>7831.7520136128005</v>
      </c>
      <c r="V156" s="19">
        <v>3030.1048540667925</v>
      </c>
      <c r="W156" s="19">
        <v>2636.1912230381095</v>
      </c>
      <c r="X156" s="19">
        <v>2188.038715121631</v>
      </c>
      <c r="Y156" s="40">
        <f t="shared" si="62"/>
        <v>7831</v>
      </c>
      <c r="Z156" s="40">
        <f t="shared" si="63"/>
        <v>3030</v>
      </c>
      <c r="AA156" s="40">
        <f t="shared" si="64"/>
        <v>2636</v>
      </c>
      <c r="AB156" s="40">
        <f t="shared" si="65"/>
        <v>2188</v>
      </c>
    </row>
    <row r="157" spans="1:28" ht="15.75" customHeight="1">
      <c r="A157" s="11" t="s">
        <v>658</v>
      </c>
      <c r="B157" s="12" t="s">
        <v>659</v>
      </c>
      <c r="C157" s="13" t="s">
        <v>25</v>
      </c>
      <c r="D157" s="13" t="s">
        <v>410</v>
      </c>
      <c r="E157" s="14">
        <v>44550</v>
      </c>
      <c r="F157" s="15">
        <f t="shared" si="0"/>
        <v>2021</v>
      </c>
      <c r="G157" s="16">
        <f t="shared" si="1"/>
        <v>51</v>
      </c>
      <c r="H157" s="16">
        <f t="shared" si="2"/>
        <v>1</v>
      </c>
      <c r="I157" s="16" t="str">
        <f>VLOOKUP(H157,'Дни недели сортировка'!A:B,2,FALSE)</f>
        <v>01-понедельник</v>
      </c>
      <c r="J157" s="17">
        <v>0.69374999999999998</v>
      </c>
      <c r="K157" s="12" t="s">
        <v>27</v>
      </c>
      <c r="L157" s="12" t="s">
        <v>660</v>
      </c>
      <c r="M157" s="12" t="s">
        <v>29</v>
      </c>
      <c r="N157" s="18">
        <v>2150823</v>
      </c>
      <c r="O157" s="18">
        <f t="shared" si="76"/>
        <v>2107806.54</v>
      </c>
      <c r="P157" s="18">
        <f>O157*18%</f>
        <v>379405.17719999998</v>
      </c>
      <c r="Q157" s="18">
        <f>P157*12%</f>
        <v>45528.621263999994</v>
      </c>
      <c r="R157" s="18">
        <f t="shared" si="4"/>
        <v>43016.459999999963</v>
      </c>
      <c r="S157" s="18">
        <f t="shared" si="74"/>
        <v>231858.7194</v>
      </c>
      <c r="T157" s="12" t="s">
        <v>661</v>
      </c>
      <c r="U157" s="18">
        <v>42341.617775519997</v>
      </c>
      <c r="V157" s="19">
        <v>14633.26310321971</v>
      </c>
      <c r="W157" s="19">
        <v>12438.273637736753</v>
      </c>
      <c r="X157" s="19">
        <v>10199.384382944138</v>
      </c>
      <c r="Y157" s="40">
        <f t="shared" si="62"/>
        <v>42341</v>
      </c>
      <c r="Z157" s="40">
        <f t="shared" si="63"/>
        <v>14633</v>
      </c>
      <c r="AA157" s="40">
        <f t="shared" si="64"/>
        <v>12438</v>
      </c>
      <c r="AB157" s="40">
        <f t="shared" si="65"/>
        <v>10199</v>
      </c>
    </row>
    <row r="158" spans="1:28" ht="15.75" customHeight="1">
      <c r="A158" s="11" t="s">
        <v>662</v>
      </c>
      <c r="B158" s="12" t="s">
        <v>663</v>
      </c>
      <c r="C158" s="13" t="s">
        <v>25</v>
      </c>
      <c r="D158" s="13" t="s">
        <v>410</v>
      </c>
      <c r="E158" s="14">
        <v>44551</v>
      </c>
      <c r="F158" s="15">
        <f t="shared" si="0"/>
        <v>2021</v>
      </c>
      <c r="G158" s="16">
        <f t="shared" si="1"/>
        <v>51</v>
      </c>
      <c r="H158" s="16">
        <f t="shared" si="2"/>
        <v>2</v>
      </c>
      <c r="I158" s="16" t="str">
        <f>VLOOKUP(H158,'Дни недели сортировка'!A:B,2,FALSE)</f>
        <v>02-вторник</v>
      </c>
      <c r="J158" s="17">
        <v>0.58472222222222225</v>
      </c>
      <c r="K158" s="12" t="s">
        <v>27</v>
      </c>
      <c r="L158" s="12" t="s">
        <v>664</v>
      </c>
      <c r="M158" s="12" t="s">
        <v>35</v>
      </c>
      <c r="N158" s="18">
        <v>2268535</v>
      </c>
      <c r="O158" s="18">
        <f>N158-1.5%*N158</f>
        <v>2234506.9750000001</v>
      </c>
      <c r="P158" s="18">
        <f>O158*17.43%</f>
        <v>389474.56574250007</v>
      </c>
      <c r="Q158" s="18">
        <f>P158*9%</f>
        <v>35052.710916825003</v>
      </c>
      <c r="R158" s="18">
        <f t="shared" si="4"/>
        <v>34028.024999999907</v>
      </c>
      <c r="S158" s="18">
        <f t="shared" si="74"/>
        <v>245795.76725</v>
      </c>
      <c r="T158" s="12" t="s">
        <v>665</v>
      </c>
      <c r="U158" s="18">
        <v>31897.966934310753</v>
      </c>
      <c r="V158" s="19">
        <v>7700.1692179426154</v>
      </c>
      <c r="W158" s="19">
        <v>6437.3414662000259</v>
      </c>
      <c r="X158" s="19">
        <v>5085.4997582980204</v>
      </c>
      <c r="Y158" s="40">
        <f t="shared" si="62"/>
        <v>31897</v>
      </c>
      <c r="Z158" s="40">
        <f t="shared" si="63"/>
        <v>7700</v>
      </c>
      <c r="AA158" s="40">
        <f t="shared" si="64"/>
        <v>6437</v>
      </c>
      <c r="AB158" s="40">
        <f t="shared" si="65"/>
        <v>5085</v>
      </c>
    </row>
    <row r="159" spans="1:28" ht="15.75" customHeight="1">
      <c r="A159" s="11" t="s">
        <v>666</v>
      </c>
      <c r="B159" s="12" t="s">
        <v>667</v>
      </c>
      <c r="C159" s="13" t="s">
        <v>25</v>
      </c>
      <c r="D159" s="13" t="s">
        <v>410</v>
      </c>
      <c r="E159" s="14">
        <v>44558</v>
      </c>
      <c r="F159" s="15">
        <f t="shared" si="0"/>
        <v>2021</v>
      </c>
      <c r="G159" s="16">
        <f t="shared" si="1"/>
        <v>52</v>
      </c>
      <c r="H159" s="16">
        <f t="shared" si="2"/>
        <v>2</v>
      </c>
      <c r="I159" s="16" t="str">
        <f>VLOOKUP(H159,'Дни недели сортировка'!A:B,2,FALSE)</f>
        <v>02-вторник</v>
      </c>
      <c r="J159" s="17">
        <v>0.59652777777777777</v>
      </c>
      <c r="K159" s="12" t="s">
        <v>27</v>
      </c>
      <c r="L159" s="12" t="s">
        <v>668</v>
      </c>
      <c r="M159" s="12" t="s">
        <v>41</v>
      </c>
      <c r="N159" s="18">
        <v>1442683</v>
      </c>
      <c r="O159" s="18">
        <f t="shared" ref="O159:O160" si="77">N159-2%*N159</f>
        <v>1413829.34</v>
      </c>
      <c r="P159" s="18">
        <f>O159*11.05%</f>
        <v>156228.14207</v>
      </c>
      <c r="Q159" s="18">
        <f>P159*8.4%</f>
        <v>13123.163933880001</v>
      </c>
      <c r="R159" s="18">
        <f t="shared" si="4"/>
        <v>28853.659999999916</v>
      </c>
      <c r="S159" s="18">
        <f t="shared" si="74"/>
        <v>155521.2274</v>
      </c>
      <c r="T159" s="12" t="s">
        <v>669</v>
      </c>
      <c r="U159" s="18">
        <v>11417.152622475602</v>
      </c>
      <c r="V159" s="19">
        <v>6500.9267032376074</v>
      </c>
      <c r="W159" s="19">
        <v>5278.7524830289376</v>
      </c>
      <c r="X159" s="19">
        <v>3959.0643622717034</v>
      </c>
      <c r="Y159" s="40">
        <f t="shared" si="62"/>
        <v>11417</v>
      </c>
      <c r="Z159" s="40">
        <f t="shared" si="63"/>
        <v>6500</v>
      </c>
      <c r="AA159" s="40">
        <f t="shared" si="64"/>
        <v>5278</v>
      </c>
      <c r="AB159" s="40">
        <f t="shared" si="65"/>
        <v>3959</v>
      </c>
    </row>
    <row r="160" spans="1:28" ht="15.75" customHeight="1">
      <c r="A160" s="11" t="s">
        <v>670</v>
      </c>
      <c r="B160" s="12" t="s">
        <v>671</v>
      </c>
      <c r="C160" s="13" t="s">
        <v>25</v>
      </c>
      <c r="D160" s="13" t="s">
        <v>503</v>
      </c>
      <c r="E160" s="14">
        <v>44566</v>
      </c>
      <c r="F160" s="15">
        <f t="shared" si="0"/>
        <v>2022</v>
      </c>
      <c r="G160" s="16">
        <f t="shared" si="1"/>
        <v>1</v>
      </c>
      <c r="H160" s="16">
        <f t="shared" si="2"/>
        <v>3</v>
      </c>
      <c r="I160" s="16" t="str">
        <f>VLOOKUP(H160,'Дни недели сортировка'!A:B,2,FALSE)</f>
        <v>03-среда</v>
      </c>
      <c r="J160" s="17">
        <v>0.46041666666666664</v>
      </c>
      <c r="K160" s="12" t="s">
        <v>27</v>
      </c>
      <c r="L160" s="12" t="s">
        <v>672</v>
      </c>
      <c r="M160" s="12" t="s">
        <v>29</v>
      </c>
      <c r="N160" s="18">
        <v>919076</v>
      </c>
      <c r="O160" s="18">
        <f t="shared" si="77"/>
        <v>900694.48</v>
      </c>
      <c r="P160" s="18">
        <f>O160*9.2%</f>
        <v>82863.892160000003</v>
      </c>
      <c r="Q160" s="18">
        <f>P160*3.9%</f>
        <v>3231.69179424</v>
      </c>
      <c r="R160" s="18">
        <f t="shared" si="4"/>
        <v>18381.520000000019</v>
      </c>
      <c r="S160" s="18">
        <f t="shared" si="74"/>
        <v>99076.392800000001</v>
      </c>
      <c r="T160" s="12" t="s">
        <v>673</v>
      </c>
      <c r="U160" s="18">
        <v>2229.8673380256</v>
      </c>
      <c r="V160" s="19">
        <v>579.09654768524831</v>
      </c>
      <c r="W160" s="19">
        <v>567.51461673154336</v>
      </c>
      <c r="X160" s="19">
        <v>414.28567021402665</v>
      </c>
      <c r="Y160" s="40">
        <f t="shared" si="62"/>
        <v>2229</v>
      </c>
      <c r="Z160" s="40">
        <f t="shared" si="63"/>
        <v>579</v>
      </c>
      <c r="AA160" s="40">
        <f t="shared" si="64"/>
        <v>567</v>
      </c>
      <c r="AB160" s="40">
        <f t="shared" si="65"/>
        <v>414</v>
      </c>
    </row>
    <row r="161" spans="1:28" ht="15.75" customHeight="1">
      <c r="A161" s="11" t="s">
        <v>674</v>
      </c>
      <c r="B161" s="12" t="s">
        <v>675</v>
      </c>
      <c r="C161" s="13" t="s">
        <v>25</v>
      </c>
      <c r="D161" s="13" t="s">
        <v>503</v>
      </c>
      <c r="E161" s="14">
        <v>44566</v>
      </c>
      <c r="F161" s="15">
        <f t="shared" si="0"/>
        <v>2022</v>
      </c>
      <c r="G161" s="16">
        <f t="shared" si="1"/>
        <v>1</v>
      </c>
      <c r="H161" s="16">
        <f t="shared" si="2"/>
        <v>3</v>
      </c>
      <c r="I161" s="16" t="str">
        <f>VLOOKUP(H161,'Дни недели сортировка'!A:B,2,FALSE)</f>
        <v>03-среда</v>
      </c>
      <c r="J161" s="17">
        <v>0.46041666666666664</v>
      </c>
      <c r="K161" s="12" t="s">
        <v>27</v>
      </c>
      <c r="L161" s="12" t="s">
        <v>676</v>
      </c>
      <c r="M161" s="12" t="s">
        <v>35</v>
      </c>
      <c r="N161" s="18">
        <v>773615</v>
      </c>
      <c r="O161" s="18">
        <f>N161-1.5%*N161</f>
        <v>762010.77500000002</v>
      </c>
      <c r="P161" s="18">
        <f>O161*17.43%</f>
        <v>132818.47808250002</v>
      </c>
      <c r="Q161" s="18">
        <f>P161*7.2%</f>
        <v>9562.9304219400019</v>
      </c>
      <c r="R161" s="18">
        <f t="shared" si="4"/>
        <v>11604.224999999977</v>
      </c>
      <c r="S161" s="18">
        <f t="shared" si="74"/>
        <v>83821.18525000001</v>
      </c>
      <c r="T161" s="12" t="s">
        <v>677</v>
      </c>
      <c r="U161" s="18">
        <v>9276.0425092818023</v>
      </c>
      <c r="V161" s="19">
        <v>3869.0373306214397</v>
      </c>
      <c r="W161" s="19">
        <v>3366.0624776406526</v>
      </c>
      <c r="X161" s="19">
        <v>2659.1893573361158</v>
      </c>
      <c r="Y161" s="40">
        <f t="shared" si="62"/>
        <v>9276</v>
      </c>
      <c r="Z161" s="40">
        <f t="shared" si="63"/>
        <v>3869</v>
      </c>
      <c r="AA161" s="40">
        <f t="shared" si="64"/>
        <v>3366</v>
      </c>
      <c r="AB161" s="40">
        <f t="shared" si="65"/>
        <v>2659</v>
      </c>
    </row>
    <row r="162" spans="1:28" ht="15.75" customHeight="1">
      <c r="A162" s="11" t="s">
        <v>678</v>
      </c>
      <c r="B162" s="12" t="s">
        <v>679</v>
      </c>
      <c r="C162" s="13" t="s">
        <v>25</v>
      </c>
      <c r="D162" s="13" t="s">
        <v>503</v>
      </c>
      <c r="E162" s="14">
        <v>44571</v>
      </c>
      <c r="F162" s="15">
        <f t="shared" si="0"/>
        <v>2022</v>
      </c>
      <c r="G162" s="16">
        <f t="shared" si="1"/>
        <v>2</v>
      </c>
      <c r="H162" s="16">
        <f t="shared" si="2"/>
        <v>1</v>
      </c>
      <c r="I162" s="16" t="str">
        <f>VLOOKUP(H162,'Дни недели сортировка'!A:B,2,FALSE)</f>
        <v>01-понедельник</v>
      </c>
      <c r="J162" s="17">
        <v>0.62083333333333335</v>
      </c>
      <c r="K162" s="12" t="s">
        <v>27</v>
      </c>
      <c r="L162" s="12" t="s">
        <v>680</v>
      </c>
      <c r="M162" s="12" t="s">
        <v>29</v>
      </c>
      <c r="N162" s="18">
        <v>1588300</v>
      </c>
      <c r="O162" s="18">
        <f t="shared" ref="O162:O163" si="78">N162-2%*N162</f>
        <v>1556534</v>
      </c>
      <c r="P162" s="18">
        <f>O162*11.05%</f>
        <v>171997.00700000001</v>
      </c>
      <c r="Q162" s="18">
        <f>P162*12%</f>
        <v>20639.64084</v>
      </c>
      <c r="R162" s="18">
        <f t="shared" si="4"/>
        <v>31766</v>
      </c>
      <c r="S162" s="18">
        <f t="shared" si="74"/>
        <v>171218.74</v>
      </c>
      <c r="T162" s="12" t="s">
        <v>681</v>
      </c>
      <c r="U162" s="18">
        <v>17543.694714000001</v>
      </c>
      <c r="V162" s="19">
        <v>10629.724627212599</v>
      </c>
      <c r="W162" s="19">
        <v>9035.2659331307095</v>
      </c>
      <c r="X162" s="19">
        <v>7499.2707244984886</v>
      </c>
      <c r="Y162" s="40">
        <f t="shared" si="62"/>
        <v>17543</v>
      </c>
      <c r="Z162" s="40">
        <f t="shared" si="63"/>
        <v>10629</v>
      </c>
      <c r="AA162" s="40">
        <f t="shared" si="64"/>
        <v>9035</v>
      </c>
      <c r="AB162" s="40">
        <f t="shared" si="65"/>
        <v>7499</v>
      </c>
    </row>
    <row r="163" spans="1:28" ht="15.75" customHeight="1">
      <c r="A163" s="11" t="s">
        <v>682</v>
      </c>
      <c r="B163" s="12" t="s">
        <v>683</v>
      </c>
      <c r="C163" s="13" t="s">
        <v>25</v>
      </c>
      <c r="D163" s="13" t="s">
        <v>503</v>
      </c>
      <c r="E163" s="14">
        <v>44571</v>
      </c>
      <c r="F163" s="15">
        <f t="shared" si="0"/>
        <v>2022</v>
      </c>
      <c r="G163" s="16">
        <f t="shared" si="1"/>
        <v>2</v>
      </c>
      <c r="H163" s="16">
        <f t="shared" si="2"/>
        <v>1</v>
      </c>
      <c r="I163" s="16" t="str">
        <f>VLOOKUP(H163,'Дни недели сортировка'!A:B,2,FALSE)</f>
        <v>01-понедельник</v>
      </c>
      <c r="J163" s="17">
        <v>0.62291666666666667</v>
      </c>
      <c r="K163" s="12" t="s">
        <v>27</v>
      </c>
      <c r="L163" s="12" t="s">
        <v>684</v>
      </c>
      <c r="M163" s="12" t="s">
        <v>35</v>
      </c>
      <c r="N163" s="18">
        <v>1759690</v>
      </c>
      <c r="O163" s="18">
        <f t="shared" si="78"/>
        <v>1724496.2</v>
      </c>
      <c r="P163" s="18">
        <f>O163*9.2%</f>
        <v>158653.65039999998</v>
      </c>
      <c r="Q163" s="18">
        <f>P163*9%</f>
        <v>14278.828535999997</v>
      </c>
      <c r="R163" s="18">
        <f t="shared" si="4"/>
        <v>35193.800000000047</v>
      </c>
      <c r="S163" s="18">
        <f t="shared" si="74"/>
        <v>189694.58199999999</v>
      </c>
      <c r="T163" s="12" t="s">
        <v>685</v>
      </c>
      <c r="U163" s="18">
        <v>13136.522253119998</v>
      </c>
      <c r="V163" s="19">
        <v>5082.5204597321272</v>
      </c>
      <c r="W163" s="19">
        <v>4320.1423907723083</v>
      </c>
      <c r="X163" s="19">
        <v>3542.5167604332928</v>
      </c>
      <c r="Y163" s="40">
        <f t="shared" si="62"/>
        <v>13136</v>
      </c>
      <c r="Z163" s="40">
        <f t="shared" si="63"/>
        <v>5082</v>
      </c>
      <c r="AA163" s="40">
        <f t="shared" si="64"/>
        <v>4320</v>
      </c>
      <c r="AB163" s="40">
        <f t="shared" si="65"/>
        <v>3542</v>
      </c>
    </row>
    <row r="164" spans="1:28" ht="15.75" customHeight="1">
      <c r="A164" s="11" t="s">
        <v>686</v>
      </c>
      <c r="B164" s="12" t="s">
        <v>687</v>
      </c>
      <c r="C164" s="13" t="s">
        <v>25</v>
      </c>
      <c r="D164" s="13" t="s">
        <v>503</v>
      </c>
      <c r="E164" s="14">
        <v>44575</v>
      </c>
      <c r="F164" s="15">
        <f t="shared" si="0"/>
        <v>2022</v>
      </c>
      <c r="G164" s="16">
        <f t="shared" si="1"/>
        <v>3</v>
      </c>
      <c r="H164" s="16">
        <f t="shared" si="2"/>
        <v>5</v>
      </c>
      <c r="I164" s="16" t="str">
        <f>VLOOKUP(H164,'Дни недели сортировка'!A:B,2,FALSE)</f>
        <v>05-пятница</v>
      </c>
      <c r="J164" s="17">
        <v>0.51249999999999996</v>
      </c>
      <c r="K164" s="12" t="s">
        <v>27</v>
      </c>
      <c r="L164" s="12" t="s">
        <v>688</v>
      </c>
      <c r="M164" s="12" t="s">
        <v>41</v>
      </c>
      <c r="N164" s="18">
        <v>1925119</v>
      </c>
      <c r="O164" s="18">
        <f>N164-1.5%*N164</f>
        <v>1896242.2150000001</v>
      </c>
      <c r="P164" s="18">
        <f>O164*11.05%</f>
        <v>209534.7647575</v>
      </c>
      <c r="Q164" s="18">
        <f>P164*8.4%</f>
        <v>17600.920239630002</v>
      </c>
      <c r="R164" s="18">
        <f t="shared" si="4"/>
        <v>28876.784999999916</v>
      </c>
      <c r="S164" s="18">
        <f t="shared" si="74"/>
        <v>208586.64365000001</v>
      </c>
      <c r="T164" s="12" t="s">
        <v>689</v>
      </c>
      <c r="U164" s="18">
        <v>16368.855822855903</v>
      </c>
      <c r="V164" s="19">
        <v>5657.076572379</v>
      </c>
      <c r="W164" s="19">
        <v>4729.3160145088441</v>
      </c>
      <c r="X164" s="19">
        <v>3736.1596514619869</v>
      </c>
      <c r="Y164" s="40">
        <f t="shared" si="62"/>
        <v>16368</v>
      </c>
      <c r="Z164" s="40">
        <f t="shared" si="63"/>
        <v>5657</v>
      </c>
      <c r="AA164" s="40">
        <f t="shared" si="64"/>
        <v>4729</v>
      </c>
      <c r="AB164" s="40">
        <f t="shared" si="65"/>
        <v>3736</v>
      </c>
    </row>
    <row r="165" spans="1:28" ht="15.75" customHeight="1">
      <c r="A165" s="11" t="s">
        <v>690</v>
      </c>
      <c r="B165" s="12" t="s">
        <v>691</v>
      </c>
      <c r="C165" s="13" t="s">
        <v>25</v>
      </c>
      <c r="D165" s="13" t="s">
        <v>33</v>
      </c>
      <c r="E165" s="14">
        <v>44503</v>
      </c>
      <c r="F165" s="15">
        <f t="shared" si="0"/>
        <v>2021</v>
      </c>
      <c r="G165" s="16">
        <f t="shared" si="1"/>
        <v>44</v>
      </c>
      <c r="H165" s="16">
        <f t="shared" si="2"/>
        <v>3</v>
      </c>
      <c r="I165" s="16" t="str">
        <f>VLOOKUP(H165,'Дни недели сортировка'!A:B,2,FALSE)</f>
        <v>03-среда</v>
      </c>
      <c r="J165" s="17">
        <v>0.61319444444444449</v>
      </c>
      <c r="K165" s="12" t="s">
        <v>27</v>
      </c>
      <c r="L165" s="12" t="s">
        <v>692</v>
      </c>
      <c r="M165" s="12" t="s">
        <v>29</v>
      </c>
      <c r="N165" s="18">
        <v>1426654</v>
      </c>
      <c r="O165" s="18">
        <f t="shared" ref="O165:O166" si="79">N165-2%*N165</f>
        <v>1398120.92</v>
      </c>
      <c r="P165" s="18">
        <f>O165*18%</f>
        <v>251661.76559999998</v>
      </c>
      <c r="Q165" s="18">
        <f>P165*3.9%</f>
        <v>9814.8088583999997</v>
      </c>
      <c r="R165" s="18">
        <f t="shared" si="4"/>
        <v>28533.080000000075</v>
      </c>
      <c r="S165" s="18">
        <f t="shared" si="74"/>
        <v>153793.30119999999</v>
      </c>
      <c r="T165" s="12" t="s">
        <v>693</v>
      </c>
      <c r="U165" s="18">
        <v>8931.4760611439997</v>
      </c>
      <c r="V165" s="19">
        <v>2156.0583211601615</v>
      </c>
      <c r="W165" s="19">
        <v>1750.7193567820514</v>
      </c>
      <c r="X165" s="19">
        <v>1313.0395175865385</v>
      </c>
      <c r="Y165" s="40">
        <f t="shared" si="62"/>
        <v>8931</v>
      </c>
      <c r="Z165" s="40">
        <f t="shared" si="63"/>
        <v>2156</v>
      </c>
      <c r="AA165" s="40">
        <f t="shared" si="64"/>
        <v>1750</v>
      </c>
      <c r="AB165" s="40">
        <f t="shared" si="65"/>
        <v>1313</v>
      </c>
    </row>
    <row r="166" spans="1:28" ht="15.75" customHeight="1">
      <c r="A166" s="11" t="s">
        <v>694</v>
      </c>
      <c r="B166" s="12" t="s">
        <v>695</v>
      </c>
      <c r="C166" s="13" t="s">
        <v>25</v>
      </c>
      <c r="D166" s="13" t="s">
        <v>503</v>
      </c>
      <c r="E166" s="14">
        <v>44575</v>
      </c>
      <c r="F166" s="15">
        <f t="shared" si="0"/>
        <v>2022</v>
      </c>
      <c r="G166" s="16">
        <f t="shared" si="1"/>
        <v>3</v>
      </c>
      <c r="H166" s="16">
        <f t="shared" si="2"/>
        <v>5</v>
      </c>
      <c r="I166" s="16" t="str">
        <f>VLOOKUP(H166,'Дни недели сортировка'!A:B,2,FALSE)</f>
        <v>05-пятница</v>
      </c>
      <c r="J166" s="17">
        <v>0.51249999999999996</v>
      </c>
      <c r="K166" s="12" t="s">
        <v>27</v>
      </c>
      <c r="L166" s="12" t="s">
        <v>696</v>
      </c>
      <c r="M166" s="12" t="s">
        <v>35</v>
      </c>
      <c r="N166" s="18">
        <v>2113773</v>
      </c>
      <c r="O166" s="18">
        <f t="shared" si="79"/>
        <v>2071497.54</v>
      </c>
      <c r="P166" s="18">
        <f>O166*17.43%</f>
        <v>361062.02122200001</v>
      </c>
      <c r="Q166" s="18">
        <f>P166*7.2%</f>
        <v>25996.465527984004</v>
      </c>
      <c r="R166" s="18">
        <f t="shared" si="4"/>
        <v>42275.459999999963</v>
      </c>
      <c r="S166" s="18">
        <f t="shared" si="74"/>
        <v>227864.72940000001</v>
      </c>
      <c r="T166" s="12" t="s">
        <v>697</v>
      </c>
      <c r="U166" s="18">
        <v>22616.925009346083</v>
      </c>
      <c r="V166" s="19">
        <v>12878.07710032166</v>
      </c>
      <c r="W166" s="19">
        <v>12620.515558315226</v>
      </c>
      <c r="X166" s="19">
        <v>9212.9763575701145</v>
      </c>
      <c r="Y166" s="40">
        <f t="shared" si="62"/>
        <v>22616</v>
      </c>
      <c r="Z166" s="40">
        <f t="shared" si="63"/>
        <v>12878</v>
      </c>
      <c r="AA166" s="40">
        <f t="shared" si="64"/>
        <v>12620</v>
      </c>
      <c r="AB166" s="40">
        <f t="shared" si="65"/>
        <v>9212</v>
      </c>
    </row>
    <row r="167" spans="1:28" ht="15.75" customHeight="1">
      <c r="A167" s="11" t="s">
        <v>698</v>
      </c>
      <c r="B167" s="12" t="s">
        <v>699</v>
      </c>
      <c r="C167" s="13" t="s">
        <v>25</v>
      </c>
      <c r="D167" s="13" t="s">
        <v>503</v>
      </c>
      <c r="E167" s="14">
        <v>44575</v>
      </c>
      <c r="F167" s="15">
        <f t="shared" si="0"/>
        <v>2022</v>
      </c>
      <c r="G167" s="16">
        <f t="shared" si="1"/>
        <v>3</v>
      </c>
      <c r="H167" s="16">
        <f t="shared" si="2"/>
        <v>5</v>
      </c>
      <c r="I167" s="16" t="str">
        <f>VLOOKUP(H167,'Дни недели сортировка'!A:B,2,FALSE)</f>
        <v>05-пятница</v>
      </c>
      <c r="J167" s="17">
        <v>0.51249999999999996</v>
      </c>
      <c r="K167" s="12" t="s">
        <v>27</v>
      </c>
      <c r="L167" s="12" t="s">
        <v>700</v>
      </c>
      <c r="M167" s="12" t="s">
        <v>41</v>
      </c>
      <c r="N167" s="18">
        <v>963320</v>
      </c>
      <c r="O167" s="18">
        <f>N167-1.5%*N167</f>
        <v>948870.2</v>
      </c>
      <c r="P167" s="18">
        <f>O167*11.05%</f>
        <v>104850.1571</v>
      </c>
      <c r="Q167" s="18">
        <f>P167*12%</f>
        <v>12582.018851999999</v>
      </c>
      <c r="R167" s="18">
        <f t="shared" si="4"/>
        <v>14449.800000000047</v>
      </c>
      <c r="S167" s="18">
        <f t="shared" si="74"/>
        <v>104375.72199999999</v>
      </c>
      <c r="T167" s="12" t="s">
        <v>701</v>
      </c>
      <c r="U167" s="18">
        <v>8681.5930078799993</v>
      </c>
      <c r="V167" s="19">
        <v>2254.6097041464359</v>
      </c>
      <c r="W167" s="19">
        <v>1961.5104426073992</v>
      </c>
      <c r="X167" s="19">
        <v>1549.5932496598455</v>
      </c>
      <c r="Y167" s="40">
        <f t="shared" si="62"/>
        <v>8681</v>
      </c>
      <c r="Z167" s="40">
        <f t="shared" si="63"/>
        <v>2254</v>
      </c>
      <c r="AA167" s="40">
        <f t="shared" si="64"/>
        <v>1961</v>
      </c>
      <c r="AB167" s="40">
        <f t="shared" si="65"/>
        <v>1549</v>
      </c>
    </row>
    <row r="168" spans="1:28" ht="15.75" customHeight="1">
      <c r="A168" s="11" t="s">
        <v>702</v>
      </c>
      <c r="B168" s="12" t="s">
        <v>703</v>
      </c>
      <c r="C168" s="13" t="s">
        <v>25</v>
      </c>
      <c r="D168" s="13" t="s">
        <v>503</v>
      </c>
      <c r="E168" s="14">
        <v>44575</v>
      </c>
      <c r="F168" s="15">
        <f t="shared" si="0"/>
        <v>2022</v>
      </c>
      <c r="G168" s="16">
        <f t="shared" si="1"/>
        <v>3</v>
      </c>
      <c r="H168" s="16">
        <f t="shared" si="2"/>
        <v>5</v>
      </c>
      <c r="I168" s="16" t="str">
        <f>VLOOKUP(H168,'Дни недели сортировка'!A:B,2,FALSE)</f>
        <v>05-пятница</v>
      </c>
      <c r="J168" s="17">
        <v>0.51249999999999996</v>
      </c>
      <c r="K168" s="12" t="s">
        <v>27</v>
      </c>
      <c r="L168" s="12" t="s">
        <v>704</v>
      </c>
      <c r="M168" s="12" t="s">
        <v>29</v>
      </c>
      <c r="N168" s="18">
        <v>1085551</v>
      </c>
      <c r="O168" s="18">
        <f t="shared" ref="O168:O169" si="80">N168-2%*N168</f>
        <v>1063839.98</v>
      </c>
      <c r="P168" s="18">
        <f>O168*9.2%</f>
        <v>97873.278160000002</v>
      </c>
      <c r="Q168" s="18">
        <f>P168*9%</f>
        <v>8808.5950343999993</v>
      </c>
      <c r="R168" s="18">
        <f t="shared" si="4"/>
        <v>21711.020000000019</v>
      </c>
      <c r="S168" s="18">
        <f t="shared" si="74"/>
        <v>117022.39779999999</v>
      </c>
      <c r="T168" s="12" t="s">
        <v>705</v>
      </c>
      <c r="U168" s="18">
        <v>8544.3371833679994</v>
      </c>
      <c r="V168" s="19">
        <v>3563.8430391827924</v>
      </c>
      <c r="W168" s="19">
        <v>3029.2665833053734</v>
      </c>
      <c r="X168" s="19">
        <v>2514.29126414346</v>
      </c>
      <c r="Y168" s="40">
        <f t="shared" si="62"/>
        <v>8544</v>
      </c>
      <c r="Z168" s="40">
        <f t="shared" si="63"/>
        <v>3563</v>
      </c>
      <c r="AA168" s="40">
        <f t="shared" si="64"/>
        <v>3029</v>
      </c>
      <c r="AB168" s="40">
        <f t="shared" si="65"/>
        <v>2514</v>
      </c>
    </row>
    <row r="169" spans="1:28" ht="15.75" customHeight="1">
      <c r="A169" s="11" t="s">
        <v>706</v>
      </c>
      <c r="B169" s="12" t="s">
        <v>707</v>
      </c>
      <c r="C169" s="13" t="s">
        <v>25</v>
      </c>
      <c r="D169" s="13" t="s">
        <v>503</v>
      </c>
      <c r="E169" s="14">
        <v>44574</v>
      </c>
      <c r="F169" s="15">
        <f t="shared" si="0"/>
        <v>2022</v>
      </c>
      <c r="G169" s="16">
        <f t="shared" si="1"/>
        <v>2</v>
      </c>
      <c r="H169" s="16">
        <f t="shared" si="2"/>
        <v>4</v>
      </c>
      <c r="I169" s="16" t="str">
        <f>VLOOKUP(H169,'Дни недели сортировка'!A:B,2,FALSE)</f>
        <v>04-четверг</v>
      </c>
      <c r="J169" s="17">
        <v>0.64722222222222225</v>
      </c>
      <c r="K169" s="12" t="s">
        <v>27</v>
      </c>
      <c r="L169" s="12" t="s">
        <v>708</v>
      </c>
      <c r="M169" s="12" t="s">
        <v>35</v>
      </c>
      <c r="N169" s="18">
        <v>2288886</v>
      </c>
      <c r="O169" s="18">
        <f t="shared" si="80"/>
        <v>2243108.2799999998</v>
      </c>
      <c r="P169" s="18">
        <f>O169*17.43%</f>
        <v>390973.77320399997</v>
      </c>
      <c r="Q169" s="18">
        <f>P169*8.4%</f>
        <v>32841.796949135998</v>
      </c>
      <c r="R169" s="18">
        <f t="shared" si="4"/>
        <v>45777.720000000205</v>
      </c>
      <c r="S169" s="18">
        <f t="shared" si="74"/>
        <v>246741.91079999998</v>
      </c>
      <c r="T169" s="12" t="s">
        <v>709</v>
      </c>
      <c r="U169" s="18">
        <v>27915.527406765599</v>
      </c>
      <c r="V169" s="19">
        <v>16914.018055759276</v>
      </c>
      <c r="W169" s="19">
        <v>14140.119094614754</v>
      </c>
      <c r="X169" s="19">
        <v>11594.897657584099</v>
      </c>
      <c r="Y169" s="40">
        <f>ROUNDDOWN(U169,0)</f>
        <v>27915</v>
      </c>
      <c r="Z169" s="40">
        <f>ROUNDDOWN(V169,0)</f>
        <v>16914</v>
      </c>
      <c r="AA169" s="40">
        <f>ROUNDDOWN(W169,0)</f>
        <v>14140</v>
      </c>
      <c r="AB169" s="40">
        <f>ROUNDDOWN(X169,0)</f>
        <v>11594</v>
      </c>
    </row>
    <row r="170" spans="1:28" ht="15.75" customHeight="1">
      <c r="A170" s="11" t="s">
        <v>710</v>
      </c>
      <c r="B170" s="12" t="s">
        <v>711</v>
      </c>
      <c r="C170" s="13" t="s">
        <v>25</v>
      </c>
      <c r="D170" s="13" t="s">
        <v>503</v>
      </c>
      <c r="E170" s="14">
        <v>44574</v>
      </c>
      <c r="F170" s="15">
        <f t="shared" si="0"/>
        <v>2022</v>
      </c>
      <c r="G170" s="16">
        <f t="shared" si="1"/>
        <v>2</v>
      </c>
      <c r="H170" s="16">
        <f t="shared" si="2"/>
        <v>4</v>
      </c>
      <c r="I170" s="16" t="str">
        <f>VLOOKUP(H170,'Дни недели сортировка'!A:B,2,FALSE)</f>
        <v>04-четверг</v>
      </c>
      <c r="J170" s="17">
        <v>0.64722222222222225</v>
      </c>
      <c r="K170" s="12" t="s">
        <v>27</v>
      </c>
      <c r="L170" s="12" t="s">
        <v>712</v>
      </c>
      <c r="M170" s="12" t="s">
        <v>41</v>
      </c>
      <c r="N170" s="18">
        <v>1082722</v>
      </c>
      <c r="O170" s="18">
        <f>N170-1.5%*N170</f>
        <v>1066481.17</v>
      </c>
      <c r="P170" s="18">
        <f>O170*11.05%</f>
        <v>117846.169285</v>
      </c>
      <c r="Q170" s="18">
        <f>P170*3.9%</f>
        <v>4596.0006021150002</v>
      </c>
      <c r="R170" s="18">
        <f t="shared" si="4"/>
        <v>16240.830000000075</v>
      </c>
      <c r="S170" s="18">
        <f t="shared" si="74"/>
        <v>117312.92869999999</v>
      </c>
      <c r="T170" s="12" t="s">
        <v>713</v>
      </c>
      <c r="U170" s="18">
        <v>4228.3205539458004</v>
      </c>
      <c r="V170" s="19">
        <v>1635.9372223216303</v>
      </c>
      <c r="W170" s="19">
        <v>1328.3810245251639</v>
      </c>
      <c r="X170" s="19">
        <v>1049.4210093748795</v>
      </c>
      <c r="Y170" s="40">
        <f t="shared" ref="Y170:Y219" si="81">ROUNDDOWN(U170,0)</f>
        <v>4228</v>
      </c>
      <c r="Z170" s="40">
        <f t="shared" ref="Z170:Z219" si="82">ROUNDDOWN(V170,0)</f>
        <v>1635</v>
      </c>
      <c r="AA170" s="40">
        <f t="shared" ref="AA170:AA219" si="83">ROUNDDOWN(W170,0)</f>
        <v>1328</v>
      </c>
      <c r="AB170" s="40">
        <f t="shared" ref="AB170:AB219" si="84">ROUNDDOWN(X170,0)</f>
        <v>1049</v>
      </c>
    </row>
    <row r="171" spans="1:28" ht="15.75" customHeight="1">
      <c r="A171" s="11" t="s">
        <v>714</v>
      </c>
      <c r="B171" s="12" t="s">
        <v>715</v>
      </c>
      <c r="C171" s="13" t="s">
        <v>25</v>
      </c>
      <c r="D171" s="13" t="s">
        <v>503</v>
      </c>
      <c r="E171" s="14">
        <v>44574</v>
      </c>
      <c r="F171" s="15">
        <f t="shared" si="0"/>
        <v>2022</v>
      </c>
      <c r="G171" s="16">
        <f t="shared" si="1"/>
        <v>2</v>
      </c>
      <c r="H171" s="16">
        <f t="shared" si="2"/>
        <v>4</v>
      </c>
      <c r="I171" s="16" t="str">
        <f>VLOOKUP(H171,'Дни недели сортировка'!A:B,2,FALSE)</f>
        <v>04-четверг</v>
      </c>
      <c r="J171" s="17">
        <v>0.64722222222222225</v>
      </c>
      <c r="K171" s="12" t="s">
        <v>27</v>
      </c>
      <c r="L171" s="12" t="s">
        <v>716</v>
      </c>
      <c r="M171" s="12" t="s">
        <v>29</v>
      </c>
      <c r="N171" s="18">
        <v>1217975</v>
      </c>
      <c r="O171" s="18">
        <f t="shared" ref="O171:O172" si="85">N171-2%*N171</f>
        <v>1193615.5</v>
      </c>
      <c r="P171" s="18">
        <f>O171*9.2%</f>
        <v>109812.626</v>
      </c>
      <c r="Q171" s="18">
        <f>P171*7.2%</f>
        <v>7906.5090720000017</v>
      </c>
      <c r="R171" s="18">
        <f t="shared" si="4"/>
        <v>24359.5</v>
      </c>
      <c r="S171" s="18">
        <f t="shared" si="74"/>
        <v>131297.70499999999</v>
      </c>
      <c r="T171" s="12" t="s">
        <v>717</v>
      </c>
      <c r="U171" s="18">
        <v>7353.0534369600018</v>
      </c>
      <c r="V171" s="19">
        <v>2541.2152678133766</v>
      </c>
      <c r="W171" s="19">
        <v>2490.3909624571093</v>
      </c>
      <c r="X171" s="19">
        <v>1867.7932218428318</v>
      </c>
      <c r="Y171" s="40">
        <f t="shared" si="81"/>
        <v>7353</v>
      </c>
      <c r="Z171" s="40">
        <f t="shared" si="82"/>
        <v>2541</v>
      </c>
      <c r="AA171" s="40">
        <f t="shared" si="83"/>
        <v>2490</v>
      </c>
      <c r="AB171" s="40">
        <f t="shared" si="84"/>
        <v>1867</v>
      </c>
    </row>
    <row r="172" spans="1:28" ht="15.75" customHeight="1">
      <c r="A172" s="11" t="s">
        <v>718</v>
      </c>
      <c r="B172" s="12" t="s">
        <v>719</v>
      </c>
      <c r="C172" s="13" t="s">
        <v>25</v>
      </c>
      <c r="D172" s="13" t="s">
        <v>503</v>
      </c>
      <c r="E172" s="14">
        <v>44574</v>
      </c>
      <c r="F172" s="15">
        <f t="shared" si="0"/>
        <v>2022</v>
      </c>
      <c r="G172" s="16">
        <f t="shared" si="1"/>
        <v>2</v>
      </c>
      <c r="H172" s="16">
        <f t="shared" si="2"/>
        <v>4</v>
      </c>
      <c r="I172" s="16" t="str">
        <f>VLOOKUP(H172,'Дни недели сортировка'!A:B,2,FALSE)</f>
        <v>04-четверг</v>
      </c>
      <c r="J172" s="17">
        <v>0.64722222222222225</v>
      </c>
      <c r="K172" s="12" t="s">
        <v>27</v>
      </c>
      <c r="L172" s="12" t="s">
        <v>720</v>
      </c>
      <c r="M172" s="12" t="s">
        <v>35</v>
      </c>
      <c r="N172" s="18">
        <v>2434236</v>
      </c>
      <c r="O172" s="18">
        <f t="shared" si="85"/>
        <v>2385551.2799999998</v>
      </c>
      <c r="P172" s="18">
        <f>O172*11.05%</f>
        <v>263603.41644</v>
      </c>
      <c r="Q172" s="18">
        <f>P172*12%</f>
        <v>31632.4099728</v>
      </c>
      <c r="R172" s="18">
        <f t="shared" si="4"/>
        <v>48684.720000000205</v>
      </c>
      <c r="S172" s="18">
        <f t="shared" si="74"/>
        <v>262410.64079999999</v>
      </c>
      <c r="T172" s="12" t="s">
        <v>721</v>
      </c>
      <c r="U172" s="18">
        <v>28785.493075248</v>
      </c>
      <c r="V172" s="19">
        <v>6948.8180283648671</v>
      </c>
      <c r="W172" s="19">
        <v>6045.4716846774345</v>
      </c>
      <c r="X172" s="19">
        <v>4413.194329814527</v>
      </c>
      <c r="Y172" s="40">
        <f t="shared" si="81"/>
        <v>28785</v>
      </c>
      <c r="Z172" s="40">
        <f t="shared" si="82"/>
        <v>6948</v>
      </c>
      <c r="AA172" s="40">
        <f t="shared" si="83"/>
        <v>6045</v>
      </c>
      <c r="AB172" s="40">
        <f t="shared" si="84"/>
        <v>4413</v>
      </c>
    </row>
    <row r="173" spans="1:28" ht="15.75" customHeight="1">
      <c r="A173" s="11" t="s">
        <v>722</v>
      </c>
      <c r="B173" s="12" t="s">
        <v>723</v>
      </c>
      <c r="C173" s="13" t="s">
        <v>25</v>
      </c>
      <c r="D173" s="13" t="s">
        <v>503</v>
      </c>
      <c r="E173" s="14">
        <v>44578</v>
      </c>
      <c r="F173" s="15">
        <f t="shared" si="0"/>
        <v>2022</v>
      </c>
      <c r="G173" s="16">
        <f t="shared" si="1"/>
        <v>3</v>
      </c>
      <c r="H173" s="16">
        <f t="shared" si="2"/>
        <v>1</v>
      </c>
      <c r="I173" s="16" t="str">
        <f>VLOOKUP(H173,'Дни недели сортировка'!A:B,2,FALSE)</f>
        <v>01-понедельник</v>
      </c>
      <c r="J173" s="17">
        <v>0.64722222222222225</v>
      </c>
      <c r="K173" s="12" t="s">
        <v>27</v>
      </c>
      <c r="L173" s="12" t="s">
        <v>724</v>
      </c>
      <c r="M173" s="12" t="s">
        <v>41</v>
      </c>
      <c r="N173" s="18">
        <v>1722650</v>
      </c>
      <c r="O173" s="18">
        <f>N173-1.5%*N173</f>
        <v>1696810.25</v>
      </c>
      <c r="P173" s="18">
        <f>O173*18%</f>
        <v>305425.84499999997</v>
      </c>
      <c r="Q173" s="18">
        <f>P173*9%</f>
        <v>27488.326049999996</v>
      </c>
      <c r="R173" s="18">
        <f t="shared" si="4"/>
        <v>25839.75</v>
      </c>
      <c r="S173" s="18">
        <f t="shared" ref="S173:S219" si="86">O173*0.9%</f>
        <v>15271.292250000002</v>
      </c>
      <c r="T173" s="12" t="s">
        <v>725</v>
      </c>
      <c r="U173" s="18">
        <v>23914.843663499996</v>
      </c>
      <c r="V173" s="19">
        <v>13617.111981996899</v>
      </c>
      <c r="W173" s="19">
        <v>11574.545184697365</v>
      </c>
      <c r="X173" s="19">
        <v>9143.890695910919</v>
      </c>
      <c r="Y173" s="40">
        <f t="shared" si="81"/>
        <v>23914</v>
      </c>
      <c r="Z173" s="40">
        <f t="shared" si="82"/>
        <v>13617</v>
      </c>
      <c r="AA173" s="40">
        <f t="shared" si="83"/>
        <v>11574</v>
      </c>
      <c r="AB173" s="40">
        <f t="shared" si="84"/>
        <v>9143</v>
      </c>
    </row>
    <row r="174" spans="1:28" ht="15.75" customHeight="1">
      <c r="A174" s="11" t="s">
        <v>726</v>
      </c>
      <c r="B174" s="12" t="s">
        <v>727</v>
      </c>
      <c r="C174" s="13" t="s">
        <v>25</v>
      </c>
      <c r="D174" s="13" t="s">
        <v>503</v>
      </c>
      <c r="E174" s="14">
        <v>44582</v>
      </c>
      <c r="F174" s="15">
        <f t="shared" si="0"/>
        <v>2022</v>
      </c>
      <c r="G174" s="16">
        <f t="shared" si="1"/>
        <v>4</v>
      </c>
      <c r="H174" s="16">
        <f t="shared" si="2"/>
        <v>5</v>
      </c>
      <c r="I174" s="16" t="str">
        <f>VLOOKUP(H174,'Дни недели сортировка'!A:B,2,FALSE)</f>
        <v>05-пятница</v>
      </c>
      <c r="J174" s="17">
        <v>0.53611111111111109</v>
      </c>
      <c r="K174" s="12" t="s">
        <v>27</v>
      </c>
      <c r="L174" s="12" t="s">
        <v>728</v>
      </c>
      <c r="M174" s="12" t="s">
        <v>29</v>
      </c>
      <c r="N174" s="18">
        <v>1532716</v>
      </c>
      <c r="O174" s="18">
        <f t="shared" ref="O174:O175" si="87">N174-2%*N174</f>
        <v>1502061.68</v>
      </c>
      <c r="P174" s="18">
        <f>O174*11.05%</f>
        <v>165977.81563999999</v>
      </c>
      <c r="Q174" s="18">
        <f>P174*8.4%</f>
        <v>13942.136513760001</v>
      </c>
      <c r="R174" s="18">
        <f t="shared" si="4"/>
        <v>30654.320000000065</v>
      </c>
      <c r="S174" s="18">
        <f t="shared" si="86"/>
        <v>13518.555120000001</v>
      </c>
      <c r="T174" s="12" t="s">
        <v>729</v>
      </c>
      <c r="U174" s="18">
        <v>9620.0741944944002</v>
      </c>
      <c r="V174" s="19">
        <v>2498.3332683101962</v>
      </c>
      <c r="W174" s="19">
        <v>2123.5832780636665</v>
      </c>
      <c r="X174" s="19">
        <v>1762.5741207928431</v>
      </c>
      <c r="Y174" s="40">
        <f t="shared" si="81"/>
        <v>9620</v>
      </c>
      <c r="Z174" s="40">
        <f t="shared" si="82"/>
        <v>2498</v>
      </c>
      <c r="AA174" s="40">
        <f t="shared" si="83"/>
        <v>2123</v>
      </c>
      <c r="AB174" s="40">
        <f t="shared" si="84"/>
        <v>1762</v>
      </c>
    </row>
    <row r="175" spans="1:28" ht="15.75" customHeight="1">
      <c r="A175" s="11" t="s">
        <v>730</v>
      </c>
      <c r="B175" s="12" t="s">
        <v>731</v>
      </c>
      <c r="C175" s="13" t="s">
        <v>25</v>
      </c>
      <c r="D175" s="13" t="s">
        <v>503</v>
      </c>
      <c r="E175" s="14">
        <v>44586</v>
      </c>
      <c r="F175" s="15">
        <f t="shared" si="0"/>
        <v>2022</v>
      </c>
      <c r="G175" s="16">
        <f t="shared" si="1"/>
        <v>4</v>
      </c>
      <c r="H175" s="16">
        <f t="shared" si="2"/>
        <v>2</v>
      </c>
      <c r="I175" s="16" t="str">
        <f>VLOOKUP(H175,'Дни недели сортировка'!A:B,2,FALSE)</f>
        <v>02-вторник</v>
      </c>
      <c r="J175" s="17">
        <v>0.64722222222222225</v>
      </c>
      <c r="K175" s="12" t="s">
        <v>27</v>
      </c>
      <c r="L175" s="12" t="s">
        <v>732</v>
      </c>
      <c r="M175" s="12" t="s">
        <v>35</v>
      </c>
      <c r="N175" s="18">
        <v>2054933</v>
      </c>
      <c r="O175" s="18">
        <f t="shared" si="87"/>
        <v>2013834.34</v>
      </c>
      <c r="P175" s="18">
        <f>O175*18%</f>
        <v>362490.18119999999</v>
      </c>
      <c r="Q175" s="18">
        <f>P175*3.9%</f>
        <v>14137.1170668</v>
      </c>
      <c r="R175" s="18">
        <f t="shared" si="4"/>
        <v>41098.659999999916</v>
      </c>
      <c r="S175" s="18">
        <f t="shared" si="86"/>
        <v>18124.509060000004</v>
      </c>
      <c r="T175" s="12" t="s">
        <v>733</v>
      </c>
      <c r="U175" s="18">
        <v>13713.003554796</v>
      </c>
      <c r="V175" s="19">
        <v>5719.6937827054107</v>
      </c>
      <c r="W175" s="19">
        <v>4781.6640023417231</v>
      </c>
      <c r="X175" s="19">
        <v>3920.9644819202126</v>
      </c>
      <c r="Y175" s="40">
        <f t="shared" si="81"/>
        <v>13713</v>
      </c>
      <c r="Z175" s="40">
        <f t="shared" si="82"/>
        <v>5719</v>
      </c>
      <c r="AA175" s="40">
        <f t="shared" si="83"/>
        <v>4781</v>
      </c>
      <c r="AB175" s="40">
        <f t="shared" si="84"/>
        <v>3920</v>
      </c>
    </row>
    <row r="176" spans="1:28" ht="15.75" customHeight="1">
      <c r="A176" s="11" t="s">
        <v>734</v>
      </c>
      <c r="B176" s="12" t="s">
        <v>735</v>
      </c>
      <c r="C176" s="13" t="s">
        <v>25</v>
      </c>
      <c r="D176" s="13" t="s">
        <v>33</v>
      </c>
      <c r="E176" s="14">
        <v>44503</v>
      </c>
      <c r="F176" s="15">
        <f t="shared" si="0"/>
        <v>2021</v>
      </c>
      <c r="G176" s="16">
        <f t="shared" si="1"/>
        <v>44</v>
      </c>
      <c r="H176" s="16">
        <f t="shared" si="2"/>
        <v>3</v>
      </c>
      <c r="I176" s="16" t="str">
        <f>VLOOKUP(H176,'Дни недели сортировка'!A:B,2,FALSE)</f>
        <v>03-среда</v>
      </c>
      <c r="J176" s="17">
        <v>0.61388888888888893</v>
      </c>
      <c r="K176" s="12" t="s">
        <v>27</v>
      </c>
      <c r="L176" s="12" t="s">
        <v>736</v>
      </c>
      <c r="M176" s="12" t="s">
        <v>41</v>
      </c>
      <c r="N176" s="18">
        <v>1098904</v>
      </c>
      <c r="O176" s="18">
        <f>N176-1.5%*N176</f>
        <v>1082420.44</v>
      </c>
      <c r="P176" s="18">
        <f>O176*17.43%</f>
        <v>188665.88269200001</v>
      </c>
      <c r="Q176" s="18">
        <f>P176*7.2%</f>
        <v>13583.943553824003</v>
      </c>
      <c r="R176" s="18">
        <f t="shared" si="4"/>
        <v>16483.560000000056</v>
      </c>
      <c r="S176" s="18">
        <f t="shared" si="86"/>
        <v>9741.7839600000007</v>
      </c>
      <c r="T176" s="12" t="s">
        <v>737</v>
      </c>
      <c r="U176" s="18">
        <v>11546.352020750403</v>
      </c>
      <c r="V176" s="19">
        <v>6995.9346893726679</v>
      </c>
      <c r="W176" s="19">
        <v>5680.6989677706069</v>
      </c>
      <c r="X176" s="19">
        <v>4487.7521845387801</v>
      </c>
      <c r="Y176" s="40">
        <f t="shared" si="81"/>
        <v>11546</v>
      </c>
      <c r="Z176" s="40">
        <f t="shared" si="82"/>
        <v>6995</v>
      </c>
      <c r="AA176" s="40">
        <f t="shared" si="83"/>
        <v>5680</v>
      </c>
      <c r="AB176" s="40">
        <f t="shared" si="84"/>
        <v>4487</v>
      </c>
    </row>
    <row r="177" spans="1:28" ht="15.75" customHeight="1">
      <c r="A177" s="11" t="s">
        <v>738</v>
      </c>
      <c r="B177" s="12" t="s">
        <v>739</v>
      </c>
      <c r="C177" s="13" t="s">
        <v>25</v>
      </c>
      <c r="D177" s="13" t="s">
        <v>503</v>
      </c>
      <c r="E177" s="14">
        <v>44586</v>
      </c>
      <c r="F177" s="15">
        <f t="shared" si="0"/>
        <v>2022</v>
      </c>
      <c r="G177" s="16">
        <f t="shared" si="1"/>
        <v>4</v>
      </c>
      <c r="H177" s="16">
        <f t="shared" si="2"/>
        <v>2</v>
      </c>
      <c r="I177" s="16" t="str">
        <f>VLOOKUP(H177,'Дни недели сортировка'!A:B,2,FALSE)</f>
        <v>02-вторник</v>
      </c>
      <c r="J177" s="17">
        <v>0.64722222222222225</v>
      </c>
      <c r="K177" s="12" t="s">
        <v>27</v>
      </c>
      <c r="L177" s="12" t="s">
        <v>740</v>
      </c>
      <c r="M177" s="12" t="s">
        <v>29</v>
      </c>
      <c r="N177" s="18">
        <v>756282</v>
      </c>
      <c r="O177" s="18">
        <f t="shared" ref="O177:O178" si="88">N177-2%*N177</f>
        <v>741156.36</v>
      </c>
      <c r="P177" s="18">
        <f>O177*11.05%</f>
        <v>81897.777780000004</v>
      </c>
      <c r="Q177" s="18">
        <f>P177*12%</f>
        <v>9827.7333335999992</v>
      </c>
      <c r="R177" s="18">
        <f t="shared" si="4"/>
        <v>15125.640000000014</v>
      </c>
      <c r="S177" s="18">
        <f t="shared" si="86"/>
        <v>6670.4072400000005</v>
      </c>
      <c r="T177" s="12" t="s">
        <v>741</v>
      </c>
      <c r="U177" s="18">
        <v>9041.5146669120004</v>
      </c>
      <c r="V177" s="19">
        <v>3498.1620246282532</v>
      </c>
      <c r="W177" s="19">
        <v>3428.1987841356881</v>
      </c>
      <c r="X177" s="19">
        <v>2571.1490881017662</v>
      </c>
      <c r="Y177" s="40">
        <f t="shared" si="81"/>
        <v>9041</v>
      </c>
      <c r="Z177" s="40">
        <f t="shared" si="82"/>
        <v>3498</v>
      </c>
      <c r="AA177" s="40">
        <f t="shared" si="83"/>
        <v>3428</v>
      </c>
      <c r="AB177" s="40">
        <f t="shared" si="84"/>
        <v>2571</v>
      </c>
    </row>
    <row r="178" spans="1:28" ht="15.75" customHeight="1">
      <c r="A178" s="11" t="s">
        <v>742</v>
      </c>
      <c r="B178" s="12" t="s">
        <v>743</v>
      </c>
      <c r="C178" s="13" t="s">
        <v>25</v>
      </c>
      <c r="D178" s="13" t="s">
        <v>503</v>
      </c>
      <c r="E178" s="14">
        <v>44588</v>
      </c>
      <c r="F178" s="15">
        <f t="shared" si="0"/>
        <v>2022</v>
      </c>
      <c r="G178" s="16">
        <f t="shared" si="1"/>
        <v>4</v>
      </c>
      <c r="H178" s="16">
        <f t="shared" si="2"/>
        <v>4</v>
      </c>
      <c r="I178" s="16" t="str">
        <f>VLOOKUP(H178,'Дни недели сортировка'!A:B,2,FALSE)</f>
        <v>04-четверг</v>
      </c>
      <c r="J178" s="17">
        <v>0.53611111111111109</v>
      </c>
      <c r="K178" s="12" t="s">
        <v>27</v>
      </c>
      <c r="L178" s="12" t="s">
        <v>744</v>
      </c>
      <c r="M178" s="12" t="s">
        <v>35</v>
      </c>
      <c r="N178" s="18">
        <v>664194</v>
      </c>
      <c r="O178" s="18">
        <f t="shared" si="88"/>
        <v>650910.12</v>
      </c>
      <c r="P178" s="18">
        <f>O178*9.2%</f>
        <v>59883.731039999999</v>
      </c>
      <c r="Q178" s="18">
        <f>P178*9%</f>
        <v>5389.5357936</v>
      </c>
      <c r="R178" s="18">
        <f t="shared" si="4"/>
        <v>13283.880000000005</v>
      </c>
      <c r="S178" s="18">
        <f t="shared" si="86"/>
        <v>5858.1910800000005</v>
      </c>
      <c r="T178" s="12" t="s">
        <v>745</v>
      </c>
      <c r="U178" s="18">
        <v>5012.2682880480006</v>
      </c>
      <c r="V178" s="19">
        <v>1732.239920349389</v>
      </c>
      <c r="W178" s="19">
        <v>1507.0487307039684</v>
      </c>
      <c r="X178" s="19">
        <v>1100.145573413897</v>
      </c>
      <c r="Y178" s="40">
        <f t="shared" si="81"/>
        <v>5012</v>
      </c>
      <c r="Z178" s="40">
        <f t="shared" si="82"/>
        <v>1732</v>
      </c>
      <c r="AA178" s="40">
        <f t="shared" si="83"/>
        <v>1507</v>
      </c>
      <c r="AB178" s="40">
        <f t="shared" si="84"/>
        <v>1100</v>
      </c>
    </row>
    <row r="179" spans="1:28" ht="15.75" customHeight="1">
      <c r="A179" s="11" t="s">
        <v>746</v>
      </c>
      <c r="B179" s="12" t="s">
        <v>747</v>
      </c>
      <c r="C179" s="13" t="s">
        <v>25</v>
      </c>
      <c r="D179" s="13" t="s">
        <v>503</v>
      </c>
      <c r="E179" s="14">
        <v>44588</v>
      </c>
      <c r="F179" s="15">
        <f t="shared" si="0"/>
        <v>2022</v>
      </c>
      <c r="G179" s="16">
        <f t="shared" si="1"/>
        <v>4</v>
      </c>
      <c r="H179" s="16">
        <f t="shared" si="2"/>
        <v>4</v>
      </c>
      <c r="I179" s="16" t="str">
        <f>VLOOKUP(H179,'Дни недели сортировка'!A:B,2,FALSE)</f>
        <v>04-четверг</v>
      </c>
      <c r="J179" s="17">
        <v>0.53611111111111109</v>
      </c>
      <c r="K179" s="12" t="s">
        <v>27</v>
      </c>
      <c r="L179" s="12" t="s">
        <v>748</v>
      </c>
      <c r="M179" s="12" t="s">
        <v>41</v>
      </c>
      <c r="N179" s="18">
        <v>1778134</v>
      </c>
      <c r="O179" s="18">
        <f>N179-1.5%*N179</f>
        <v>1751461.99</v>
      </c>
      <c r="P179" s="18">
        <f>O179*17.43%</f>
        <v>305279.82485700003</v>
      </c>
      <c r="Q179" s="18">
        <f>P179*8.4%</f>
        <v>25643.505287988002</v>
      </c>
      <c r="R179" s="18">
        <f t="shared" si="4"/>
        <v>26672.010000000009</v>
      </c>
      <c r="S179" s="18">
        <f t="shared" si="86"/>
        <v>15763.157910000002</v>
      </c>
      <c r="T179" s="12" t="s">
        <v>749</v>
      </c>
      <c r="U179" s="18">
        <v>23335.589812069084</v>
      </c>
      <c r="V179" s="19">
        <v>5633.2113806334764</v>
      </c>
      <c r="W179" s="19">
        <v>4788.2296735384552</v>
      </c>
      <c r="X179" s="19">
        <v>3782.7014420953797</v>
      </c>
      <c r="Y179" s="40">
        <f t="shared" si="81"/>
        <v>23335</v>
      </c>
      <c r="Z179" s="40">
        <f t="shared" si="82"/>
        <v>5633</v>
      </c>
      <c r="AA179" s="40">
        <f t="shared" si="83"/>
        <v>4788</v>
      </c>
      <c r="AB179" s="40">
        <f t="shared" si="84"/>
        <v>3782</v>
      </c>
    </row>
    <row r="180" spans="1:28" ht="15.75" customHeight="1">
      <c r="A180" s="11" t="s">
        <v>750</v>
      </c>
      <c r="B180" s="12" t="s">
        <v>751</v>
      </c>
      <c r="C180" s="13" t="s">
        <v>25</v>
      </c>
      <c r="D180" s="13" t="s">
        <v>503</v>
      </c>
      <c r="E180" s="14">
        <v>44588</v>
      </c>
      <c r="F180" s="15">
        <f t="shared" si="0"/>
        <v>2022</v>
      </c>
      <c r="G180" s="16">
        <f t="shared" si="1"/>
        <v>4</v>
      </c>
      <c r="H180" s="16">
        <f t="shared" si="2"/>
        <v>4</v>
      </c>
      <c r="I180" s="16" t="str">
        <f>VLOOKUP(H180,'Дни недели сортировка'!A:B,2,FALSE)</f>
        <v>04-четверг</v>
      </c>
      <c r="J180" s="17">
        <v>0.53611111111111109</v>
      </c>
      <c r="K180" s="12" t="s">
        <v>27</v>
      </c>
      <c r="L180" s="12" t="s">
        <v>752</v>
      </c>
      <c r="M180" s="12" t="s">
        <v>29</v>
      </c>
      <c r="N180" s="18">
        <v>1689302</v>
      </c>
      <c r="O180" s="18">
        <f t="shared" ref="O180:O181" si="89">N180-2%*N180</f>
        <v>1655515.96</v>
      </c>
      <c r="P180" s="18">
        <f>O180*11.05%</f>
        <v>182934.51358</v>
      </c>
      <c r="Q180" s="18">
        <f>P180*3.9%</f>
        <v>7134.4460296199995</v>
      </c>
      <c r="R180" s="18">
        <f t="shared" si="4"/>
        <v>33786.040000000037</v>
      </c>
      <c r="S180" s="18">
        <f t="shared" si="86"/>
        <v>14899.643640000002</v>
      </c>
      <c r="T180" s="12" t="s">
        <v>753</v>
      </c>
      <c r="U180" s="18">
        <v>6206.9680457693994</v>
      </c>
      <c r="V180" s="19">
        <v>3534.2476052610964</v>
      </c>
      <c r="W180" s="19">
        <v>2954.6309979982766</v>
      </c>
      <c r="X180" s="19">
        <v>2452.3437283385692</v>
      </c>
      <c r="Y180" s="40">
        <f t="shared" si="81"/>
        <v>6206</v>
      </c>
      <c r="Z180" s="40">
        <f t="shared" si="82"/>
        <v>3534</v>
      </c>
      <c r="AA180" s="40">
        <f t="shared" si="83"/>
        <v>2954</v>
      </c>
      <c r="AB180" s="40">
        <f t="shared" si="84"/>
        <v>2452</v>
      </c>
    </row>
    <row r="181" spans="1:28" ht="15.75" customHeight="1">
      <c r="A181" s="11" t="s">
        <v>754</v>
      </c>
      <c r="B181" s="12" t="s">
        <v>755</v>
      </c>
      <c r="C181" s="13" t="s">
        <v>25</v>
      </c>
      <c r="D181" s="13" t="s">
        <v>503</v>
      </c>
      <c r="E181" s="14">
        <v>44588</v>
      </c>
      <c r="F181" s="15">
        <f t="shared" si="0"/>
        <v>2022</v>
      </c>
      <c r="G181" s="16">
        <f t="shared" si="1"/>
        <v>4</v>
      </c>
      <c r="H181" s="16">
        <f t="shared" si="2"/>
        <v>4</v>
      </c>
      <c r="I181" s="16" t="str">
        <f>VLOOKUP(H181,'Дни недели сортировка'!A:B,2,FALSE)</f>
        <v>04-четверг</v>
      </c>
      <c r="J181" s="17">
        <v>0.53611111111111109</v>
      </c>
      <c r="K181" s="12" t="s">
        <v>27</v>
      </c>
      <c r="L181" s="12" t="s">
        <v>756</v>
      </c>
      <c r="M181" s="12" t="s">
        <v>35</v>
      </c>
      <c r="N181" s="18">
        <v>2314892</v>
      </c>
      <c r="O181" s="18">
        <f t="shared" si="89"/>
        <v>2268594.16</v>
      </c>
      <c r="P181" s="18">
        <f>O181*9.2%</f>
        <v>208710.66272000002</v>
      </c>
      <c r="Q181" s="18">
        <f>P181*7.2%</f>
        <v>15027.167715840003</v>
      </c>
      <c r="R181" s="18">
        <f t="shared" si="4"/>
        <v>46297.839999999851</v>
      </c>
      <c r="S181" s="18">
        <f t="shared" si="86"/>
        <v>20417.347440000005</v>
      </c>
      <c r="T181" s="12" t="s">
        <v>757</v>
      </c>
      <c r="U181" s="18">
        <v>10368.745723929602</v>
      </c>
      <c r="V181" s="19">
        <v>2692.7632645045178</v>
      </c>
      <c r="W181" s="19">
        <v>2186.5237707776687</v>
      </c>
      <c r="X181" s="19">
        <v>1792.9494920376883</v>
      </c>
      <c r="Y181" s="40">
        <f t="shared" si="81"/>
        <v>10368</v>
      </c>
      <c r="Z181" s="40">
        <f t="shared" si="82"/>
        <v>2692</v>
      </c>
      <c r="AA181" s="40">
        <f t="shared" si="83"/>
        <v>2186</v>
      </c>
      <c r="AB181" s="40">
        <f t="shared" si="84"/>
        <v>1792</v>
      </c>
    </row>
    <row r="182" spans="1:28" ht="15.75" customHeight="1">
      <c r="A182" s="11" t="s">
        <v>758</v>
      </c>
      <c r="B182" s="12" t="s">
        <v>759</v>
      </c>
      <c r="C182" s="13" t="s">
        <v>25</v>
      </c>
      <c r="D182" s="13" t="s">
        <v>760</v>
      </c>
      <c r="E182" s="14">
        <v>44593</v>
      </c>
      <c r="F182" s="15">
        <f t="shared" si="0"/>
        <v>2022</v>
      </c>
      <c r="G182" s="16">
        <f t="shared" si="1"/>
        <v>5</v>
      </c>
      <c r="H182" s="16">
        <f t="shared" si="2"/>
        <v>2</v>
      </c>
      <c r="I182" s="16" t="str">
        <f>VLOOKUP(H182,'Дни недели сортировка'!A:B,2,FALSE)</f>
        <v>02-вторник</v>
      </c>
      <c r="J182" s="17">
        <v>0.61458333333333337</v>
      </c>
      <c r="K182" s="12" t="s">
        <v>27</v>
      </c>
      <c r="L182" s="12" t="s">
        <v>761</v>
      </c>
      <c r="M182" s="12" t="s">
        <v>29</v>
      </c>
      <c r="N182" s="18">
        <v>928141</v>
      </c>
      <c r="O182" s="18">
        <f>N182-1.5%*N182</f>
        <v>914218.88500000001</v>
      </c>
      <c r="P182" s="18">
        <f>O182*11.05%</f>
        <v>101021.1867925</v>
      </c>
      <c r="Q182" s="18">
        <f>P182*12%</f>
        <v>12122.542415099999</v>
      </c>
      <c r="R182" s="18">
        <f t="shared" si="4"/>
        <v>13922.114999999991</v>
      </c>
      <c r="S182" s="18">
        <f t="shared" si="86"/>
        <v>8227.9699650000002</v>
      </c>
      <c r="T182" s="12" t="s">
        <v>762</v>
      </c>
      <c r="U182" s="18">
        <v>11758.866142646999</v>
      </c>
      <c r="V182" s="19">
        <v>4904.6230680980625</v>
      </c>
      <c r="W182" s="19">
        <v>4806.5306067361016</v>
      </c>
      <c r="X182" s="19">
        <v>3797.1591793215202</v>
      </c>
      <c r="Y182" s="40">
        <f t="shared" si="81"/>
        <v>11758</v>
      </c>
      <c r="Z182" s="40">
        <f t="shared" si="82"/>
        <v>4904</v>
      </c>
      <c r="AA182" s="40">
        <f t="shared" si="83"/>
        <v>4806</v>
      </c>
      <c r="AB182" s="40">
        <f t="shared" si="84"/>
        <v>3797</v>
      </c>
    </row>
    <row r="183" spans="1:28" ht="15.75" customHeight="1">
      <c r="A183" s="11" t="s">
        <v>763</v>
      </c>
      <c r="B183" s="12" t="s">
        <v>764</v>
      </c>
      <c r="C183" s="13" t="s">
        <v>25</v>
      </c>
      <c r="D183" s="13" t="s">
        <v>760</v>
      </c>
      <c r="E183" s="14">
        <v>44593</v>
      </c>
      <c r="F183" s="15">
        <f t="shared" si="0"/>
        <v>2022</v>
      </c>
      <c r="G183" s="16">
        <f t="shared" si="1"/>
        <v>5</v>
      </c>
      <c r="H183" s="16">
        <f t="shared" si="2"/>
        <v>2</v>
      </c>
      <c r="I183" s="16" t="str">
        <f>VLOOKUP(H183,'Дни недели сортировка'!A:B,2,FALSE)</f>
        <v>02-вторник</v>
      </c>
      <c r="J183" s="17">
        <v>0.61527777777777781</v>
      </c>
      <c r="K183" s="12" t="s">
        <v>27</v>
      </c>
      <c r="L183" s="12" t="s">
        <v>765</v>
      </c>
      <c r="M183" s="12" t="s">
        <v>35</v>
      </c>
      <c r="N183" s="18">
        <v>762530</v>
      </c>
      <c r="O183" s="18">
        <f t="shared" ref="O183:O184" si="90">N183-2%*N183</f>
        <v>747279.4</v>
      </c>
      <c r="P183" s="18">
        <f>O183*18%</f>
        <v>134510.29199999999</v>
      </c>
      <c r="Q183" s="18">
        <f>P183*9%</f>
        <v>12105.926279999998</v>
      </c>
      <c r="R183" s="18">
        <f t="shared" si="4"/>
        <v>15250.599999999977</v>
      </c>
      <c r="S183" s="18">
        <f t="shared" si="86"/>
        <v>6725.5146000000013</v>
      </c>
      <c r="T183" s="12" t="s">
        <v>766</v>
      </c>
      <c r="U183" s="18">
        <v>10290.037337999998</v>
      </c>
      <c r="V183" s="19">
        <v>6234.7336230941983</v>
      </c>
      <c r="W183" s="19">
        <v>5424.2182520919523</v>
      </c>
      <c r="X183" s="19">
        <v>4068.1636890689642</v>
      </c>
      <c r="Y183" s="40">
        <f t="shared" si="81"/>
        <v>10290</v>
      </c>
      <c r="Z183" s="40">
        <f t="shared" si="82"/>
        <v>6234</v>
      </c>
      <c r="AA183" s="40">
        <f t="shared" si="83"/>
        <v>5424</v>
      </c>
      <c r="AB183" s="40">
        <f t="shared" si="84"/>
        <v>4068</v>
      </c>
    </row>
    <row r="184" spans="1:28" ht="15.75" customHeight="1">
      <c r="A184" s="11" t="s">
        <v>767</v>
      </c>
      <c r="B184" s="12" t="s">
        <v>768</v>
      </c>
      <c r="C184" s="13" t="s">
        <v>25</v>
      </c>
      <c r="D184" s="13" t="s">
        <v>760</v>
      </c>
      <c r="E184" s="14">
        <v>44595</v>
      </c>
      <c r="F184" s="15">
        <f t="shared" si="0"/>
        <v>2022</v>
      </c>
      <c r="G184" s="16">
        <f t="shared" si="1"/>
        <v>5</v>
      </c>
      <c r="H184" s="16">
        <f t="shared" si="2"/>
        <v>4</v>
      </c>
      <c r="I184" s="16" t="str">
        <f>VLOOKUP(H184,'Дни недели сортировка'!A:B,2,FALSE)</f>
        <v>04-четверг</v>
      </c>
      <c r="J184" s="17">
        <v>0.67222222222222228</v>
      </c>
      <c r="K184" s="12" t="s">
        <v>27</v>
      </c>
      <c r="L184" s="12" t="s">
        <v>769</v>
      </c>
      <c r="M184" s="12" t="s">
        <v>41</v>
      </c>
      <c r="N184" s="18">
        <v>1416809</v>
      </c>
      <c r="O184" s="18">
        <f t="shared" si="90"/>
        <v>1388472.82</v>
      </c>
      <c r="P184" s="18">
        <f>O184*17.43%</f>
        <v>242010.81252600002</v>
      </c>
      <c r="Q184" s="18">
        <f>P184*8.4%</f>
        <v>20328.908252184003</v>
      </c>
      <c r="R184" s="18">
        <f t="shared" si="4"/>
        <v>28336.179999999935</v>
      </c>
      <c r="S184" s="18">
        <f t="shared" si="86"/>
        <v>12496.255380000002</v>
      </c>
      <c r="T184" s="12" t="s">
        <v>770</v>
      </c>
      <c r="U184" s="18">
        <v>18702.595592009282</v>
      </c>
      <c r="V184" s="19">
        <v>7236.0342345483914</v>
      </c>
      <c r="W184" s="19">
        <v>6150.6290993661323</v>
      </c>
      <c r="X184" s="19">
        <v>4489.9592425372766</v>
      </c>
      <c r="Y184" s="40">
        <f t="shared" si="81"/>
        <v>18702</v>
      </c>
      <c r="Z184" s="40">
        <f t="shared" si="82"/>
        <v>7236</v>
      </c>
      <c r="AA184" s="40">
        <f t="shared" si="83"/>
        <v>6150</v>
      </c>
      <c r="AB184" s="40">
        <f t="shared" si="84"/>
        <v>4489</v>
      </c>
    </row>
    <row r="185" spans="1:28" ht="15.75" customHeight="1">
      <c r="A185" s="11" t="s">
        <v>771</v>
      </c>
      <c r="B185" s="12" t="s">
        <v>772</v>
      </c>
      <c r="C185" s="13" t="s">
        <v>25</v>
      </c>
      <c r="D185" s="13" t="s">
        <v>760</v>
      </c>
      <c r="E185" s="14">
        <v>44595</v>
      </c>
      <c r="F185" s="15">
        <f t="shared" si="0"/>
        <v>2022</v>
      </c>
      <c r="G185" s="16">
        <f t="shared" si="1"/>
        <v>5</v>
      </c>
      <c r="H185" s="16">
        <f t="shared" si="2"/>
        <v>4</v>
      </c>
      <c r="I185" s="16" t="str">
        <f>VLOOKUP(H185,'Дни недели сортировка'!A:B,2,FALSE)</f>
        <v>04-четверг</v>
      </c>
      <c r="J185" s="17">
        <v>0.67291666666666672</v>
      </c>
      <c r="K185" s="12" t="s">
        <v>27</v>
      </c>
      <c r="L185" s="12" t="s">
        <v>773</v>
      </c>
      <c r="M185" s="12" t="s">
        <v>29</v>
      </c>
      <c r="N185" s="18">
        <v>1273715</v>
      </c>
      <c r="O185" s="18">
        <f>N185-1.5%*N185</f>
        <v>1254609.2749999999</v>
      </c>
      <c r="P185" s="18">
        <f>O185*11.05%</f>
        <v>138634.3248875</v>
      </c>
      <c r="Q185" s="18">
        <f>P185*3.9%</f>
        <v>5406.7386706124998</v>
      </c>
      <c r="R185" s="18">
        <f t="shared" si="4"/>
        <v>19105.725000000093</v>
      </c>
      <c r="S185" s="18">
        <f t="shared" si="86"/>
        <v>11291.483475000001</v>
      </c>
      <c r="T185" s="12" t="s">
        <v>774</v>
      </c>
      <c r="U185" s="18">
        <v>5028.2669636696255</v>
      </c>
      <c r="V185" s="19">
        <v>1737.7690626442225</v>
      </c>
      <c r="W185" s="19">
        <v>1477.103703247589</v>
      </c>
      <c r="X185" s="19">
        <v>1166.9119255655953</v>
      </c>
      <c r="Y185" s="40">
        <f t="shared" si="81"/>
        <v>5028</v>
      </c>
      <c r="Z185" s="40">
        <f t="shared" si="82"/>
        <v>1737</v>
      </c>
      <c r="AA185" s="40">
        <f t="shared" si="83"/>
        <v>1477</v>
      </c>
      <c r="AB185" s="40">
        <f t="shared" si="84"/>
        <v>1166</v>
      </c>
    </row>
    <row r="186" spans="1:28" ht="15.75" customHeight="1">
      <c r="A186" s="11" t="s">
        <v>775</v>
      </c>
      <c r="B186" s="12" t="s">
        <v>776</v>
      </c>
      <c r="C186" s="13" t="s">
        <v>25</v>
      </c>
      <c r="D186" s="13" t="s">
        <v>760</v>
      </c>
      <c r="E186" s="14">
        <v>44600</v>
      </c>
      <c r="F186" s="15">
        <f t="shared" si="0"/>
        <v>2022</v>
      </c>
      <c r="G186" s="16">
        <f t="shared" si="1"/>
        <v>6</v>
      </c>
      <c r="H186" s="16">
        <f t="shared" si="2"/>
        <v>2</v>
      </c>
      <c r="I186" s="16" t="str">
        <f>VLOOKUP(H186,'Дни недели сортировка'!A:B,2,FALSE)</f>
        <v>02-вторник</v>
      </c>
      <c r="J186" s="17">
        <v>0.66597222222222219</v>
      </c>
      <c r="K186" s="12" t="s">
        <v>27</v>
      </c>
      <c r="L186" s="12" t="s">
        <v>777</v>
      </c>
      <c r="M186" s="12" t="s">
        <v>35</v>
      </c>
      <c r="N186" s="18">
        <v>1544032</v>
      </c>
      <c r="O186" s="18">
        <f t="shared" ref="O186:O187" si="91">N186-2%*N186</f>
        <v>1513151.36</v>
      </c>
      <c r="P186" s="18">
        <f>O186*9.2%</f>
        <v>139209.92512</v>
      </c>
      <c r="Q186" s="18">
        <f>P186*7.2%</f>
        <v>10023.11460864</v>
      </c>
      <c r="R186" s="18">
        <f t="shared" si="4"/>
        <v>30880.639999999898</v>
      </c>
      <c r="S186" s="18">
        <f t="shared" si="86"/>
        <v>13618.362240000002</v>
      </c>
      <c r="T186" s="12" t="s">
        <v>778</v>
      </c>
      <c r="U186" s="18">
        <v>9121.0342938623999</v>
      </c>
      <c r="V186" s="19">
        <v>2201.8176785383835</v>
      </c>
      <c r="W186" s="19">
        <v>1840.7195792580885</v>
      </c>
      <c r="X186" s="19">
        <v>1527.7972507842135</v>
      </c>
      <c r="Y186" s="40">
        <f t="shared" si="81"/>
        <v>9121</v>
      </c>
      <c r="Z186" s="40">
        <f t="shared" si="82"/>
        <v>2201</v>
      </c>
      <c r="AA186" s="40">
        <f t="shared" si="83"/>
        <v>1840</v>
      </c>
      <c r="AB186" s="40">
        <f t="shared" si="84"/>
        <v>1527</v>
      </c>
    </row>
    <row r="187" spans="1:28" ht="15.75" customHeight="1">
      <c r="A187" s="11" t="s">
        <v>779</v>
      </c>
      <c r="B187" s="12" t="s">
        <v>780</v>
      </c>
      <c r="C187" s="13" t="s">
        <v>25</v>
      </c>
      <c r="D187" s="13" t="s">
        <v>33</v>
      </c>
      <c r="E187" s="14">
        <v>44503</v>
      </c>
      <c r="F187" s="15">
        <f t="shared" si="0"/>
        <v>2021</v>
      </c>
      <c r="G187" s="16">
        <f t="shared" si="1"/>
        <v>44</v>
      </c>
      <c r="H187" s="16">
        <f t="shared" si="2"/>
        <v>3</v>
      </c>
      <c r="I187" s="16" t="str">
        <f>VLOOKUP(H187,'Дни недели сортировка'!A:B,2,FALSE)</f>
        <v>03-среда</v>
      </c>
      <c r="J187" s="17">
        <v>0.61527777777777781</v>
      </c>
      <c r="K187" s="12" t="s">
        <v>27</v>
      </c>
      <c r="L187" s="12" t="s">
        <v>781</v>
      </c>
      <c r="M187" s="12" t="s">
        <v>41</v>
      </c>
      <c r="N187" s="18">
        <v>1905139</v>
      </c>
      <c r="O187" s="18">
        <f t="shared" si="91"/>
        <v>1867036.22</v>
      </c>
      <c r="P187" s="18">
        <f>O187*17.43%</f>
        <v>325424.41314600001</v>
      </c>
      <c r="Q187" s="18">
        <f>P187*12%</f>
        <v>39050.929577520001</v>
      </c>
      <c r="R187" s="18">
        <f t="shared" si="4"/>
        <v>38102.780000000028</v>
      </c>
      <c r="S187" s="18">
        <f t="shared" si="86"/>
        <v>16803.325980000001</v>
      </c>
      <c r="T187" s="12" t="s">
        <v>782</v>
      </c>
      <c r="U187" s="18">
        <v>33974.308732442398</v>
      </c>
      <c r="V187" s="19">
        <v>19344.971392252701</v>
      </c>
      <c r="W187" s="19">
        <v>15708.116770509194</v>
      </c>
      <c r="X187" s="19">
        <v>12880.655751817538</v>
      </c>
      <c r="Y187" s="40">
        <f t="shared" si="81"/>
        <v>33974</v>
      </c>
      <c r="Z187" s="40">
        <f t="shared" si="82"/>
        <v>19344</v>
      </c>
      <c r="AA187" s="40">
        <f t="shared" si="83"/>
        <v>15708</v>
      </c>
      <c r="AB187" s="40">
        <f t="shared" si="84"/>
        <v>12880</v>
      </c>
    </row>
    <row r="188" spans="1:28" ht="15.75" customHeight="1">
      <c r="A188" s="11" t="s">
        <v>783</v>
      </c>
      <c r="B188" s="12" t="s">
        <v>784</v>
      </c>
      <c r="C188" s="13" t="s">
        <v>25</v>
      </c>
      <c r="D188" s="13" t="s">
        <v>760</v>
      </c>
      <c r="E188" s="14">
        <v>44600</v>
      </c>
      <c r="F188" s="15">
        <f t="shared" si="0"/>
        <v>2022</v>
      </c>
      <c r="G188" s="16">
        <f t="shared" si="1"/>
        <v>6</v>
      </c>
      <c r="H188" s="16">
        <f t="shared" si="2"/>
        <v>2</v>
      </c>
      <c r="I188" s="16" t="str">
        <f>VLOOKUP(H188,'Дни недели сортировка'!A:B,2,FALSE)</f>
        <v>02-вторник</v>
      </c>
      <c r="J188" s="17">
        <v>0.66597222222222219</v>
      </c>
      <c r="K188" s="12" t="s">
        <v>27</v>
      </c>
      <c r="L188" s="12" t="s">
        <v>785</v>
      </c>
      <c r="M188" s="12" t="s">
        <v>29</v>
      </c>
      <c r="N188" s="18">
        <v>925705</v>
      </c>
      <c r="O188" s="18">
        <f>N188-1.5%*N188</f>
        <v>911819.42500000005</v>
      </c>
      <c r="P188" s="18">
        <f>O188*11.05%</f>
        <v>100756.0464625</v>
      </c>
      <c r="Q188" s="18">
        <f>P188*9%</f>
        <v>9068.0441816250004</v>
      </c>
      <c r="R188" s="18">
        <f t="shared" si="4"/>
        <v>13885.574999999953</v>
      </c>
      <c r="S188" s="18">
        <f t="shared" si="86"/>
        <v>8206.3748250000008</v>
      </c>
      <c r="T188" s="12" t="s">
        <v>786</v>
      </c>
      <c r="U188" s="18">
        <v>6256.9504853212502</v>
      </c>
      <c r="V188" s="19">
        <v>1624.9300410379287</v>
      </c>
      <c r="W188" s="19">
        <v>1592.4314402171701</v>
      </c>
      <c r="X188" s="19">
        <v>1258.0208377715644</v>
      </c>
      <c r="Y188" s="40">
        <f t="shared" si="81"/>
        <v>6256</v>
      </c>
      <c r="Z188" s="40">
        <f t="shared" si="82"/>
        <v>1624</v>
      </c>
      <c r="AA188" s="40">
        <f t="shared" si="83"/>
        <v>1592</v>
      </c>
      <c r="AB188" s="40">
        <f t="shared" si="84"/>
        <v>1258</v>
      </c>
    </row>
    <row r="189" spans="1:28" ht="15.75" customHeight="1">
      <c r="A189" s="11" t="s">
        <v>787</v>
      </c>
      <c r="B189" s="12" t="s">
        <v>788</v>
      </c>
      <c r="C189" s="13" t="s">
        <v>25</v>
      </c>
      <c r="D189" s="13" t="s">
        <v>760</v>
      </c>
      <c r="E189" s="14">
        <v>44602</v>
      </c>
      <c r="F189" s="15">
        <f t="shared" si="0"/>
        <v>2022</v>
      </c>
      <c r="G189" s="16">
        <f t="shared" si="1"/>
        <v>6</v>
      </c>
      <c r="H189" s="16">
        <f t="shared" si="2"/>
        <v>4</v>
      </c>
      <c r="I189" s="16" t="str">
        <f>VLOOKUP(H189,'Дни недели сортировка'!A:B,2,FALSE)</f>
        <v>04-четверг</v>
      </c>
      <c r="J189" s="17">
        <v>0.65833333333333333</v>
      </c>
      <c r="K189" s="12" t="s">
        <v>27</v>
      </c>
      <c r="L189" s="12" t="s">
        <v>789</v>
      </c>
      <c r="M189" s="12" t="s">
        <v>35</v>
      </c>
      <c r="N189" s="18">
        <v>1719605</v>
      </c>
      <c r="O189" s="18">
        <f t="shared" ref="O189:O190" si="92">N189-2%*N189</f>
        <v>1685212.9</v>
      </c>
      <c r="P189" s="18">
        <f>O189*9.2%</f>
        <v>155039.58679999999</v>
      </c>
      <c r="Q189" s="18">
        <f>P189*8.4%</f>
        <v>13023.325291200001</v>
      </c>
      <c r="R189" s="18">
        <f t="shared" si="4"/>
        <v>34392.100000000093</v>
      </c>
      <c r="S189" s="18">
        <f t="shared" si="86"/>
        <v>15166.9161</v>
      </c>
      <c r="T189" s="12" t="s">
        <v>790</v>
      </c>
      <c r="U189" s="18">
        <v>12632.625532464001</v>
      </c>
      <c r="V189" s="19">
        <v>5269.0681095907339</v>
      </c>
      <c r="W189" s="19">
        <v>4584.0892553439389</v>
      </c>
      <c r="X189" s="19">
        <v>3438.0669415079542</v>
      </c>
      <c r="Y189" s="40">
        <f t="shared" si="81"/>
        <v>12632</v>
      </c>
      <c r="Z189" s="40">
        <f t="shared" si="82"/>
        <v>5269</v>
      </c>
      <c r="AA189" s="40">
        <f t="shared" si="83"/>
        <v>4584</v>
      </c>
      <c r="AB189" s="40">
        <f t="shared" si="84"/>
        <v>3438</v>
      </c>
    </row>
    <row r="190" spans="1:28" ht="15.75" customHeight="1">
      <c r="A190" s="11" t="s">
        <v>791</v>
      </c>
      <c r="B190" s="12" t="s">
        <v>792</v>
      </c>
      <c r="C190" s="13" t="s">
        <v>25</v>
      </c>
      <c r="D190" s="13" t="s">
        <v>760</v>
      </c>
      <c r="E190" s="14">
        <v>44606</v>
      </c>
      <c r="F190" s="15">
        <f t="shared" si="0"/>
        <v>2022</v>
      </c>
      <c r="G190" s="16">
        <f t="shared" si="1"/>
        <v>7</v>
      </c>
      <c r="H190" s="16">
        <f t="shared" si="2"/>
        <v>1</v>
      </c>
      <c r="I190" s="16" t="str">
        <f>VLOOKUP(H190,'Дни недели сортировка'!A:B,2,FALSE)</f>
        <v>01-понедельник</v>
      </c>
      <c r="J190" s="17">
        <v>0.66180555555555554</v>
      </c>
      <c r="K190" s="12" t="s">
        <v>27</v>
      </c>
      <c r="L190" s="12" t="s">
        <v>793</v>
      </c>
      <c r="M190" s="12" t="s">
        <v>41</v>
      </c>
      <c r="N190" s="18">
        <v>2028149</v>
      </c>
      <c r="O190" s="18">
        <f t="shared" si="92"/>
        <v>1987586.02</v>
      </c>
      <c r="P190" s="18">
        <f>O190*11.05%</f>
        <v>219628.25521</v>
      </c>
      <c r="Q190" s="18">
        <f>P190*3.9%</f>
        <v>8565.5019531899998</v>
      </c>
      <c r="R190" s="18">
        <f t="shared" si="4"/>
        <v>40562.979999999981</v>
      </c>
      <c r="S190" s="18">
        <f t="shared" si="86"/>
        <v>17888.274180000004</v>
      </c>
      <c r="T190" s="12" t="s">
        <v>794</v>
      </c>
      <c r="U190" s="18">
        <v>7280.6766602114994</v>
      </c>
      <c r="V190" s="19">
        <v>4411.3619884221471</v>
      </c>
      <c r="W190" s="19">
        <v>3749.6576901588251</v>
      </c>
      <c r="X190" s="19">
        <v>2737.2501138159423</v>
      </c>
      <c r="Y190" s="40">
        <f t="shared" si="81"/>
        <v>7280</v>
      </c>
      <c r="Z190" s="40">
        <f t="shared" si="82"/>
        <v>4411</v>
      </c>
      <c r="AA190" s="40">
        <f t="shared" si="83"/>
        <v>3749</v>
      </c>
      <c r="AB190" s="40">
        <f t="shared" si="84"/>
        <v>2737</v>
      </c>
    </row>
    <row r="191" spans="1:28" ht="15.75" customHeight="1">
      <c r="A191" s="11" t="s">
        <v>795</v>
      </c>
      <c r="B191" s="12" t="s">
        <v>796</v>
      </c>
      <c r="C191" s="13" t="s">
        <v>25</v>
      </c>
      <c r="D191" s="13" t="s">
        <v>760</v>
      </c>
      <c r="E191" s="14">
        <v>44610</v>
      </c>
      <c r="F191" s="15">
        <f t="shared" si="0"/>
        <v>2022</v>
      </c>
      <c r="G191" s="16">
        <f t="shared" si="1"/>
        <v>8</v>
      </c>
      <c r="H191" s="16">
        <f t="shared" si="2"/>
        <v>5</v>
      </c>
      <c r="I191" s="16" t="str">
        <f>VLOOKUP(H191,'Дни недели сортировка'!A:B,2,FALSE)</f>
        <v>05-пятница</v>
      </c>
      <c r="J191" s="17">
        <v>0.56666666666666665</v>
      </c>
      <c r="K191" s="12" t="s">
        <v>27</v>
      </c>
      <c r="L191" s="12" t="s">
        <v>797</v>
      </c>
      <c r="M191" s="12" t="s">
        <v>29</v>
      </c>
      <c r="N191" s="18">
        <v>1026345</v>
      </c>
      <c r="O191" s="18">
        <f>N191-1.5%*N191</f>
        <v>1010949.825</v>
      </c>
      <c r="P191" s="18">
        <f>O191*18%</f>
        <v>181970.96849999999</v>
      </c>
      <c r="Q191" s="18">
        <f>P191*7.2%</f>
        <v>13101.909732</v>
      </c>
      <c r="R191" s="18">
        <f t="shared" si="4"/>
        <v>15395.175000000047</v>
      </c>
      <c r="S191" s="18">
        <f t="shared" si="86"/>
        <v>9098.5484250000009</v>
      </c>
      <c r="T191" s="12" t="s">
        <v>798</v>
      </c>
      <c r="U191" s="18">
        <v>12053.756953440001</v>
      </c>
      <c r="V191" s="19">
        <v>4663.5985652859363</v>
      </c>
      <c r="W191" s="19">
        <v>3898.7684005790425</v>
      </c>
      <c r="X191" s="19">
        <v>3080.0270364574435</v>
      </c>
      <c r="Y191" s="40">
        <f t="shared" si="81"/>
        <v>12053</v>
      </c>
      <c r="Z191" s="40">
        <f t="shared" si="82"/>
        <v>4663</v>
      </c>
      <c r="AA191" s="40">
        <f t="shared" si="83"/>
        <v>3898</v>
      </c>
      <c r="AB191" s="40">
        <f t="shared" si="84"/>
        <v>3080</v>
      </c>
    </row>
    <row r="192" spans="1:28" ht="15.75" customHeight="1">
      <c r="A192" s="11" t="s">
        <v>799</v>
      </c>
      <c r="B192" s="12" t="s">
        <v>800</v>
      </c>
      <c r="C192" s="13" t="s">
        <v>25</v>
      </c>
      <c r="D192" s="13" t="s">
        <v>760</v>
      </c>
      <c r="E192" s="14">
        <v>44615</v>
      </c>
      <c r="F192" s="15">
        <f t="shared" si="0"/>
        <v>2022</v>
      </c>
      <c r="G192" s="16">
        <f t="shared" si="1"/>
        <v>8</v>
      </c>
      <c r="H192" s="16">
        <f t="shared" si="2"/>
        <v>3</v>
      </c>
      <c r="I192" s="16" t="str">
        <f>VLOOKUP(H192,'Дни недели сортировка'!A:B,2,FALSE)</f>
        <v>03-среда</v>
      </c>
      <c r="J192" s="17">
        <v>0.66180555555555554</v>
      </c>
      <c r="K192" s="12" t="s">
        <v>27</v>
      </c>
      <c r="L192" s="12" t="s">
        <v>801</v>
      </c>
      <c r="M192" s="12" t="s">
        <v>35</v>
      </c>
      <c r="N192" s="18">
        <v>2170743</v>
      </c>
      <c r="O192" s="18">
        <f t="shared" ref="O192:O193" si="93">N192-2%*N192</f>
        <v>2127328.14</v>
      </c>
      <c r="P192" s="18">
        <f>O192*11.05%</f>
        <v>235069.75947000002</v>
      </c>
      <c r="Q192" s="18">
        <f>P192*12%</f>
        <v>28208.371136400001</v>
      </c>
      <c r="R192" s="18">
        <f t="shared" si="4"/>
        <v>43414.85999999987</v>
      </c>
      <c r="S192" s="18">
        <f t="shared" si="86"/>
        <v>19145.953260000002</v>
      </c>
      <c r="T192" s="12" t="s">
        <v>802</v>
      </c>
      <c r="U192" s="18">
        <v>26233.785156852002</v>
      </c>
      <c r="V192" s="19">
        <v>9066.396150208051</v>
      </c>
      <c r="W192" s="19">
        <v>7361.9136739689384</v>
      </c>
      <c r="X192" s="19">
        <v>6110.3883493942185</v>
      </c>
      <c r="Y192" s="40">
        <f t="shared" si="81"/>
        <v>26233</v>
      </c>
      <c r="Z192" s="40">
        <f t="shared" si="82"/>
        <v>9066</v>
      </c>
      <c r="AA192" s="40">
        <f t="shared" si="83"/>
        <v>7361</v>
      </c>
      <c r="AB192" s="40">
        <f t="shared" si="84"/>
        <v>6110</v>
      </c>
    </row>
    <row r="193" spans="1:28" ht="15.75" customHeight="1">
      <c r="A193" s="11" t="s">
        <v>803</v>
      </c>
      <c r="B193" s="12" t="s">
        <v>804</v>
      </c>
      <c r="C193" s="13" t="s">
        <v>25</v>
      </c>
      <c r="D193" s="13" t="s">
        <v>760</v>
      </c>
      <c r="E193" s="14">
        <v>44615</v>
      </c>
      <c r="F193" s="15">
        <f t="shared" si="0"/>
        <v>2022</v>
      </c>
      <c r="G193" s="16">
        <f t="shared" si="1"/>
        <v>8</v>
      </c>
      <c r="H193" s="16">
        <f t="shared" si="2"/>
        <v>3</v>
      </c>
      <c r="I193" s="16" t="str">
        <f>VLOOKUP(H193,'Дни недели сортировка'!A:B,2,FALSE)</f>
        <v>03-среда</v>
      </c>
      <c r="J193" s="17">
        <v>0.66180555555555554</v>
      </c>
      <c r="K193" s="12" t="s">
        <v>27</v>
      </c>
      <c r="L193" s="12" t="s">
        <v>805</v>
      </c>
      <c r="M193" s="12" t="s">
        <v>41</v>
      </c>
      <c r="N193" s="18">
        <v>1812082</v>
      </c>
      <c r="O193" s="18">
        <f t="shared" si="93"/>
        <v>1775840.36</v>
      </c>
      <c r="P193" s="18">
        <f>O193*18%</f>
        <v>319651.2648</v>
      </c>
      <c r="Q193" s="18">
        <f>P193*9%</f>
        <v>28768.613831999999</v>
      </c>
      <c r="R193" s="18">
        <f t="shared" si="4"/>
        <v>36241.639999999898</v>
      </c>
      <c r="S193" s="18">
        <f t="shared" si="86"/>
        <v>15982.563240000003</v>
      </c>
      <c r="T193" s="12" t="s">
        <v>806</v>
      </c>
      <c r="U193" s="18">
        <v>26179.438587119999</v>
      </c>
      <c r="V193" s="19">
        <v>6319.7164749307676</v>
      </c>
      <c r="W193" s="19">
        <v>6193.322145432152</v>
      </c>
      <c r="X193" s="19">
        <v>5078.5241592543643</v>
      </c>
      <c r="Y193" s="40">
        <f t="shared" si="81"/>
        <v>26179</v>
      </c>
      <c r="Z193" s="40">
        <f t="shared" si="82"/>
        <v>6319</v>
      </c>
      <c r="AA193" s="40">
        <f t="shared" si="83"/>
        <v>6193</v>
      </c>
      <c r="AB193" s="40">
        <f t="shared" si="84"/>
        <v>5078</v>
      </c>
    </row>
    <row r="194" spans="1:28" ht="15.75" customHeight="1">
      <c r="A194" s="11" t="s">
        <v>807</v>
      </c>
      <c r="B194" s="12" t="s">
        <v>808</v>
      </c>
      <c r="C194" s="13" t="s">
        <v>25</v>
      </c>
      <c r="D194" s="13" t="s">
        <v>760</v>
      </c>
      <c r="E194" s="14">
        <v>44615</v>
      </c>
      <c r="F194" s="15">
        <f t="shared" si="0"/>
        <v>2022</v>
      </c>
      <c r="G194" s="16">
        <f t="shared" si="1"/>
        <v>8</v>
      </c>
      <c r="H194" s="16">
        <f t="shared" si="2"/>
        <v>3</v>
      </c>
      <c r="I194" s="16" t="str">
        <f>VLOOKUP(H194,'Дни недели сортировка'!A:B,2,FALSE)</f>
        <v>03-среда</v>
      </c>
      <c r="J194" s="17">
        <v>0.66180555555555554</v>
      </c>
      <c r="K194" s="12" t="s">
        <v>27</v>
      </c>
      <c r="L194" s="12" t="s">
        <v>809</v>
      </c>
      <c r="M194" s="12" t="s">
        <v>29</v>
      </c>
      <c r="N194" s="18">
        <v>1188879</v>
      </c>
      <c r="O194" s="18">
        <f>N194-1.5%*N194</f>
        <v>1171045.8149999999</v>
      </c>
      <c r="P194" s="18">
        <f>O194*17.43%</f>
        <v>204113.28555450001</v>
      </c>
      <c r="Q194" s="18">
        <f>P194*8.4%</f>
        <v>17145.515986578001</v>
      </c>
      <c r="R194" s="18">
        <f t="shared" si="4"/>
        <v>17833.185000000056</v>
      </c>
      <c r="S194" s="18">
        <f t="shared" si="86"/>
        <v>10539.412335000001</v>
      </c>
      <c r="T194" s="12" t="s">
        <v>810</v>
      </c>
      <c r="U194" s="18">
        <v>14916.59890832286</v>
      </c>
      <c r="V194" s="19">
        <v>8493.5114183990372</v>
      </c>
      <c r="W194" s="19">
        <v>7389.3549340071622</v>
      </c>
      <c r="X194" s="19">
        <v>5837.5903978656588</v>
      </c>
      <c r="Y194" s="40">
        <f t="shared" si="81"/>
        <v>14916</v>
      </c>
      <c r="Z194" s="40">
        <f t="shared" si="82"/>
        <v>8493</v>
      </c>
      <c r="AA194" s="40">
        <f t="shared" si="83"/>
        <v>7389</v>
      </c>
      <c r="AB194" s="40">
        <f t="shared" si="84"/>
        <v>5837</v>
      </c>
    </row>
    <row r="195" spans="1:28" ht="15.75" customHeight="1">
      <c r="A195" s="11" t="s">
        <v>811</v>
      </c>
      <c r="B195" s="12" t="s">
        <v>812</v>
      </c>
      <c r="C195" s="13" t="s">
        <v>25</v>
      </c>
      <c r="D195" s="13" t="s">
        <v>760</v>
      </c>
      <c r="E195" s="14">
        <v>44615</v>
      </c>
      <c r="F195" s="15">
        <f t="shared" si="0"/>
        <v>2022</v>
      </c>
      <c r="G195" s="16">
        <f t="shared" si="1"/>
        <v>8</v>
      </c>
      <c r="H195" s="16">
        <f t="shared" si="2"/>
        <v>3</v>
      </c>
      <c r="I195" s="16" t="str">
        <f>VLOOKUP(H195,'Дни недели сортировка'!A:B,2,FALSE)</f>
        <v>03-среда</v>
      </c>
      <c r="J195" s="17">
        <v>0.66180555555555554</v>
      </c>
      <c r="K195" s="12" t="s">
        <v>27</v>
      </c>
      <c r="L195" s="12" t="s">
        <v>813</v>
      </c>
      <c r="M195" s="12" t="s">
        <v>35</v>
      </c>
      <c r="N195" s="18">
        <v>901704</v>
      </c>
      <c r="O195" s="18">
        <f t="shared" ref="O195:O196" si="94">N195-2%*N195</f>
        <v>883669.92</v>
      </c>
      <c r="P195" s="18">
        <f>O195*11.05%</f>
        <v>97645.526160000009</v>
      </c>
      <c r="Q195" s="18">
        <f>P195*3.9%</f>
        <v>3808.1755202400004</v>
      </c>
      <c r="R195" s="18">
        <f t="shared" si="4"/>
        <v>18034.079999999958</v>
      </c>
      <c r="S195" s="18">
        <f t="shared" si="86"/>
        <v>7953.0292800000016</v>
      </c>
      <c r="T195" s="12" t="s">
        <v>814</v>
      </c>
      <c r="U195" s="18">
        <v>2627.6411089655999</v>
      </c>
      <c r="V195" s="19">
        <v>682.39839599836637</v>
      </c>
      <c r="W195" s="19">
        <v>580.03863659861145</v>
      </c>
      <c r="X195" s="19">
        <v>435.02897744895859</v>
      </c>
      <c r="Y195" s="40">
        <f t="shared" si="81"/>
        <v>2627</v>
      </c>
      <c r="Z195" s="40">
        <f t="shared" si="82"/>
        <v>682</v>
      </c>
      <c r="AA195" s="40">
        <f t="shared" si="83"/>
        <v>580</v>
      </c>
      <c r="AB195" s="40">
        <f t="shared" si="84"/>
        <v>435</v>
      </c>
    </row>
    <row r="196" spans="1:28" ht="15.75" customHeight="1">
      <c r="A196" s="11" t="s">
        <v>815</v>
      </c>
      <c r="B196" s="12" t="s">
        <v>816</v>
      </c>
      <c r="C196" s="13" t="s">
        <v>25</v>
      </c>
      <c r="D196" s="13" t="s">
        <v>760</v>
      </c>
      <c r="E196" s="14">
        <v>44615</v>
      </c>
      <c r="F196" s="15">
        <f t="shared" si="0"/>
        <v>2022</v>
      </c>
      <c r="G196" s="16">
        <f t="shared" si="1"/>
        <v>8</v>
      </c>
      <c r="H196" s="16">
        <f t="shared" si="2"/>
        <v>3</v>
      </c>
      <c r="I196" s="16" t="str">
        <f>VLOOKUP(H196,'Дни недели сортировка'!A:B,2,FALSE)</f>
        <v>03-среда</v>
      </c>
      <c r="J196" s="17">
        <v>0.66180555555555554</v>
      </c>
      <c r="K196" s="12" t="s">
        <v>27</v>
      </c>
      <c r="L196" s="12" t="s">
        <v>817</v>
      </c>
      <c r="M196" s="12" t="s">
        <v>41</v>
      </c>
      <c r="N196" s="18">
        <v>2239201</v>
      </c>
      <c r="O196" s="18">
        <f t="shared" si="94"/>
        <v>2194416.98</v>
      </c>
      <c r="P196" s="18">
        <f>O196*9.2%</f>
        <v>201886.36215999999</v>
      </c>
      <c r="Q196" s="18">
        <f>P196*7.2%</f>
        <v>14535.818075520001</v>
      </c>
      <c r="R196" s="18">
        <f t="shared" si="4"/>
        <v>44784.020000000019</v>
      </c>
      <c r="S196" s="18">
        <f t="shared" si="86"/>
        <v>19749.752820000002</v>
      </c>
      <c r="T196" s="12" t="s">
        <v>818</v>
      </c>
      <c r="U196" s="18">
        <v>14099.743533254401</v>
      </c>
      <c r="V196" s="19">
        <v>5881.0030277204105</v>
      </c>
      <c r="W196" s="19">
        <v>4998.8525735623489</v>
      </c>
      <c r="X196" s="19">
        <v>3649.1623787005146</v>
      </c>
      <c r="Y196" s="40">
        <f t="shared" si="81"/>
        <v>14099</v>
      </c>
      <c r="Z196" s="40">
        <f t="shared" si="82"/>
        <v>5881</v>
      </c>
      <c r="AA196" s="40">
        <f t="shared" si="83"/>
        <v>4998</v>
      </c>
      <c r="AB196" s="40">
        <f t="shared" si="84"/>
        <v>3649</v>
      </c>
    </row>
    <row r="197" spans="1:28" ht="15.75" customHeight="1">
      <c r="A197" s="11" t="s">
        <v>819</v>
      </c>
      <c r="B197" s="12" t="s">
        <v>820</v>
      </c>
      <c r="C197" s="13" t="s">
        <v>25</v>
      </c>
      <c r="D197" s="13" t="s">
        <v>760</v>
      </c>
      <c r="E197" s="14">
        <v>44615</v>
      </c>
      <c r="F197" s="15">
        <f t="shared" si="0"/>
        <v>2022</v>
      </c>
      <c r="G197" s="16">
        <f t="shared" si="1"/>
        <v>8</v>
      </c>
      <c r="H197" s="16">
        <f t="shared" si="2"/>
        <v>3</v>
      </c>
      <c r="I197" s="16" t="str">
        <f>VLOOKUP(H197,'Дни недели сортировка'!A:B,2,FALSE)</f>
        <v>03-среда</v>
      </c>
      <c r="J197" s="17">
        <v>0.66180555555555554</v>
      </c>
      <c r="K197" s="12" t="s">
        <v>27</v>
      </c>
      <c r="L197" s="12" t="s">
        <v>821</v>
      </c>
      <c r="M197" s="12" t="s">
        <v>29</v>
      </c>
      <c r="N197" s="18">
        <v>890442</v>
      </c>
      <c r="O197" s="18">
        <f>N197-1.5%*N197</f>
        <v>877085.37</v>
      </c>
      <c r="P197" s="18">
        <f>O197*17.43%</f>
        <v>152875.979991</v>
      </c>
      <c r="Q197" s="18">
        <f>P197*12%</f>
        <v>18345.117598919998</v>
      </c>
      <c r="R197" s="18">
        <f t="shared" si="4"/>
        <v>13356.630000000005</v>
      </c>
      <c r="S197" s="18">
        <f t="shared" si="86"/>
        <v>7893.7683300000008</v>
      </c>
      <c r="T197" s="12" t="s">
        <v>822</v>
      </c>
      <c r="U197" s="18">
        <v>15593.349959081997</v>
      </c>
      <c r="V197" s="19">
        <v>9448.0107402077811</v>
      </c>
      <c r="W197" s="19">
        <v>7898.536978813705</v>
      </c>
      <c r="X197" s="19">
        <v>6239.844213262827</v>
      </c>
      <c r="Y197" s="40">
        <f t="shared" si="81"/>
        <v>15593</v>
      </c>
      <c r="Z197" s="40">
        <f t="shared" si="82"/>
        <v>9448</v>
      </c>
      <c r="AA197" s="40">
        <f t="shared" si="83"/>
        <v>7898</v>
      </c>
      <c r="AB197" s="40">
        <f t="shared" si="84"/>
        <v>6239</v>
      </c>
    </row>
    <row r="198" spans="1:28" ht="15.75" customHeight="1">
      <c r="A198" s="11" t="s">
        <v>823</v>
      </c>
      <c r="B198" s="12" t="s">
        <v>824</v>
      </c>
      <c r="C198" s="13" t="s">
        <v>25</v>
      </c>
      <c r="D198" s="13" t="s">
        <v>33</v>
      </c>
      <c r="E198" s="14">
        <v>44503</v>
      </c>
      <c r="F198" s="15">
        <f t="shared" si="0"/>
        <v>2021</v>
      </c>
      <c r="G198" s="16">
        <f t="shared" si="1"/>
        <v>44</v>
      </c>
      <c r="H198" s="16">
        <f t="shared" si="2"/>
        <v>3</v>
      </c>
      <c r="I198" s="16" t="str">
        <f>VLOOKUP(H198,'Дни недели сортировка'!A:B,2,FALSE)</f>
        <v>03-среда</v>
      </c>
      <c r="J198" s="17">
        <v>0.44305555555555554</v>
      </c>
      <c r="K198" s="12" t="s">
        <v>27</v>
      </c>
      <c r="L198" s="12" t="s">
        <v>825</v>
      </c>
      <c r="M198" s="12" t="s">
        <v>35</v>
      </c>
      <c r="N198" s="18">
        <v>1885534</v>
      </c>
      <c r="O198" s="18">
        <f t="shared" ref="O198:O199" si="95">N198-2%*N198</f>
        <v>1847823.32</v>
      </c>
      <c r="P198" s="18">
        <f>O198*11.05%</f>
        <v>204184.47686</v>
      </c>
      <c r="Q198" s="18">
        <f>P198*9%</f>
        <v>18376.6029174</v>
      </c>
      <c r="R198" s="18">
        <f t="shared" si="4"/>
        <v>37710.679999999935</v>
      </c>
      <c r="S198" s="18">
        <f t="shared" si="86"/>
        <v>16630.409880000003</v>
      </c>
      <c r="T198" s="12" t="s">
        <v>826</v>
      </c>
      <c r="U198" s="18">
        <v>16906.474684008001</v>
      </c>
      <c r="V198" s="19">
        <v>6541.1150552426961</v>
      </c>
      <c r="W198" s="19">
        <v>5311.3854248570697</v>
      </c>
      <c r="X198" s="19">
        <v>4408.4499026313679</v>
      </c>
      <c r="Y198" s="40">
        <f t="shared" si="81"/>
        <v>16906</v>
      </c>
      <c r="Z198" s="40">
        <f t="shared" si="82"/>
        <v>6541</v>
      </c>
      <c r="AA198" s="40">
        <f t="shared" si="83"/>
        <v>5311</v>
      </c>
      <c r="AB198" s="40">
        <f t="shared" si="84"/>
        <v>4408</v>
      </c>
    </row>
    <row r="199" spans="1:28" ht="15.75" customHeight="1">
      <c r="A199" s="11" t="s">
        <v>827</v>
      </c>
      <c r="B199" s="12" t="s">
        <v>828</v>
      </c>
      <c r="C199" s="13" t="s">
        <v>25</v>
      </c>
      <c r="D199" s="13" t="s">
        <v>760</v>
      </c>
      <c r="E199" s="14">
        <v>44615</v>
      </c>
      <c r="F199" s="15">
        <f t="shared" si="0"/>
        <v>2022</v>
      </c>
      <c r="G199" s="16">
        <f t="shared" si="1"/>
        <v>8</v>
      </c>
      <c r="H199" s="16">
        <f t="shared" si="2"/>
        <v>3</v>
      </c>
      <c r="I199" s="16" t="str">
        <f>VLOOKUP(H199,'Дни недели сортировка'!A:B,2,FALSE)</f>
        <v>03-среда</v>
      </c>
      <c r="J199" s="17">
        <v>0.66180555555555554</v>
      </c>
      <c r="K199" s="12" t="s">
        <v>27</v>
      </c>
      <c r="L199" s="12" t="s">
        <v>829</v>
      </c>
      <c r="M199" s="12" t="s">
        <v>41</v>
      </c>
      <c r="N199" s="18">
        <v>2065892</v>
      </c>
      <c r="O199" s="18">
        <f t="shared" si="95"/>
        <v>2024574.16</v>
      </c>
      <c r="P199" s="18">
        <f>O199*9.2%</f>
        <v>186260.82272</v>
      </c>
      <c r="Q199" s="18">
        <f>P199*8.4%</f>
        <v>15645.90910848</v>
      </c>
      <c r="R199" s="18">
        <f t="shared" si="4"/>
        <v>41317.840000000084</v>
      </c>
      <c r="S199" s="18">
        <f t="shared" si="86"/>
        <v>18221.167440000001</v>
      </c>
      <c r="T199" s="12" t="s">
        <v>830</v>
      </c>
      <c r="U199" s="18">
        <v>14550.695470886401</v>
      </c>
      <c r="V199" s="19">
        <v>5028.7203547383397</v>
      </c>
      <c r="W199" s="19">
        <v>4928.145947643573</v>
      </c>
      <c r="X199" s="19">
        <v>4041.0796770677298</v>
      </c>
      <c r="Y199" s="40">
        <f t="shared" si="81"/>
        <v>14550</v>
      </c>
      <c r="Z199" s="40">
        <f t="shared" si="82"/>
        <v>5028</v>
      </c>
      <c r="AA199" s="40">
        <f t="shared" si="83"/>
        <v>4928</v>
      </c>
      <c r="AB199" s="40">
        <f t="shared" si="84"/>
        <v>4041</v>
      </c>
    </row>
    <row r="200" spans="1:28" ht="15.75" customHeight="1">
      <c r="A200" s="11" t="s">
        <v>831</v>
      </c>
      <c r="B200" s="12" t="s">
        <v>832</v>
      </c>
      <c r="C200" s="13" t="s">
        <v>25</v>
      </c>
      <c r="D200" s="13" t="s">
        <v>760</v>
      </c>
      <c r="E200" s="14">
        <v>44615</v>
      </c>
      <c r="F200" s="15">
        <f t="shared" si="0"/>
        <v>2022</v>
      </c>
      <c r="G200" s="16">
        <f t="shared" si="1"/>
        <v>8</v>
      </c>
      <c r="H200" s="16">
        <f t="shared" si="2"/>
        <v>3</v>
      </c>
      <c r="I200" s="16" t="str">
        <f>VLOOKUP(H200,'Дни недели сортировка'!A:B,2,FALSE)</f>
        <v>03-среда</v>
      </c>
      <c r="J200" s="17">
        <v>0.66180555555555554</v>
      </c>
      <c r="K200" s="12" t="s">
        <v>27</v>
      </c>
      <c r="L200" s="12" t="s">
        <v>833</v>
      </c>
      <c r="M200" s="12" t="s">
        <v>29</v>
      </c>
      <c r="N200" s="18">
        <v>961099</v>
      </c>
      <c r="O200" s="18">
        <f>N200-1.5%*N200</f>
        <v>946682.51500000001</v>
      </c>
      <c r="P200" s="18">
        <f>O200*11.05%</f>
        <v>104608.4179075</v>
      </c>
      <c r="Q200" s="18">
        <f>P200*3.9%</f>
        <v>4079.7282983925002</v>
      </c>
      <c r="R200" s="18">
        <f t="shared" si="4"/>
        <v>14416.484999999986</v>
      </c>
      <c r="S200" s="18">
        <f t="shared" si="86"/>
        <v>8520.142635000002</v>
      </c>
      <c r="T200" s="12" t="s">
        <v>834</v>
      </c>
      <c r="U200" s="18">
        <v>3712.5527515371755</v>
      </c>
      <c r="V200" s="19">
        <v>896.2102342210743</v>
      </c>
      <c r="W200" s="19">
        <v>779.70290377233459</v>
      </c>
      <c r="X200" s="19">
        <v>615.96529398014434</v>
      </c>
      <c r="Y200" s="40">
        <f t="shared" si="81"/>
        <v>3712</v>
      </c>
      <c r="Z200" s="40">
        <f t="shared" si="82"/>
        <v>896</v>
      </c>
      <c r="AA200" s="40">
        <f t="shared" si="83"/>
        <v>779</v>
      </c>
      <c r="AB200" s="40">
        <f t="shared" si="84"/>
        <v>615</v>
      </c>
    </row>
    <row r="201" spans="1:28" ht="15.75" customHeight="1">
      <c r="A201" s="11" t="s">
        <v>835</v>
      </c>
      <c r="B201" s="12" t="s">
        <v>836</v>
      </c>
      <c r="C201" s="13" t="s">
        <v>25</v>
      </c>
      <c r="D201" s="13" t="s">
        <v>837</v>
      </c>
      <c r="E201" s="14">
        <v>44630</v>
      </c>
      <c r="F201" s="15">
        <f t="shared" si="0"/>
        <v>2022</v>
      </c>
      <c r="G201" s="16">
        <f t="shared" si="1"/>
        <v>10</v>
      </c>
      <c r="H201" s="16">
        <f t="shared" si="2"/>
        <v>4</v>
      </c>
      <c r="I201" s="16" t="str">
        <f>VLOOKUP(H201,'Дни недели сортировка'!A:B,2,FALSE)</f>
        <v>04-четверг</v>
      </c>
      <c r="J201" s="17">
        <v>0.60624999999999996</v>
      </c>
      <c r="K201" s="12" t="s">
        <v>27</v>
      </c>
      <c r="L201" s="12" t="s">
        <v>838</v>
      </c>
      <c r="M201" s="12" t="s">
        <v>35</v>
      </c>
      <c r="N201" s="18">
        <v>2273314</v>
      </c>
      <c r="O201" s="18">
        <f t="shared" ref="O201:O202" si="96">N201-2%*N201</f>
        <v>2227847.7200000002</v>
      </c>
      <c r="P201" s="18">
        <f>O201*18%</f>
        <v>401012.58960000001</v>
      </c>
      <c r="Q201" s="18">
        <f>P201*7.2%</f>
        <v>28872.906451200004</v>
      </c>
      <c r="R201" s="18">
        <f t="shared" si="4"/>
        <v>45466.279999999795</v>
      </c>
      <c r="S201" s="18">
        <f t="shared" si="86"/>
        <v>20050.629480000003</v>
      </c>
      <c r="T201" s="12" t="s">
        <v>839</v>
      </c>
      <c r="U201" s="18">
        <v>25119.428612544005</v>
      </c>
      <c r="V201" s="19">
        <v>14303.002651982557</v>
      </c>
      <c r="W201" s="19">
        <v>12157.552254185173</v>
      </c>
      <c r="X201" s="19">
        <v>9118.1641906388795</v>
      </c>
      <c r="Y201" s="40">
        <f t="shared" si="81"/>
        <v>25119</v>
      </c>
      <c r="Z201" s="40">
        <f t="shared" si="82"/>
        <v>14303</v>
      </c>
      <c r="AA201" s="40">
        <f t="shared" si="83"/>
        <v>12157</v>
      </c>
      <c r="AB201" s="40">
        <f t="shared" si="84"/>
        <v>9118</v>
      </c>
    </row>
    <row r="202" spans="1:28" ht="15.75" customHeight="1">
      <c r="A202" s="11" t="s">
        <v>840</v>
      </c>
      <c r="B202" s="12" t="s">
        <v>841</v>
      </c>
      <c r="C202" s="13" t="s">
        <v>25</v>
      </c>
      <c r="D202" s="13" t="s">
        <v>837</v>
      </c>
      <c r="E202" s="14">
        <v>44630</v>
      </c>
      <c r="F202" s="15">
        <f t="shared" si="0"/>
        <v>2022</v>
      </c>
      <c r="G202" s="16">
        <f t="shared" si="1"/>
        <v>10</v>
      </c>
      <c r="H202" s="16">
        <f t="shared" si="2"/>
        <v>4</v>
      </c>
      <c r="I202" s="16" t="str">
        <f>VLOOKUP(H202,'Дни недели сортировка'!A:B,2,FALSE)</f>
        <v>04-четверг</v>
      </c>
      <c r="J202" s="17">
        <v>0.60624999999999996</v>
      </c>
      <c r="K202" s="12" t="s">
        <v>27</v>
      </c>
      <c r="L202" s="12" t="s">
        <v>842</v>
      </c>
      <c r="M202" s="12" t="s">
        <v>29</v>
      </c>
      <c r="N202" s="18">
        <v>773590</v>
      </c>
      <c r="O202" s="18">
        <f t="shared" si="96"/>
        <v>758118.2</v>
      </c>
      <c r="P202" s="18">
        <f>O202*17.43%</f>
        <v>132140.00226000001</v>
      </c>
      <c r="Q202" s="18">
        <f>P202*12%</f>
        <v>15856.8002712</v>
      </c>
      <c r="R202" s="18">
        <f t="shared" si="4"/>
        <v>15471.800000000047</v>
      </c>
      <c r="S202" s="18">
        <f t="shared" si="86"/>
        <v>6823.0638000000008</v>
      </c>
      <c r="T202" s="12" t="s">
        <v>843</v>
      </c>
      <c r="U202" s="18">
        <v>10941.192187127999</v>
      </c>
      <c r="V202" s="19">
        <v>2841.4276109971415</v>
      </c>
      <c r="W202" s="19">
        <v>2375.4334827936104</v>
      </c>
      <c r="X202" s="19">
        <v>1734.0664424393356</v>
      </c>
      <c r="Y202" s="40">
        <f t="shared" si="81"/>
        <v>10941</v>
      </c>
      <c r="Z202" s="40">
        <f t="shared" si="82"/>
        <v>2841</v>
      </c>
      <c r="AA202" s="40">
        <f t="shared" si="83"/>
        <v>2375</v>
      </c>
      <c r="AB202" s="40">
        <f t="shared" si="84"/>
        <v>1734</v>
      </c>
    </row>
    <row r="203" spans="1:28" ht="15.75" customHeight="1">
      <c r="A203" s="11" t="s">
        <v>844</v>
      </c>
      <c r="B203" s="12" t="s">
        <v>845</v>
      </c>
      <c r="C203" s="13" t="s">
        <v>25</v>
      </c>
      <c r="D203" s="13" t="s">
        <v>837</v>
      </c>
      <c r="E203" s="14">
        <v>44635</v>
      </c>
      <c r="F203" s="15">
        <f t="shared" si="0"/>
        <v>2022</v>
      </c>
      <c r="G203" s="16">
        <f t="shared" si="1"/>
        <v>11</v>
      </c>
      <c r="H203" s="16">
        <f t="shared" si="2"/>
        <v>2</v>
      </c>
      <c r="I203" s="16" t="str">
        <f>VLOOKUP(H203,'Дни недели сортировка'!A:B,2,FALSE)</f>
        <v>02-вторник</v>
      </c>
      <c r="J203" s="17">
        <v>0.5708333333333333</v>
      </c>
      <c r="K203" s="12" t="s">
        <v>27</v>
      </c>
      <c r="L203" s="12" t="s">
        <v>846</v>
      </c>
      <c r="M203" s="12" t="s">
        <v>35</v>
      </c>
      <c r="N203" s="18">
        <v>1003090</v>
      </c>
      <c r="O203" s="18">
        <f>N203-1.5%*N203</f>
        <v>988043.65</v>
      </c>
      <c r="P203" s="18">
        <f>O203*11.05%</f>
        <v>109178.823325</v>
      </c>
      <c r="Q203" s="18">
        <f>P203*9%</f>
        <v>9826.09409925</v>
      </c>
      <c r="R203" s="18">
        <f t="shared" si="4"/>
        <v>15046.349999999977</v>
      </c>
      <c r="S203" s="18">
        <f t="shared" si="86"/>
        <v>8892.392850000002</v>
      </c>
      <c r="T203" s="12" t="s">
        <v>847</v>
      </c>
      <c r="U203" s="18">
        <v>9531.3112762724995</v>
      </c>
      <c r="V203" s="19">
        <v>3975.5099333332596</v>
      </c>
      <c r="W203" s="19">
        <v>3228.1140658666072</v>
      </c>
      <c r="X203" s="19">
        <v>2550.2101120346197</v>
      </c>
      <c r="Y203" s="40">
        <f t="shared" si="81"/>
        <v>9531</v>
      </c>
      <c r="Z203" s="40">
        <f t="shared" si="82"/>
        <v>3975</v>
      </c>
      <c r="AA203" s="40">
        <f t="shared" si="83"/>
        <v>3228</v>
      </c>
      <c r="AB203" s="40">
        <f t="shared" si="84"/>
        <v>2550</v>
      </c>
    </row>
    <row r="204" spans="1:28" ht="15.75" customHeight="1">
      <c r="A204" s="11" t="s">
        <v>848</v>
      </c>
      <c r="B204" s="12" t="s">
        <v>849</v>
      </c>
      <c r="C204" s="13" t="s">
        <v>25</v>
      </c>
      <c r="D204" s="13" t="s">
        <v>837</v>
      </c>
      <c r="E204" s="14">
        <v>44638</v>
      </c>
      <c r="F204" s="15">
        <f t="shared" si="0"/>
        <v>2022</v>
      </c>
      <c r="G204" s="16">
        <f t="shared" si="1"/>
        <v>12</v>
      </c>
      <c r="H204" s="16">
        <f t="shared" si="2"/>
        <v>5</v>
      </c>
      <c r="I204" s="16" t="str">
        <f>VLOOKUP(H204,'Дни недели сортировка'!A:B,2,FALSE)</f>
        <v>05-пятница</v>
      </c>
      <c r="J204" s="17">
        <v>0.6020833333333333</v>
      </c>
      <c r="K204" s="12" t="s">
        <v>27</v>
      </c>
      <c r="L204" s="12" t="s">
        <v>850</v>
      </c>
      <c r="M204" s="12" t="s">
        <v>41</v>
      </c>
      <c r="N204" s="18">
        <v>2410055</v>
      </c>
      <c r="O204" s="18">
        <f t="shared" ref="O204:O205" si="97">N204-2%*N204</f>
        <v>2361853.9</v>
      </c>
      <c r="P204" s="18">
        <f>O204*9.2%</f>
        <v>217290.5588</v>
      </c>
      <c r="Q204" s="18">
        <f>P204*8.4%</f>
        <v>18252.406939200002</v>
      </c>
      <c r="R204" s="18">
        <f t="shared" si="4"/>
        <v>48201.100000000093</v>
      </c>
      <c r="S204" s="18">
        <f t="shared" si="86"/>
        <v>21256.685100000002</v>
      </c>
      <c r="T204" s="12" t="s">
        <v>851</v>
      </c>
      <c r="U204" s="18">
        <v>15514.545898320001</v>
      </c>
      <c r="V204" s="19">
        <v>9400.2633597920885</v>
      </c>
      <c r="W204" s="19">
        <v>9212.2580925962466</v>
      </c>
      <c r="X204" s="19">
        <v>7646.1742168548844</v>
      </c>
      <c r="Y204" s="40">
        <f t="shared" si="81"/>
        <v>15514</v>
      </c>
      <c r="Z204" s="40">
        <f t="shared" si="82"/>
        <v>9400</v>
      </c>
      <c r="AA204" s="40">
        <f t="shared" si="83"/>
        <v>9212</v>
      </c>
      <c r="AB204" s="40">
        <f t="shared" si="84"/>
        <v>7646</v>
      </c>
    </row>
    <row r="205" spans="1:28" ht="15.75" customHeight="1">
      <c r="A205" s="11" t="s">
        <v>852</v>
      </c>
      <c r="B205" s="12" t="s">
        <v>853</v>
      </c>
      <c r="C205" s="13" t="s">
        <v>25</v>
      </c>
      <c r="D205" s="13" t="s">
        <v>837</v>
      </c>
      <c r="E205" s="14">
        <v>44638</v>
      </c>
      <c r="F205" s="15">
        <f t="shared" si="0"/>
        <v>2022</v>
      </c>
      <c r="G205" s="16">
        <f t="shared" si="1"/>
        <v>12</v>
      </c>
      <c r="H205" s="16">
        <f t="shared" si="2"/>
        <v>5</v>
      </c>
      <c r="I205" s="16" t="str">
        <f>VLOOKUP(H205,'Дни недели сортировка'!A:B,2,FALSE)</f>
        <v>05-пятница</v>
      </c>
      <c r="J205" s="17">
        <v>0.6020833333333333</v>
      </c>
      <c r="K205" s="12" t="s">
        <v>27</v>
      </c>
      <c r="L205" s="12" t="s">
        <v>854</v>
      </c>
      <c r="M205" s="12" t="s">
        <v>29</v>
      </c>
      <c r="N205" s="18">
        <v>2377276</v>
      </c>
      <c r="O205" s="18">
        <f t="shared" si="97"/>
        <v>2329730.48</v>
      </c>
      <c r="P205" s="18">
        <f>O205*17.43%</f>
        <v>406072.02266400005</v>
      </c>
      <c r="Q205" s="18">
        <f>P205*3.9%</f>
        <v>15836.808883896001</v>
      </c>
      <c r="R205" s="18">
        <f t="shared" si="4"/>
        <v>47545.520000000019</v>
      </c>
      <c r="S205" s="18">
        <f t="shared" si="86"/>
        <v>20967.574320000003</v>
      </c>
      <c r="T205" s="12" t="s">
        <v>855</v>
      </c>
      <c r="U205" s="18">
        <v>14569.864173184322</v>
      </c>
      <c r="V205" s="19">
        <v>5637.0804486050147</v>
      </c>
      <c r="W205" s="19">
        <v>4904.2599902863631</v>
      </c>
      <c r="X205" s="19">
        <v>4021.4931920348176</v>
      </c>
      <c r="Y205" s="40">
        <f t="shared" si="81"/>
        <v>14569</v>
      </c>
      <c r="Z205" s="40">
        <f t="shared" si="82"/>
        <v>5637</v>
      </c>
      <c r="AA205" s="40">
        <f t="shared" si="83"/>
        <v>4904</v>
      </c>
      <c r="AB205" s="40">
        <f t="shared" si="84"/>
        <v>4021</v>
      </c>
    </row>
    <row r="206" spans="1:28" ht="15.75" customHeight="1">
      <c r="A206" s="11" t="s">
        <v>856</v>
      </c>
      <c r="B206" s="12" t="s">
        <v>857</v>
      </c>
      <c r="C206" s="13" t="s">
        <v>25</v>
      </c>
      <c r="D206" s="13" t="s">
        <v>837</v>
      </c>
      <c r="E206" s="14">
        <v>44638</v>
      </c>
      <c r="F206" s="15">
        <f t="shared" si="0"/>
        <v>2022</v>
      </c>
      <c r="G206" s="16">
        <f t="shared" si="1"/>
        <v>12</v>
      </c>
      <c r="H206" s="16">
        <f t="shared" si="2"/>
        <v>5</v>
      </c>
      <c r="I206" s="16" t="str">
        <f>VLOOKUP(H206,'Дни недели сортировка'!A:B,2,FALSE)</f>
        <v>05-пятница</v>
      </c>
      <c r="J206" s="17">
        <v>0.6020833333333333</v>
      </c>
      <c r="K206" s="12" t="s">
        <v>27</v>
      </c>
      <c r="L206" s="12" t="s">
        <v>858</v>
      </c>
      <c r="M206" s="12" t="s">
        <v>35</v>
      </c>
      <c r="N206" s="18">
        <v>2109213</v>
      </c>
      <c r="O206" s="18">
        <f>N206-1.5%*N206</f>
        <v>2077574.8049999999</v>
      </c>
      <c r="P206" s="18">
        <f>O206*11.05%</f>
        <v>229572.01595249999</v>
      </c>
      <c r="Q206" s="18">
        <f>P206*7.2%</f>
        <v>16529.18514858</v>
      </c>
      <c r="R206" s="18">
        <f t="shared" si="4"/>
        <v>31638.195000000065</v>
      </c>
      <c r="S206" s="18">
        <f t="shared" si="86"/>
        <v>18698.173245000002</v>
      </c>
      <c r="T206" s="12" t="s">
        <v>859</v>
      </c>
      <c r="U206" s="18">
        <v>15372.142188179401</v>
      </c>
      <c r="V206" s="19">
        <v>5312.6123402348012</v>
      </c>
      <c r="W206" s="19">
        <v>4515.7204891995807</v>
      </c>
      <c r="X206" s="19">
        <v>3567.4191864676691</v>
      </c>
      <c r="Y206" s="40">
        <f t="shared" si="81"/>
        <v>15372</v>
      </c>
      <c r="Z206" s="40">
        <f t="shared" si="82"/>
        <v>5312</v>
      </c>
      <c r="AA206" s="40">
        <f t="shared" si="83"/>
        <v>4515</v>
      </c>
      <c r="AB206" s="40">
        <f t="shared" si="84"/>
        <v>3567</v>
      </c>
    </row>
    <row r="207" spans="1:28" ht="15.75" customHeight="1">
      <c r="A207" s="11" t="s">
        <v>860</v>
      </c>
      <c r="B207" s="12" t="s">
        <v>861</v>
      </c>
      <c r="C207" s="13" t="s">
        <v>25</v>
      </c>
      <c r="D207" s="13" t="s">
        <v>837</v>
      </c>
      <c r="E207" s="14">
        <v>44638</v>
      </c>
      <c r="F207" s="15">
        <f t="shared" si="0"/>
        <v>2022</v>
      </c>
      <c r="G207" s="16">
        <f t="shared" si="1"/>
        <v>12</v>
      </c>
      <c r="H207" s="16">
        <f t="shared" si="2"/>
        <v>5</v>
      </c>
      <c r="I207" s="16" t="str">
        <f>VLOOKUP(H207,'Дни недели сортировка'!A:B,2,FALSE)</f>
        <v>05-пятница</v>
      </c>
      <c r="J207" s="17">
        <v>0.6020833333333333</v>
      </c>
      <c r="K207" s="12" t="s">
        <v>27</v>
      </c>
      <c r="L207" s="12" t="s">
        <v>862</v>
      </c>
      <c r="M207" s="12" t="s">
        <v>41</v>
      </c>
      <c r="N207" s="18">
        <v>978161</v>
      </c>
      <c r="O207" s="18">
        <f t="shared" ref="O207:O208" si="98">N207-2%*N207</f>
        <v>958597.78</v>
      </c>
      <c r="P207" s="18">
        <f>O207*9.2%</f>
        <v>88190.995760000005</v>
      </c>
      <c r="Q207" s="18">
        <f>P207*12%</f>
        <v>10582.9194912</v>
      </c>
      <c r="R207" s="18">
        <f t="shared" si="4"/>
        <v>19563.219999999972</v>
      </c>
      <c r="S207" s="18">
        <f t="shared" si="86"/>
        <v>8627.3800200000005</v>
      </c>
      <c r="T207" s="12" t="s">
        <v>863</v>
      </c>
      <c r="U207" s="18">
        <v>9630.4567369920005</v>
      </c>
      <c r="V207" s="19">
        <v>2324.7922563098691</v>
      </c>
      <c r="W207" s="19">
        <v>1976.0734178633886</v>
      </c>
      <c r="X207" s="19">
        <v>1482.0550633975415</v>
      </c>
      <c r="Y207" s="40">
        <f t="shared" si="81"/>
        <v>9630</v>
      </c>
      <c r="Z207" s="40">
        <f t="shared" si="82"/>
        <v>2324</v>
      </c>
      <c r="AA207" s="40">
        <f t="shared" si="83"/>
        <v>1976</v>
      </c>
      <c r="AB207" s="40">
        <f t="shared" si="84"/>
        <v>1482</v>
      </c>
    </row>
    <row r="208" spans="1:28" ht="15.75" customHeight="1">
      <c r="A208" s="11" t="s">
        <v>864</v>
      </c>
      <c r="B208" s="12" t="s">
        <v>865</v>
      </c>
      <c r="C208" s="13" t="s">
        <v>25</v>
      </c>
      <c r="D208" s="13" t="s">
        <v>837</v>
      </c>
      <c r="E208" s="14">
        <v>44638</v>
      </c>
      <c r="F208" s="15">
        <f t="shared" si="0"/>
        <v>2022</v>
      </c>
      <c r="G208" s="16">
        <f t="shared" si="1"/>
        <v>12</v>
      </c>
      <c r="H208" s="16">
        <f t="shared" si="2"/>
        <v>5</v>
      </c>
      <c r="I208" s="16" t="str">
        <f>VLOOKUP(H208,'Дни недели сортировка'!A:B,2,FALSE)</f>
        <v>05-пятница</v>
      </c>
      <c r="J208" s="17">
        <v>0.6020833333333333</v>
      </c>
      <c r="K208" s="12" t="s">
        <v>27</v>
      </c>
      <c r="L208" s="12" t="s">
        <v>866</v>
      </c>
      <c r="M208" s="12" t="s">
        <v>29</v>
      </c>
      <c r="N208" s="18">
        <v>857219</v>
      </c>
      <c r="O208" s="18">
        <f t="shared" si="98"/>
        <v>840074.62</v>
      </c>
      <c r="P208" s="18">
        <f>O208*11.05%</f>
        <v>92828.245509999993</v>
      </c>
      <c r="Q208" s="18">
        <f>P208*9%</f>
        <v>8354.5420958999985</v>
      </c>
      <c r="R208" s="18">
        <f t="shared" si="4"/>
        <v>17144.380000000005</v>
      </c>
      <c r="S208" s="18">
        <f t="shared" si="86"/>
        <v>7560.6715800000011</v>
      </c>
      <c r="T208" s="12" t="s">
        <v>867</v>
      </c>
      <c r="U208" s="18">
        <v>7268.4516234329985</v>
      </c>
      <c r="V208" s="19">
        <v>4138.6563543827497</v>
      </c>
      <c r="W208" s="19">
        <v>3459.9167122639788</v>
      </c>
      <c r="X208" s="19">
        <v>2525.7391999527044</v>
      </c>
      <c r="Y208" s="40">
        <f t="shared" si="81"/>
        <v>7268</v>
      </c>
      <c r="Z208" s="40">
        <f t="shared" si="82"/>
        <v>4138</v>
      </c>
      <c r="AA208" s="40">
        <f t="shared" si="83"/>
        <v>3459</v>
      </c>
      <c r="AB208" s="40">
        <f t="shared" si="84"/>
        <v>2525</v>
      </c>
    </row>
    <row r="209" spans="1:28" ht="15.75" customHeight="1">
      <c r="A209" s="11" t="s">
        <v>868</v>
      </c>
      <c r="B209" s="12" t="s">
        <v>869</v>
      </c>
      <c r="C209" s="13" t="s">
        <v>25</v>
      </c>
      <c r="D209" s="13" t="s">
        <v>33</v>
      </c>
      <c r="E209" s="14">
        <v>44505</v>
      </c>
      <c r="F209" s="15">
        <f t="shared" si="0"/>
        <v>2021</v>
      </c>
      <c r="G209" s="16">
        <f t="shared" si="1"/>
        <v>45</v>
      </c>
      <c r="H209" s="16">
        <f t="shared" si="2"/>
        <v>5</v>
      </c>
      <c r="I209" s="16" t="str">
        <f>VLOOKUP(H209,'Дни недели сортировка'!A:B,2,FALSE)</f>
        <v>05-пятница</v>
      </c>
      <c r="J209" s="17">
        <v>0.50138888888888888</v>
      </c>
      <c r="K209" s="12" t="s">
        <v>27</v>
      </c>
      <c r="L209" s="12" t="s">
        <v>870</v>
      </c>
      <c r="M209" s="12" t="s">
        <v>35</v>
      </c>
      <c r="N209" s="18">
        <v>635111</v>
      </c>
      <c r="O209" s="18">
        <f>N209-1.5%*N209</f>
        <v>625584.33499999996</v>
      </c>
      <c r="P209" s="18">
        <f>O209*18%</f>
        <v>112605.18029999999</v>
      </c>
      <c r="Q209" s="18">
        <f>P209*8.4%</f>
        <v>9458.8351452000006</v>
      </c>
      <c r="R209" s="18">
        <f t="shared" si="4"/>
        <v>9526.6650000000373</v>
      </c>
      <c r="S209" s="18">
        <f t="shared" si="86"/>
        <v>5630.2590150000005</v>
      </c>
      <c r="T209" s="12" t="s">
        <v>871</v>
      </c>
      <c r="U209" s="18">
        <v>6526.5962501880003</v>
      </c>
      <c r="V209" s="19">
        <v>1694.9570461738238</v>
      </c>
      <c r="W209" s="19">
        <v>1376.305121493145</v>
      </c>
      <c r="X209" s="19">
        <v>1087.2810459795846</v>
      </c>
      <c r="Y209" s="40">
        <f t="shared" si="81"/>
        <v>6526</v>
      </c>
      <c r="Z209" s="40">
        <f t="shared" si="82"/>
        <v>1694</v>
      </c>
      <c r="AA209" s="40">
        <f t="shared" si="83"/>
        <v>1376</v>
      </c>
      <c r="AB209" s="40">
        <f t="shared" si="84"/>
        <v>1087</v>
      </c>
    </row>
    <row r="210" spans="1:28" ht="15.75" customHeight="1">
      <c r="A210" s="11" t="s">
        <v>872</v>
      </c>
      <c r="B210" s="12" t="s">
        <v>873</v>
      </c>
      <c r="C210" s="13" t="s">
        <v>25</v>
      </c>
      <c r="D210" s="13" t="s">
        <v>837</v>
      </c>
      <c r="E210" s="14">
        <v>44638</v>
      </c>
      <c r="F210" s="15">
        <f t="shared" si="0"/>
        <v>2022</v>
      </c>
      <c r="G210" s="16">
        <f t="shared" si="1"/>
        <v>12</v>
      </c>
      <c r="H210" s="16">
        <f t="shared" si="2"/>
        <v>5</v>
      </c>
      <c r="I210" s="16" t="str">
        <f>VLOOKUP(H210,'Дни недели сортировка'!A:B,2,FALSE)</f>
        <v>05-пятница</v>
      </c>
      <c r="J210" s="17">
        <v>0.6020833333333333</v>
      </c>
      <c r="K210" s="12" t="s">
        <v>27</v>
      </c>
      <c r="L210" s="12" t="s">
        <v>874</v>
      </c>
      <c r="M210" s="12" t="s">
        <v>41</v>
      </c>
      <c r="N210" s="18">
        <v>585396</v>
      </c>
      <c r="O210" s="18">
        <f t="shared" ref="O210:O211" si="99">N210-2%*N210</f>
        <v>573688.07999999996</v>
      </c>
      <c r="P210" s="18">
        <f>O210*11.05%</f>
        <v>63392.532839999993</v>
      </c>
      <c r="Q210" s="18">
        <f>P210*3.9%</f>
        <v>2472.3087807599995</v>
      </c>
      <c r="R210" s="18">
        <f t="shared" si="4"/>
        <v>11707.920000000042</v>
      </c>
      <c r="S210" s="18">
        <f t="shared" si="86"/>
        <v>5163.19272</v>
      </c>
      <c r="T210" s="12" t="s">
        <v>875</v>
      </c>
      <c r="U210" s="18">
        <v>2398.1395173371993</v>
      </c>
      <c r="V210" s="19">
        <v>1000.2639926813458</v>
      </c>
      <c r="W210" s="19">
        <v>980.25871282771891</v>
      </c>
      <c r="X210" s="19">
        <v>813.61473164700669</v>
      </c>
      <c r="Y210" s="40">
        <f t="shared" si="81"/>
        <v>2398</v>
      </c>
      <c r="Z210" s="40">
        <f t="shared" si="82"/>
        <v>1000</v>
      </c>
      <c r="AA210" s="40">
        <f t="shared" si="83"/>
        <v>980</v>
      </c>
      <c r="AB210" s="40">
        <f t="shared" si="84"/>
        <v>813</v>
      </c>
    </row>
    <row r="211" spans="1:28" ht="15.75" customHeight="1">
      <c r="A211" s="11" t="s">
        <v>876</v>
      </c>
      <c r="B211" s="12" t="s">
        <v>877</v>
      </c>
      <c r="C211" s="13" t="s">
        <v>25</v>
      </c>
      <c r="D211" s="13" t="s">
        <v>837</v>
      </c>
      <c r="E211" s="14">
        <v>44638</v>
      </c>
      <c r="F211" s="15">
        <f t="shared" si="0"/>
        <v>2022</v>
      </c>
      <c r="G211" s="16">
        <f t="shared" si="1"/>
        <v>12</v>
      </c>
      <c r="H211" s="16">
        <f t="shared" si="2"/>
        <v>5</v>
      </c>
      <c r="I211" s="16" t="str">
        <f>VLOOKUP(H211,'Дни недели сортировка'!A:B,2,FALSE)</f>
        <v>05-пятница</v>
      </c>
      <c r="J211" s="17">
        <v>0.6020833333333333</v>
      </c>
      <c r="K211" s="12" t="s">
        <v>27</v>
      </c>
      <c r="L211" s="12" t="s">
        <v>878</v>
      </c>
      <c r="M211" s="12" t="s">
        <v>29</v>
      </c>
      <c r="N211" s="18">
        <v>1867794</v>
      </c>
      <c r="O211" s="18">
        <f t="shared" si="99"/>
        <v>1830438.12</v>
      </c>
      <c r="P211" s="18">
        <f>O211*18%</f>
        <v>329478.8616</v>
      </c>
      <c r="Q211" s="18">
        <f>P211*7.2%</f>
        <v>23722.478035200002</v>
      </c>
      <c r="R211" s="18">
        <f t="shared" si="4"/>
        <v>37355.879999999888</v>
      </c>
      <c r="S211" s="18">
        <f t="shared" si="86"/>
        <v>16473.943080000005</v>
      </c>
      <c r="T211" s="12" t="s">
        <v>879</v>
      </c>
      <c r="U211" s="18">
        <v>20164.10632992</v>
      </c>
      <c r="V211" s="19">
        <v>12217.432025298525</v>
      </c>
      <c r="W211" s="19">
        <v>10629.165862009717</v>
      </c>
      <c r="X211" s="19">
        <v>8715.9160068479669</v>
      </c>
      <c r="Y211" s="40">
        <f t="shared" si="81"/>
        <v>20164</v>
      </c>
      <c r="Z211" s="40">
        <f t="shared" si="82"/>
        <v>12217</v>
      </c>
      <c r="AA211" s="40">
        <f t="shared" si="83"/>
        <v>10629</v>
      </c>
      <c r="AB211" s="40">
        <f t="shared" si="84"/>
        <v>8715</v>
      </c>
    </row>
    <row r="212" spans="1:28" ht="15.75" customHeight="1">
      <c r="A212" s="11" t="s">
        <v>880</v>
      </c>
      <c r="B212" s="12" t="s">
        <v>881</v>
      </c>
      <c r="C212" s="13" t="s">
        <v>25</v>
      </c>
      <c r="D212" s="13" t="s">
        <v>837</v>
      </c>
      <c r="E212" s="14">
        <v>44644</v>
      </c>
      <c r="F212" s="15">
        <f t="shared" si="0"/>
        <v>2022</v>
      </c>
      <c r="G212" s="16">
        <f t="shared" si="1"/>
        <v>12</v>
      </c>
      <c r="H212" s="16">
        <f t="shared" si="2"/>
        <v>4</v>
      </c>
      <c r="I212" s="16" t="str">
        <f>VLOOKUP(H212,'Дни недели сортировка'!A:B,2,FALSE)</f>
        <v>04-четверг</v>
      </c>
      <c r="J212" s="17">
        <v>0.66597222222222219</v>
      </c>
      <c r="K212" s="12" t="s">
        <v>27</v>
      </c>
      <c r="L212" s="12" t="s">
        <v>882</v>
      </c>
      <c r="M212" s="12" t="s">
        <v>35</v>
      </c>
      <c r="N212" s="18">
        <v>1509215</v>
      </c>
      <c r="O212" s="18">
        <f>N212-1.5%*N212</f>
        <v>1486576.7749999999</v>
      </c>
      <c r="P212" s="18">
        <f>O212*17.43%</f>
        <v>259110.3318825</v>
      </c>
      <c r="Q212" s="18">
        <f>P212*12%</f>
        <v>31093.2398259</v>
      </c>
      <c r="R212" s="18">
        <f t="shared" si="4"/>
        <v>22638.225000000093</v>
      </c>
      <c r="S212" s="18">
        <f t="shared" si="86"/>
        <v>13379.190975000001</v>
      </c>
      <c r="T212" s="12" t="s">
        <v>883</v>
      </c>
      <c r="U212" s="18">
        <v>28605.780639828001</v>
      </c>
      <c r="V212" s="19">
        <v>11067.576529549453</v>
      </c>
      <c r="W212" s="19">
        <v>9407.4400501170348</v>
      </c>
      <c r="X212" s="19">
        <v>7431.8776395924579</v>
      </c>
      <c r="Y212" s="40">
        <f t="shared" si="81"/>
        <v>28605</v>
      </c>
      <c r="Z212" s="40">
        <f t="shared" si="82"/>
        <v>11067</v>
      </c>
      <c r="AA212" s="40">
        <f t="shared" si="83"/>
        <v>9407</v>
      </c>
      <c r="AB212" s="40">
        <f t="shared" si="84"/>
        <v>7431</v>
      </c>
    </row>
    <row r="213" spans="1:28" ht="15.75" customHeight="1">
      <c r="A213" s="11" t="s">
        <v>884</v>
      </c>
      <c r="B213" s="12" t="s">
        <v>885</v>
      </c>
      <c r="C213" s="13" t="s">
        <v>25</v>
      </c>
      <c r="D213" s="13" t="s">
        <v>837</v>
      </c>
      <c r="E213" s="14">
        <v>44644</v>
      </c>
      <c r="F213" s="15">
        <f t="shared" si="0"/>
        <v>2022</v>
      </c>
      <c r="G213" s="16">
        <f t="shared" si="1"/>
        <v>12</v>
      </c>
      <c r="H213" s="16">
        <f t="shared" si="2"/>
        <v>4</v>
      </c>
      <c r="I213" s="16" t="str">
        <f>VLOOKUP(H213,'Дни недели сортировка'!A:B,2,FALSE)</f>
        <v>04-четверг</v>
      </c>
      <c r="J213" s="17">
        <v>0.66874999999999996</v>
      </c>
      <c r="K213" s="12" t="s">
        <v>27</v>
      </c>
      <c r="L213" s="12" t="s">
        <v>886</v>
      </c>
      <c r="M213" s="12" t="s">
        <v>41</v>
      </c>
      <c r="N213" s="18">
        <v>911950</v>
      </c>
      <c r="O213" s="18">
        <f t="shared" ref="O213:O214" si="100">N213-2%*N213</f>
        <v>893711</v>
      </c>
      <c r="P213" s="18">
        <f>O213*11.05%</f>
        <v>98755.065499999997</v>
      </c>
      <c r="Q213" s="18">
        <f>P213*9%</f>
        <v>8887.9558949999991</v>
      </c>
      <c r="R213" s="18">
        <f t="shared" si="4"/>
        <v>18239</v>
      </c>
      <c r="S213" s="18">
        <f t="shared" si="86"/>
        <v>8043.3990000000013</v>
      </c>
      <c r="T213" s="12" t="s">
        <v>887</v>
      </c>
      <c r="U213" s="18">
        <v>8265.7989823499993</v>
      </c>
      <c r="V213" s="19">
        <v>2856.6601283001596</v>
      </c>
      <c r="W213" s="19">
        <v>2388.1678672589333</v>
      </c>
      <c r="X213" s="19">
        <v>1791.1259004441999</v>
      </c>
      <c r="Y213" s="40">
        <f t="shared" si="81"/>
        <v>8265</v>
      </c>
      <c r="Z213" s="40">
        <f t="shared" si="82"/>
        <v>2856</v>
      </c>
      <c r="AA213" s="40">
        <f t="shared" si="83"/>
        <v>2388</v>
      </c>
      <c r="AB213" s="40">
        <f t="shared" si="84"/>
        <v>1791</v>
      </c>
    </row>
    <row r="214" spans="1:28" ht="15.75" customHeight="1">
      <c r="A214" s="11" t="s">
        <v>888</v>
      </c>
      <c r="B214" s="12" t="s">
        <v>889</v>
      </c>
      <c r="C214" s="13" t="s">
        <v>25</v>
      </c>
      <c r="D214" s="13" t="s">
        <v>837</v>
      </c>
      <c r="E214" s="14">
        <v>44644</v>
      </c>
      <c r="F214" s="15">
        <f t="shared" si="0"/>
        <v>2022</v>
      </c>
      <c r="G214" s="16">
        <f t="shared" si="1"/>
        <v>12</v>
      </c>
      <c r="H214" s="16">
        <f t="shared" si="2"/>
        <v>4</v>
      </c>
      <c r="I214" s="16" t="str">
        <f>VLOOKUP(H214,'Дни недели сортировка'!A:B,2,FALSE)</f>
        <v>04-четверг</v>
      </c>
      <c r="J214" s="17">
        <v>0.66805555555555551</v>
      </c>
      <c r="K214" s="12" t="s">
        <v>27</v>
      </c>
      <c r="L214" s="12" t="s">
        <v>890</v>
      </c>
      <c r="M214" s="12" t="s">
        <v>29</v>
      </c>
      <c r="N214" s="18">
        <v>1803085</v>
      </c>
      <c r="O214" s="18">
        <f t="shared" si="100"/>
        <v>1767023.3</v>
      </c>
      <c r="P214" s="18">
        <f>O214*9.2%</f>
        <v>162566.14360000001</v>
      </c>
      <c r="Q214" s="18">
        <f>P214*8.4%</f>
        <v>13655.556062400001</v>
      </c>
      <c r="R214" s="18">
        <f t="shared" si="4"/>
        <v>36061.699999999953</v>
      </c>
      <c r="S214" s="18">
        <f t="shared" si="86"/>
        <v>15903.209700000003</v>
      </c>
      <c r="T214" s="12" t="s">
        <v>891</v>
      </c>
      <c r="U214" s="18">
        <v>12426.556016784001</v>
      </c>
      <c r="V214" s="19">
        <v>2999.7706224516578</v>
      </c>
      <c r="W214" s="19">
        <v>2435.8137454307462</v>
      </c>
      <c r="X214" s="19">
        <v>1778.1440341644447</v>
      </c>
      <c r="Y214" s="40">
        <f t="shared" si="81"/>
        <v>12426</v>
      </c>
      <c r="Z214" s="40">
        <f t="shared" si="82"/>
        <v>2999</v>
      </c>
      <c r="AA214" s="40">
        <f t="shared" si="83"/>
        <v>2435</v>
      </c>
      <c r="AB214" s="40">
        <f t="shared" si="84"/>
        <v>1778</v>
      </c>
    </row>
    <row r="215" spans="1:28" ht="15.75" customHeight="1">
      <c r="A215" s="11" t="s">
        <v>892</v>
      </c>
      <c r="B215" s="12" t="s">
        <v>893</v>
      </c>
      <c r="C215" s="13" t="s">
        <v>25</v>
      </c>
      <c r="D215" s="25" t="s">
        <v>837</v>
      </c>
      <c r="E215" s="32">
        <v>44644</v>
      </c>
      <c r="F215" s="21">
        <f t="shared" si="0"/>
        <v>2022</v>
      </c>
      <c r="G215" s="22">
        <f t="shared" si="1"/>
        <v>12</v>
      </c>
      <c r="H215" s="22">
        <f t="shared" si="2"/>
        <v>4</v>
      </c>
      <c r="I215" s="23" t="str">
        <f>VLOOKUP(H215,'Дни недели сортировка'!A:B,2,FALSE)</f>
        <v>04-четверг</v>
      </c>
      <c r="J215" s="24">
        <v>0.66736111111111107</v>
      </c>
      <c r="K215" s="12" t="s">
        <v>27</v>
      </c>
      <c r="L215" s="12" t="s">
        <v>894</v>
      </c>
      <c r="M215" s="12" t="s">
        <v>35</v>
      </c>
      <c r="N215" s="18">
        <v>2458586</v>
      </c>
      <c r="O215" s="18">
        <f>N215-1.5%*N215</f>
        <v>2421707.21</v>
      </c>
      <c r="P215" s="18">
        <f>O215*17.43%</f>
        <v>422103.56670300005</v>
      </c>
      <c r="Q215" s="18">
        <f>P215*3.9%</f>
        <v>16462.039101417002</v>
      </c>
      <c r="R215" s="18">
        <f t="shared" si="4"/>
        <v>36878.790000000037</v>
      </c>
      <c r="S215" s="18">
        <f t="shared" si="86"/>
        <v>21795.364890000001</v>
      </c>
      <c r="T215" s="12" t="s">
        <v>895</v>
      </c>
      <c r="U215" s="18">
        <v>14321.974018232791</v>
      </c>
      <c r="V215" s="19">
        <v>8154.932005981751</v>
      </c>
      <c r="W215" s="19">
        <v>7991.8333658621159</v>
      </c>
      <c r="X215" s="19">
        <v>6313.5483590310714</v>
      </c>
      <c r="Y215" s="40">
        <f t="shared" si="81"/>
        <v>14321</v>
      </c>
      <c r="Z215" s="40">
        <f t="shared" si="82"/>
        <v>8154</v>
      </c>
      <c r="AA215" s="40">
        <f t="shared" si="83"/>
        <v>7991</v>
      </c>
      <c r="AB215" s="40">
        <f t="shared" si="84"/>
        <v>6313</v>
      </c>
    </row>
    <row r="216" spans="1:28" ht="15.75" customHeight="1">
      <c r="A216" s="11" t="s">
        <v>896</v>
      </c>
      <c r="B216" s="12" t="s">
        <v>897</v>
      </c>
      <c r="C216" s="13" t="s">
        <v>25</v>
      </c>
      <c r="D216" s="25" t="s">
        <v>837</v>
      </c>
      <c r="E216" s="32">
        <v>44644</v>
      </c>
      <c r="F216" s="21">
        <f t="shared" si="0"/>
        <v>2022</v>
      </c>
      <c r="G216" s="22">
        <f t="shared" si="1"/>
        <v>12</v>
      </c>
      <c r="H216" s="22">
        <f t="shared" si="2"/>
        <v>4</v>
      </c>
      <c r="I216" s="23" t="str">
        <f>VLOOKUP(H216,'Дни недели сортировка'!A:B,2,FALSE)</f>
        <v>04-четверг</v>
      </c>
      <c r="J216" s="24">
        <v>0.66736111111111107</v>
      </c>
      <c r="K216" s="12" t="s">
        <v>27</v>
      </c>
      <c r="L216" s="12" t="s">
        <v>898</v>
      </c>
      <c r="M216" s="12" t="s">
        <v>41</v>
      </c>
      <c r="N216" s="18">
        <v>1099253</v>
      </c>
      <c r="O216" s="18">
        <f t="shared" ref="O216:O217" si="101">N216-2%*N216</f>
        <v>1077267.94</v>
      </c>
      <c r="P216" s="18">
        <f>O216*11.05%</f>
        <v>119038.10737</v>
      </c>
      <c r="Q216" s="18">
        <f>P216*7.2%</f>
        <v>8570.7437306400006</v>
      </c>
      <c r="R216" s="18">
        <f t="shared" si="4"/>
        <v>21985.060000000056</v>
      </c>
      <c r="S216" s="18">
        <f t="shared" si="86"/>
        <v>9695.4114600000012</v>
      </c>
      <c r="T216" s="12" t="s">
        <v>899</v>
      </c>
      <c r="U216" s="18">
        <v>5913.8131741416</v>
      </c>
      <c r="V216" s="19">
        <v>1535.8172813245735</v>
      </c>
      <c r="W216" s="19">
        <v>1336.161034752379</v>
      </c>
      <c r="X216" s="19">
        <v>1109.0136588444745</v>
      </c>
      <c r="Y216" s="40">
        <f t="shared" si="81"/>
        <v>5913</v>
      </c>
      <c r="Z216" s="40">
        <f t="shared" si="82"/>
        <v>1535</v>
      </c>
      <c r="AA216" s="40">
        <f t="shared" si="83"/>
        <v>1336</v>
      </c>
      <c r="AB216" s="40">
        <f t="shared" si="84"/>
        <v>1109</v>
      </c>
    </row>
    <row r="217" spans="1:28" ht="15.75" customHeight="1">
      <c r="A217" s="11" t="s">
        <v>900</v>
      </c>
      <c r="B217" s="12" t="s">
        <v>901</v>
      </c>
      <c r="C217" s="13" t="s">
        <v>25</v>
      </c>
      <c r="D217" s="25" t="s">
        <v>837</v>
      </c>
      <c r="E217" s="32">
        <v>44644</v>
      </c>
      <c r="F217" s="21">
        <f t="shared" si="0"/>
        <v>2022</v>
      </c>
      <c r="G217" s="22">
        <f t="shared" si="1"/>
        <v>12</v>
      </c>
      <c r="H217" s="22">
        <f t="shared" si="2"/>
        <v>4</v>
      </c>
      <c r="I217" s="23" t="str">
        <f>VLOOKUP(H217,'Дни недели сортировка'!A:B,2,FALSE)</f>
        <v>04-четверг</v>
      </c>
      <c r="J217" s="24">
        <v>0.62777777777777777</v>
      </c>
      <c r="K217" s="12" t="s">
        <v>27</v>
      </c>
      <c r="L217" s="12" t="s">
        <v>902</v>
      </c>
      <c r="M217" s="12" t="s">
        <v>29</v>
      </c>
      <c r="N217" s="18">
        <v>2054044</v>
      </c>
      <c r="O217" s="18">
        <f t="shared" si="101"/>
        <v>2012963.12</v>
      </c>
      <c r="P217" s="18">
        <f>O217*9.2%</f>
        <v>185192.60704</v>
      </c>
      <c r="Q217" s="18">
        <f>P217*12%</f>
        <v>22223.112844799998</v>
      </c>
      <c r="R217" s="18">
        <f t="shared" si="4"/>
        <v>41080.879999999888</v>
      </c>
      <c r="S217" s="18">
        <f t="shared" si="86"/>
        <v>18116.668080000003</v>
      </c>
      <c r="T217" s="12" t="s">
        <v>903</v>
      </c>
      <c r="U217" s="18">
        <v>21556.419459455996</v>
      </c>
      <c r="V217" s="19">
        <v>8991.1825565390955</v>
      </c>
      <c r="W217" s="19">
        <v>7642.5051730582309</v>
      </c>
      <c r="X217" s="19">
        <v>6266.8542419077494</v>
      </c>
      <c r="Y217" s="40">
        <f t="shared" si="81"/>
        <v>21556</v>
      </c>
      <c r="Z217" s="40">
        <f t="shared" si="82"/>
        <v>8991</v>
      </c>
      <c r="AA217" s="40">
        <f t="shared" si="83"/>
        <v>7642</v>
      </c>
      <c r="AB217" s="40">
        <f t="shared" si="84"/>
        <v>6266</v>
      </c>
    </row>
    <row r="218" spans="1:28" ht="15.75" customHeight="1">
      <c r="A218" s="11" t="s">
        <v>904</v>
      </c>
      <c r="B218" s="12" t="s">
        <v>905</v>
      </c>
      <c r="C218" s="13" t="s">
        <v>25</v>
      </c>
      <c r="D218" s="25" t="s">
        <v>837</v>
      </c>
      <c r="E218" s="20">
        <v>44648</v>
      </c>
      <c r="F218" s="21">
        <f t="shared" si="0"/>
        <v>2022</v>
      </c>
      <c r="G218" s="22">
        <f t="shared" si="1"/>
        <v>13</v>
      </c>
      <c r="H218" s="22">
        <f t="shared" si="2"/>
        <v>1</v>
      </c>
      <c r="I218" s="23" t="str">
        <f>VLOOKUP(H218,'Дни недели сортировка'!A:B,2,FALSE)</f>
        <v>01-понедельник</v>
      </c>
      <c r="J218" s="24">
        <v>0.66736111111111107</v>
      </c>
      <c r="K218" s="12" t="s">
        <v>27</v>
      </c>
      <c r="L218" s="12" t="s">
        <v>906</v>
      </c>
      <c r="M218" s="12" t="s">
        <v>35</v>
      </c>
      <c r="N218" s="18">
        <v>1007370</v>
      </c>
      <c r="O218" s="18">
        <f>N218-1.5%*N218</f>
        <v>992259.45</v>
      </c>
      <c r="P218" s="18">
        <f>O218*11.05%</f>
        <v>109644.66922499999</v>
      </c>
      <c r="Q218" s="18">
        <f>P218*9%</f>
        <v>9868.0202302499983</v>
      </c>
      <c r="R218" s="18">
        <f t="shared" si="4"/>
        <v>15110.550000000047</v>
      </c>
      <c r="S218" s="18">
        <f t="shared" si="86"/>
        <v>8930.3350500000015</v>
      </c>
      <c r="T218" s="12" t="s">
        <v>907</v>
      </c>
      <c r="U218" s="18">
        <v>8387.8171957124978</v>
      </c>
      <c r="V218" s="19">
        <v>5082.1784388822016</v>
      </c>
      <c r="W218" s="19">
        <v>3811.6338291616512</v>
      </c>
      <c r="X218" s="19">
        <v>3011.1907250377044</v>
      </c>
      <c r="Y218" s="40">
        <f t="shared" si="81"/>
        <v>8387</v>
      </c>
      <c r="Z218" s="40">
        <f t="shared" si="82"/>
        <v>5082</v>
      </c>
      <c r="AA218" s="40">
        <f t="shared" si="83"/>
        <v>3811</v>
      </c>
      <c r="AB218" s="40">
        <f t="shared" si="84"/>
        <v>3011</v>
      </c>
    </row>
    <row r="219" spans="1:28" ht="15.75" customHeight="1">
      <c r="A219" s="11" t="s">
        <v>908</v>
      </c>
      <c r="B219" s="12" t="s">
        <v>909</v>
      </c>
      <c r="C219" s="13" t="s">
        <v>25</v>
      </c>
      <c r="D219" s="25" t="s">
        <v>837</v>
      </c>
      <c r="E219" s="20">
        <v>44648</v>
      </c>
      <c r="F219" s="21">
        <f t="shared" si="0"/>
        <v>2022</v>
      </c>
      <c r="G219" s="22">
        <f t="shared" si="1"/>
        <v>13</v>
      </c>
      <c r="H219" s="22">
        <f t="shared" si="2"/>
        <v>1</v>
      </c>
      <c r="I219" s="23" t="str">
        <f>VLOOKUP(H219,'Дни недели сортировка'!A:B,2,FALSE)</f>
        <v>01-понедельник</v>
      </c>
      <c r="J219" s="24">
        <v>0.66805555555555551</v>
      </c>
      <c r="K219" s="12" t="s">
        <v>27</v>
      </c>
      <c r="L219" s="12" t="s">
        <v>910</v>
      </c>
      <c r="M219" s="12" t="s">
        <v>41</v>
      </c>
      <c r="N219" s="18">
        <v>2475420</v>
      </c>
      <c r="O219" s="18">
        <f>N219-2%*N219</f>
        <v>2425911.6</v>
      </c>
      <c r="P219" s="18">
        <f>O219*18%</f>
        <v>436664.08799999999</v>
      </c>
      <c r="Q219" s="18">
        <f>P219*8.4%</f>
        <v>36679.783392000005</v>
      </c>
      <c r="R219" s="18">
        <f t="shared" si="4"/>
        <v>49508.399999999907</v>
      </c>
      <c r="S219" s="18">
        <f t="shared" si="86"/>
        <v>21833.204400000002</v>
      </c>
      <c r="T219" s="12" t="s">
        <v>911</v>
      </c>
      <c r="U219" s="18">
        <v>33745.400720640006</v>
      </c>
      <c r="V219" s="19">
        <v>13056.095538815618</v>
      </c>
      <c r="W219" s="19">
        <v>10314.315475664338</v>
      </c>
      <c r="X219" s="19">
        <v>7735.7366067482535</v>
      </c>
      <c r="Y219" s="40">
        <f t="shared" si="81"/>
        <v>33745</v>
      </c>
      <c r="Z219" s="40">
        <f t="shared" si="82"/>
        <v>13056</v>
      </c>
      <c r="AA219" s="40">
        <f t="shared" si="83"/>
        <v>10314</v>
      </c>
      <c r="AB219" s="40">
        <f t="shared" si="84"/>
        <v>7735</v>
      </c>
    </row>
  </sheetData>
  <customSheetViews>
    <customSheetView guid="{A3A23D5A-572C-461E-B7BD-FA388311E109}" filter="1" showAutoFilter="1">
      <pageMargins left="0.7" right="0.7" top="0.75" bottom="0.75" header="0.3" footer="0.3"/>
      <autoFilter ref="A1:S219" xr:uid="{00000000-0000-0000-0000-000000000000}"/>
    </customSheetView>
    <customSheetView guid="{092BCFB9-115D-41D4-B20A-1926C5166D96}" filter="1" showAutoFilter="1">
      <pageMargins left="0.7" right="0.7" top="0.75" bottom="0.75" header="0.3" footer="0.3"/>
      <autoFilter ref="A1:S219" xr:uid="{00000000-0000-0000-0000-000000000000}"/>
    </customSheetView>
    <customSheetView guid="{52EA6969-3D86-4CE5-A188-0480BDD546D2}" filter="1" showAutoFilter="1">
      <pageMargins left="0.7" right="0.7" top="0.75" bottom="0.75" header="0.3" footer="0.3"/>
      <autoFilter ref="A1:S219" xr:uid="{00000000-0000-0000-0000-000000000000}"/>
    </customSheetView>
    <customSheetView guid="{D088DE4B-4716-48C7-BBA3-27B0C00DC04A}" filter="1" showAutoFilter="1">
      <pageMargins left="0.7" right="0.7" top="0.75" bottom="0.75" header="0.3" footer="0.3"/>
      <autoFilter ref="A1:T219" xr:uid="{00000000-0000-0000-0000-000000000000}">
        <filterColumn colId="2">
          <filters>
            <filter val="Email"/>
          </filters>
        </filterColumn>
        <filterColumn colId="3">
          <filters>
            <filter val="Декабрь"/>
            <filter val="Июль"/>
            <filter val="Июнь"/>
            <filter val="Май"/>
            <filter val="Март"/>
            <filter val="Ноябрь"/>
            <filter val="Февраль"/>
            <filter val="Январь"/>
          </filters>
        </filterColumn>
      </autoFilter>
    </customSheetView>
    <customSheetView guid="{124C580C-38A6-4FF5-A5F5-3D5BD263D3A8}" filter="1" showAutoFilter="1">
      <pageMargins left="0.7" right="0.7" top="0.75" bottom="0.75" header="0.3" footer="0.3"/>
      <autoFilter ref="A1:S219" xr:uid="{00000000-0000-0000-0000-000000000000}"/>
    </customSheetView>
    <customSheetView guid="{6DF14B10-6FC0-4C0C-9517-CC1BFA471BC7}" filter="1" showAutoFilter="1">
      <pageMargins left="0.7" right="0.7" top="0.75" bottom="0.75" header="0.3" footer="0.3"/>
      <autoFilter ref="A1:S219" xr:uid="{00000000-0000-0000-0000-000000000000}"/>
    </customSheetView>
    <customSheetView guid="{7C2F10D5-7037-4126-9861-6E19E4120DCC}" filter="1" showAutoFilter="1">
      <pageMargins left="0.7" right="0.7" top="0.75" bottom="0.75" header="0.3" footer="0.3"/>
      <autoFilter ref="A1:S219" xr:uid="{00000000-0000-0000-0000-000000000000}"/>
    </customSheetView>
    <customSheetView guid="{35A42451-A673-4B96-9A68-064D161CE057}" filter="1" showAutoFilter="1">
      <pageMargins left="0.7" right="0.7" top="0.75" bottom="0.75" header="0.3" footer="0.3"/>
      <autoFilter ref="A1:S219" xr:uid="{00000000-0000-0000-0000-000000000000}"/>
    </customSheetView>
    <customSheetView guid="{8AC55701-9041-4EB6-B5DF-70210057DAFD}" filter="1" showAutoFilter="1">
      <pageMargins left="0.7" right="0.7" top="0.75" bottom="0.75" header="0.3" footer="0.3"/>
      <autoFilter ref="A1:S219" xr:uid="{00000000-0000-0000-0000-000000000000}"/>
    </customSheetView>
    <customSheetView guid="{4B87E1A6-6ADD-41EC-A34A-68AB5989838E}" filter="1" showAutoFilter="1">
      <pageMargins left="0.7" right="0.7" top="0.75" bottom="0.75" header="0.3" footer="0.3"/>
      <autoFilter ref="A1:S219" xr:uid="{00000000-0000-0000-0000-000000000000}"/>
    </customSheetView>
    <customSheetView guid="{A760CBFB-125F-410E-9AB8-DD0998DB50E5}" filter="1" showAutoFilter="1">
      <pageMargins left="0.7" right="0.7" top="0.75" bottom="0.75" header="0.3" footer="0.3"/>
      <autoFilter ref="A1:S219" xr:uid="{00000000-0000-0000-0000-000000000000}"/>
    </customSheetView>
    <customSheetView guid="{0258331E-7ECB-4D6A-B928-AFEBEDB7E4E1}" filter="1" showAutoFilter="1">
      <pageMargins left="0.7" right="0.7" top="0.75" bottom="0.75" header="0.3" footer="0.3"/>
      <autoFilter ref="A1:S219" xr:uid="{00000000-0000-0000-0000-000000000000}"/>
    </customSheetView>
    <customSheetView guid="{0E7D16DD-A44D-40F9-9565-10E603EE83A1}" filter="1" showAutoFilter="1">
      <pageMargins left="0.7" right="0.7" top="0.75" bottom="0.75" header="0.3" footer="0.3"/>
      <autoFilter ref="A1:S219" xr:uid="{00000000-0000-0000-0000-000000000000}"/>
    </customSheetView>
    <customSheetView guid="{A9C5A350-9B00-4D06-98DA-0FB8BB221C3E}" filter="1" showAutoFilter="1">
      <pageMargins left="0.7" right="0.7" top="0.75" bottom="0.75" header="0.3" footer="0.3"/>
      <autoFilter ref="A1:S219" xr:uid="{00000000-0000-0000-0000-000000000000}"/>
    </customSheetView>
    <customSheetView guid="{2E41C70C-DCBD-495E-A824-1A771041EC01}" filter="1" showAutoFilter="1">
      <pageMargins left="0.7" right="0.7" top="0.75" bottom="0.75" header="0.3" footer="0.3"/>
      <autoFilter ref="A1:S219" xr:uid="{00000000-0000-0000-0000-000000000000}"/>
    </customSheetView>
    <customSheetView guid="{A7849417-6211-4326-9AE0-C5677FD603DD}" filter="1" showAutoFilter="1">
      <pageMargins left="0.7" right="0.7" top="0.75" bottom="0.75" header="0.3" footer="0.3"/>
      <autoFilter ref="A1:S219" xr:uid="{00000000-0000-0000-0000-000000000000}"/>
    </customSheetView>
    <customSheetView guid="{FC7574EC-3207-47D1-A5C1-C3FB70E7BF89}" filter="1" showAutoFilter="1">
      <pageMargins left="0.7" right="0.7" top="0.75" bottom="0.75" header="0.3" footer="0.3"/>
      <autoFilter ref="A1:S219" xr:uid="{00000000-0000-0000-0000-000000000000}"/>
    </customSheetView>
    <customSheetView guid="{5170B0EC-7132-436F-9E89-07F2491332D6}" filter="1" showAutoFilter="1">
      <pageMargins left="0.7" right="0.7" top="0.75" bottom="0.75" header="0.3" footer="0.3"/>
      <autoFilter ref="A1:S219" xr:uid="{00000000-0000-0000-0000-000000000000}"/>
    </customSheetView>
    <customSheetView guid="{5292F560-AB13-451D-9F7A-9ADF1FF7AB14}" filter="1" showAutoFilter="1">
      <pageMargins left="0.7" right="0.7" top="0.75" bottom="0.75" header="0.3" footer="0.3"/>
      <autoFilter ref="A1:S219" xr:uid="{00000000-0000-0000-0000-000000000000}"/>
    </customSheetView>
    <customSheetView guid="{D9E86B28-FD11-4A5A-859D-E24BC59CC2D0}" filter="1" showAutoFilter="1">
      <pageMargins left="0.7" right="0.7" top="0.75" bottom="0.75" header="0.3" footer="0.3"/>
      <autoFilter ref="A1:S219" xr:uid="{00000000-0000-0000-0000-000000000000}"/>
    </customSheetView>
    <customSheetView guid="{C692D1D1-A478-487D-8928-F5EF588779ED}" filter="1" showAutoFilter="1">
      <pageMargins left="0.7" right="0.7" top="0.75" bottom="0.75" header="0.3" footer="0.3"/>
      <autoFilter ref="A1:X219" xr:uid="{00000000-0000-0000-0000-000000000000}"/>
    </customSheetView>
    <customSheetView guid="{894F10CD-847C-4167-B88B-928DD65FE955}" filter="1" showAutoFilter="1">
      <pageMargins left="0.7" right="0.7" top="0.75" bottom="0.75" header="0.3" footer="0.3"/>
      <autoFilter ref="A1:S219" xr:uid="{00000000-0000-0000-0000-000000000000}"/>
    </customSheetView>
    <customSheetView guid="{B52162E0-A531-4E55-8D63-60A0DA76B9B0}" filter="1" showAutoFilter="1">
      <pageMargins left="0.7" right="0.7" top="0.75" bottom="0.75" header="0.3" footer="0.3"/>
      <autoFilter ref="A1:S219" xr:uid="{00000000-0000-0000-0000-000000000000}"/>
    </customSheetView>
    <customSheetView guid="{DAF9D2C6-2D36-4EBA-808D-D13BC96483FF}" filter="1" showAutoFilter="1">
      <pageMargins left="0.7" right="0.7" top="0.75" bottom="0.75" header="0.3" footer="0.3"/>
      <autoFilter ref="A1:S219" xr:uid="{00000000-0000-0000-0000-000000000000}"/>
    </customSheetView>
    <customSheetView guid="{D819D93A-BD6A-4EEC-8850-5FD96F364FE4}" filter="1" showAutoFilter="1">
      <pageMargins left="0.7" right="0.7" top="0.75" bottom="0.75" header="0.3" footer="0.3"/>
      <autoFilter ref="A1:S219" xr:uid="{00000000-0000-0000-0000-000000000000}"/>
    </customSheetView>
    <customSheetView guid="{658BAC51-2DE5-41C8-A953-896943262933}" filter="1" showAutoFilter="1">
      <pageMargins left="0.7" right="0.7" top="0.75" bottom="0.75" header="0.3" footer="0.3"/>
      <autoFilter ref="A1:S219" xr:uid="{00000000-0000-0000-0000-000000000000}"/>
    </customSheetView>
    <customSheetView guid="{57B501DE-0AD7-41CF-8194-FFE72DDF576E}" filter="1" showAutoFilter="1">
      <pageMargins left="0.7" right="0.7" top="0.75" bottom="0.75" header="0.3" footer="0.3"/>
      <autoFilter ref="A1:S219" xr:uid="{00000000-0000-0000-0000-000000000000}"/>
    </customSheetView>
    <customSheetView guid="{34AEDDAA-AF04-4B7F-B2EE-306BFBCA00D7}" filter="1" showAutoFilter="1">
      <pageMargins left="0.7" right="0.7" top="0.75" bottom="0.75" header="0.3" footer="0.3"/>
      <autoFilter ref="A1:S219" xr:uid="{00000000-0000-0000-0000-000000000000}"/>
    </customSheetView>
    <customSheetView guid="{A1FAF842-D83C-475B-A97E-145E6DB03C78}" filter="1" showAutoFilter="1">
      <pageMargins left="0.7" right="0.7" top="0.75" bottom="0.75" header="0.3" footer="0.3"/>
      <autoFilter ref="A1:S219" xr:uid="{00000000-0000-0000-0000-000000000000}"/>
    </customSheetView>
    <customSheetView guid="{03672B82-03D3-432C-910D-1D5ECD70ECBF}" filter="1" showAutoFilter="1">
      <pageMargins left="0.7" right="0.7" top="0.75" bottom="0.75" header="0.3" footer="0.3"/>
      <autoFilter ref="A1:X219" xr:uid="{00000000-0000-0000-0000-000000000000}">
        <filterColumn colId="2">
          <filters>
            <filter val="Email"/>
          </filters>
        </filterColumn>
      </autoFilter>
    </customSheetView>
    <customSheetView guid="{3F45AF3C-77F9-480D-9722-066480454646}" filter="1" showAutoFilter="1">
      <pageMargins left="0.7" right="0.7" top="0.75" bottom="0.75" header="0.3" footer="0.3"/>
      <autoFilter ref="A1:S219" xr:uid="{00000000-0000-0000-0000-000000000000}"/>
    </customSheetView>
    <customSheetView guid="{88FEEE72-AA08-40B3-80EC-11AE42CC4F0D}" filter="1" showAutoFilter="1">
      <pageMargins left="0.7" right="0.7" top="0.75" bottom="0.75" header="0.3" footer="0.3"/>
      <autoFilter ref="A1:X219" xr:uid="{00000000-0000-0000-0000-000000000000}"/>
    </customSheetView>
    <customSheetView guid="{043F4A28-A3DD-455E-8CBA-99197A4F5B8B}" filter="1" showAutoFilter="1">
      <pageMargins left="0.7" right="0.7" top="0.75" bottom="0.75" header="0.3" footer="0.3"/>
      <autoFilter ref="A1:S219" xr:uid="{00000000-0000-0000-0000-000000000000}"/>
    </customSheetView>
    <customSheetView guid="{A1C3445F-AEE2-47D4-BB40-FE02837709DB}" filter="1" showAutoFilter="1">
      <pageMargins left="0.7" right="0.7" top="0.75" bottom="0.75" header="0.3" footer="0.3"/>
      <autoFilter ref="A1:S219" xr:uid="{00000000-0000-0000-0000-000000000000}"/>
    </customSheetView>
    <customSheetView guid="{0C8A89AA-0C4D-49A9-844B-473417406576}" filter="1" showAutoFilter="1">
      <pageMargins left="0.7" right="0.7" top="0.75" bottom="0.75" header="0.3" footer="0.3"/>
      <autoFilter ref="A1:S219" xr:uid="{00000000-0000-0000-0000-000000000000}"/>
    </customSheetView>
    <customSheetView guid="{00CCCFE6-7FFA-4D9C-AD0C-EA7C329A05EF}" filter="1" showAutoFilter="1">
      <pageMargins left="0.7" right="0.7" top="0.75" bottom="0.75" header="0.3" footer="0.3"/>
      <autoFilter ref="A1:S219" xr:uid="{00000000-0000-0000-0000-000000000000}"/>
    </customSheetView>
    <customSheetView guid="{4E16A070-7073-4B04-B749-4C4292F9C9D2}" filter="1" showAutoFilter="1">
      <pageMargins left="0.7" right="0.7" top="0.75" bottom="0.75" header="0.3" footer="0.3"/>
      <autoFilter ref="A1:S219" xr:uid="{00000000-0000-0000-0000-000000000000}"/>
    </customSheetView>
    <customSheetView guid="{4B9CE673-E6F2-4C0B-8EC0-BA6ECA9CC970}" filter="1" showAutoFilter="1">
      <pageMargins left="0.7" right="0.7" top="0.75" bottom="0.75" header="0.3" footer="0.3"/>
      <autoFilter ref="A1:S219" xr:uid="{00000000-0000-0000-0000-000000000000}"/>
    </customSheetView>
    <customSheetView guid="{20AE1B03-B96A-46FD-BD5B-8263E936516C}" filter="1" showAutoFilter="1">
      <pageMargins left="0.7" right="0.7" top="0.75" bottom="0.75" header="0.3" footer="0.3"/>
      <autoFilter ref="A1:S219" xr:uid="{00000000-0000-0000-0000-000000000000}"/>
    </customSheetView>
  </customSheetView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E78F9-2BB6-496B-84F7-6527D6AD45C5}">
  <dimension ref="A1:E217"/>
  <sheetViews>
    <sheetView zoomScale="190" zoomScaleNormal="190" workbookViewId="0">
      <selection activeCell="E8" sqref="E8"/>
    </sheetView>
  </sheetViews>
  <sheetFormatPr defaultRowHeight="12.75"/>
  <cols>
    <col min="1" max="1" width="12.85546875" bestFit="1" customWidth="1"/>
    <col min="2" max="2" width="17.7109375" style="35" bestFit="1" customWidth="1"/>
    <col min="3" max="3" width="15.140625" bestFit="1" customWidth="1"/>
    <col min="4" max="4" width="25.85546875" bestFit="1" customWidth="1"/>
    <col min="5" max="5" width="20.7109375" customWidth="1"/>
    <col min="6" max="6" width="21.42578125" bestFit="1" customWidth="1"/>
  </cols>
  <sheetData>
    <row r="1" spans="1:5">
      <c r="B1"/>
    </row>
    <row r="2" spans="1:5" s="34" customFormat="1" ht="33.75" customHeight="1">
      <c r="A2"/>
      <c r="B2"/>
      <c r="C2"/>
      <c r="D2"/>
      <c r="E2"/>
    </row>
    <row r="3" spans="1:5">
      <c r="A3" s="36" t="s">
        <v>935</v>
      </c>
      <c r="B3" s="37" t="s">
        <v>931</v>
      </c>
      <c r="C3" s="37" t="s">
        <v>932</v>
      </c>
      <c r="D3" s="37" t="s">
        <v>933</v>
      </c>
      <c r="E3" s="37" t="s">
        <v>934</v>
      </c>
    </row>
    <row r="4" spans="1:5">
      <c r="A4" s="37">
        <v>2021</v>
      </c>
      <c r="B4" s="38"/>
      <c r="C4" s="38"/>
      <c r="D4" s="38"/>
      <c r="E4" s="38"/>
    </row>
    <row r="5" spans="1:5">
      <c r="A5" s="37" t="s">
        <v>39</v>
      </c>
      <c r="B5" s="38">
        <v>0.95000000000000007</v>
      </c>
      <c r="C5" s="38">
        <v>0.15543985571215682</v>
      </c>
      <c r="D5" s="38">
        <v>9.1806191137001933E-2</v>
      </c>
      <c r="E5" s="38">
        <v>6.899999999999999E-3</v>
      </c>
    </row>
    <row r="6" spans="1:5">
      <c r="A6" s="37" t="s">
        <v>89</v>
      </c>
      <c r="B6" s="38">
        <v>0.95872517898531318</v>
      </c>
      <c r="C6" s="38">
        <v>0.1506698455315367</v>
      </c>
      <c r="D6" s="38">
        <v>9.0508462845183713E-2</v>
      </c>
      <c r="E6" s="38">
        <v>6.2999999999999992E-3</v>
      </c>
    </row>
    <row r="7" spans="1:5">
      <c r="A7" s="37" t="s">
        <v>146</v>
      </c>
      <c r="B7" s="38">
        <v>0.981103214461859</v>
      </c>
      <c r="C7" s="38">
        <v>0.15299807240603791</v>
      </c>
      <c r="D7" s="38">
        <v>7.5580268770646386E-2</v>
      </c>
      <c r="E7" s="38">
        <v>6.1636183933621207E-3</v>
      </c>
    </row>
    <row r="8" spans="1:5">
      <c r="A8" s="37" t="s">
        <v>199</v>
      </c>
      <c r="B8" s="38">
        <v>0.98078746437519104</v>
      </c>
      <c r="C8" s="38">
        <v>0.14844423153610295</v>
      </c>
      <c r="D8" s="38">
        <v>7.4426485674067094E-2</v>
      </c>
      <c r="E8" s="38">
        <v>6.0000000000000001E-3</v>
      </c>
    </row>
    <row r="9" spans="1:5">
      <c r="A9" s="37" t="s">
        <v>228</v>
      </c>
      <c r="B9" s="38">
        <v>0.98176577600347936</v>
      </c>
      <c r="C9" s="38">
        <v>0.15265228684955431</v>
      </c>
      <c r="D9" s="38">
        <v>7.3266581912309725E-2</v>
      </c>
      <c r="E9" s="38">
        <v>5.6361094725534619E-3</v>
      </c>
    </row>
    <row r="10" spans="1:5">
      <c r="A10" s="37" t="s">
        <v>253</v>
      </c>
      <c r="B10" s="38">
        <v>0.97480386531988006</v>
      </c>
      <c r="C10" s="38">
        <v>0.12003295367620812</v>
      </c>
      <c r="D10" s="38">
        <v>8.0920657163901968E-2</v>
      </c>
      <c r="E10" s="38">
        <v>5.6419991457866267E-3</v>
      </c>
    </row>
    <row r="11" spans="1:5">
      <c r="A11" s="37" t="s">
        <v>26</v>
      </c>
      <c r="B11" s="38">
        <v>0.97255049758708723</v>
      </c>
      <c r="C11" s="38">
        <v>0.13639239107575155</v>
      </c>
      <c r="D11" s="38">
        <v>8.4373751240683872E-2</v>
      </c>
      <c r="E11" s="38">
        <v>2.080524128093654E-2</v>
      </c>
    </row>
    <row r="12" spans="1:5">
      <c r="A12" s="37" t="s">
        <v>33</v>
      </c>
      <c r="B12" s="38">
        <v>0.97816035050545802</v>
      </c>
      <c r="C12" s="38">
        <v>0.13236577992249141</v>
      </c>
      <c r="D12" s="38">
        <v>8.2953206849279648E-2</v>
      </c>
      <c r="E12" s="38">
        <v>2.7884443916488217E-2</v>
      </c>
    </row>
    <row r="13" spans="1:5">
      <c r="A13" s="37" t="s">
        <v>410</v>
      </c>
      <c r="B13" s="38">
        <v>0.98176507004825186</v>
      </c>
      <c r="C13" s="38">
        <v>0.13479407423813222</v>
      </c>
      <c r="D13" s="38">
        <v>7.901365025444379E-2</v>
      </c>
      <c r="E13" s="38">
        <v>5.3276054695841957E-2</v>
      </c>
    </row>
    <row r="14" spans="1:5">
      <c r="A14" s="37"/>
      <c r="B14" s="38"/>
      <c r="C14" s="38"/>
      <c r="D14" s="38"/>
      <c r="E14" s="38"/>
    </row>
    <row r="15" spans="1:5">
      <c r="A15" s="37">
        <v>2022</v>
      </c>
      <c r="B15" s="38"/>
      <c r="C15" s="38"/>
      <c r="D15" s="38"/>
      <c r="E15" s="38"/>
    </row>
    <row r="16" spans="1:5">
      <c r="A16" s="37" t="s">
        <v>503</v>
      </c>
      <c r="B16" s="38">
        <v>0.98137307082338654</v>
      </c>
      <c r="C16" s="38">
        <v>0.129819738844382</v>
      </c>
      <c r="D16" s="38">
        <v>8.2432070758845302E-2</v>
      </c>
      <c r="E16" s="38">
        <v>4.0218776155119582E-2</v>
      </c>
    </row>
    <row r="17" spans="1:5">
      <c r="A17" s="37" t="s">
        <v>760</v>
      </c>
      <c r="B17" s="38">
        <v>0.98150792370243434</v>
      </c>
      <c r="C17" s="38">
        <v>0.12449388793239734</v>
      </c>
      <c r="D17" s="38">
        <v>8.0374571431845204E-2</v>
      </c>
      <c r="E17" s="38">
        <v>8.9999999999999993E-3</v>
      </c>
    </row>
    <row r="18" spans="1:5">
      <c r="A18" s="37" t="s">
        <v>837</v>
      </c>
      <c r="B18" s="38">
        <v>0.98141617027732442</v>
      </c>
      <c r="C18" s="38">
        <v>0.13782171028311879</v>
      </c>
      <c r="D18" s="38">
        <v>7.7091940831659295E-2</v>
      </c>
      <c r="E18" s="38">
        <v>9.0000000000000011E-3</v>
      </c>
    </row>
    <row r="19" spans="1:5">
      <c r="A19" s="37" t="s">
        <v>39</v>
      </c>
      <c r="B19" s="38">
        <v>0.95000000000000007</v>
      </c>
      <c r="C19" s="38">
        <v>0.1539610853616572</v>
      </c>
      <c r="D19" s="38">
        <v>7.9297260691050239E-2</v>
      </c>
      <c r="E19" s="38">
        <v>8.9622670234019222E-3</v>
      </c>
    </row>
    <row r="20" spans="1:5">
      <c r="A20" s="37" t="s">
        <v>89</v>
      </c>
      <c r="B20" s="38">
        <v>0.95</v>
      </c>
      <c r="C20" s="38">
        <v>0.14660891321398797</v>
      </c>
      <c r="D20" s="38">
        <v>9.8513921252104175E-2</v>
      </c>
      <c r="E20" s="38">
        <v>6.899999999999999E-3</v>
      </c>
    </row>
    <row r="21" spans="1:5">
      <c r="A21" s="37"/>
      <c r="B21" s="38"/>
      <c r="C21" s="38"/>
      <c r="D21" s="38"/>
      <c r="E21" s="38"/>
    </row>
    <row r="22" spans="1:5">
      <c r="B22"/>
    </row>
    <row r="23" spans="1:5">
      <c r="B23"/>
    </row>
    <row r="24" spans="1:5">
      <c r="B24"/>
    </row>
    <row r="25" spans="1:5">
      <c r="B25"/>
    </row>
    <row r="26" spans="1:5">
      <c r="B26"/>
    </row>
    <row r="27" spans="1:5">
      <c r="B27"/>
    </row>
    <row r="28" spans="1:5">
      <c r="B28"/>
    </row>
    <row r="29" spans="1:5">
      <c r="B29"/>
    </row>
    <row r="30" spans="1:5">
      <c r="B30"/>
    </row>
    <row r="31" spans="1:5">
      <c r="B31"/>
    </row>
    <row r="32" spans="1:5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18CF-68E9-4B94-92A8-E7BB88DBA469}">
  <dimension ref="A1:B1"/>
  <sheetViews>
    <sheetView tabSelected="1" workbookViewId="0">
      <selection activeCell="G14" sqref="G14"/>
    </sheetView>
  </sheetViews>
  <sheetFormatPr defaultRowHeight="12.75"/>
  <cols>
    <col min="1" max="1" width="18.140625" customWidth="1"/>
    <col min="2" max="2" width="59.5703125" customWidth="1"/>
  </cols>
  <sheetData>
    <row r="1" spans="1:2" ht="21" customHeight="1">
      <c r="A1" s="42" t="s">
        <v>940</v>
      </c>
      <c r="B1" s="41" t="s">
        <v>941</v>
      </c>
    </row>
  </sheetData>
  <hyperlinks>
    <hyperlink ref="B1" r:id="rId1" xr:uid="{3230F188-9819-4722-8BAA-84E700277DA5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"/>
  <sheetViews>
    <sheetView workbookViewId="0"/>
  </sheetViews>
  <sheetFormatPr defaultColWidth="12.5703125" defaultRowHeight="15.75" customHeight="1"/>
  <cols>
    <col min="4" max="4" width="13.5703125" customWidth="1"/>
  </cols>
  <sheetData>
    <row r="1" spans="1:2">
      <c r="A1" s="33" t="s">
        <v>503</v>
      </c>
      <c r="B1" s="33" t="s">
        <v>912</v>
      </c>
    </row>
    <row r="2" spans="1:2">
      <c r="A2" s="33" t="s">
        <v>760</v>
      </c>
      <c r="B2" s="33" t="s">
        <v>913</v>
      </c>
    </row>
    <row r="3" spans="1:2">
      <c r="A3" s="33" t="s">
        <v>837</v>
      </c>
      <c r="B3" s="33" t="s">
        <v>914</v>
      </c>
    </row>
    <row r="4" spans="1:2">
      <c r="A4" s="33" t="s">
        <v>39</v>
      </c>
      <c r="B4" s="33" t="s">
        <v>915</v>
      </c>
    </row>
    <row r="5" spans="1:2">
      <c r="A5" s="33" t="s">
        <v>89</v>
      </c>
      <c r="B5" s="33" t="s">
        <v>916</v>
      </c>
    </row>
    <row r="6" spans="1:2">
      <c r="A6" s="33" t="s">
        <v>146</v>
      </c>
      <c r="B6" s="33" t="s">
        <v>917</v>
      </c>
    </row>
    <row r="7" spans="1:2">
      <c r="A7" s="33" t="s">
        <v>199</v>
      </c>
      <c r="B7" s="33" t="s">
        <v>918</v>
      </c>
    </row>
    <row r="8" spans="1:2">
      <c r="A8" s="33" t="s">
        <v>228</v>
      </c>
      <c r="B8" s="33" t="s">
        <v>919</v>
      </c>
    </row>
    <row r="9" spans="1:2">
      <c r="A9" s="33" t="s">
        <v>253</v>
      </c>
      <c r="B9" s="33" t="s">
        <v>920</v>
      </c>
    </row>
    <row r="10" spans="1:2">
      <c r="A10" s="33" t="s">
        <v>26</v>
      </c>
      <c r="B10" s="33" t="s">
        <v>921</v>
      </c>
    </row>
    <row r="11" spans="1:2">
      <c r="A11" s="33" t="s">
        <v>33</v>
      </c>
      <c r="B11" s="33" t="s">
        <v>922</v>
      </c>
    </row>
    <row r="12" spans="1:2">
      <c r="A12" s="33" t="s">
        <v>410</v>
      </c>
      <c r="B12" s="33" t="s">
        <v>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7"/>
  <sheetViews>
    <sheetView workbookViewId="0"/>
  </sheetViews>
  <sheetFormatPr defaultColWidth="12.5703125" defaultRowHeight="15.75" customHeight="1"/>
  <sheetData>
    <row r="1" spans="1:2">
      <c r="A1" s="33">
        <v>1</v>
      </c>
      <c r="B1" s="33" t="s">
        <v>924</v>
      </c>
    </row>
    <row r="2" spans="1:2">
      <c r="A2" s="33">
        <v>2</v>
      </c>
      <c r="B2" s="33" t="s">
        <v>925</v>
      </c>
    </row>
    <row r="3" spans="1:2">
      <c r="A3" s="33">
        <v>3</v>
      </c>
      <c r="B3" s="33" t="s">
        <v>926</v>
      </c>
    </row>
    <row r="4" spans="1:2">
      <c r="A4" s="33">
        <v>4</v>
      </c>
      <c r="B4" s="33" t="s">
        <v>927</v>
      </c>
    </row>
    <row r="5" spans="1:2">
      <c r="A5" s="33">
        <v>5</v>
      </c>
      <c r="B5" s="33" t="s">
        <v>928</v>
      </c>
    </row>
    <row r="6" spans="1:2">
      <c r="A6" s="33">
        <v>6</v>
      </c>
      <c r="B6" s="33" t="s">
        <v>929</v>
      </c>
    </row>
    <row r="7" spans="1:2">
      <c r="A7" s="33">
        <v>7</v>
      </c>
      <c r="B7" s="33" t="s">
        <v>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metrics_visual</vt:lpstr>
      <vt:lpstr>Data</vt:lpstr>
      <vt:lpstr>Metrics_pivot</vt:lpstr>
      <vt:lpstr>Links</vt:lpstr>
      <vt:lpstr>Месяца сортировка</vt:lpstr>
      <vt:lpstr>Дни недели сортировка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2024-06-25T16:00:24Z</dcterms:created>
  <dcterms:modified xsi:type="dcterms:W3CDTF">2024-06-26T12:45:28Z</dcterms:modified>
</cp:coreProperties>
</file>